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u39283\Downloads\"/>
    </mc:Choice>
  </mc:AlternateContent>
  <xr:revisionPtr revIDLastSave="0" documentId="13_ncr:1_{2F0C471E-C2D7-44E2-A8CE-EF7B51613D70}" xr6:coauthVersionLast="47" xr6:coauthVersionMax="47" xr10:uidLastSave="{00000000-0000-0000-0000-000000000000}"/>
  <bookViews>
    <workbookView xWindow="-108" yWindow="-108" windowWidth="23256" windowHeight="12456" tabRatio="874" xr2:uid="{00000000-000D-0000-FFFF-FFFF00000000}"/>
  </bookViews>
  <sheets>
    <sheet name="Total Pop Monthly" sheetId="36" r:id="rId1"/>
    <sheet name="MCO Report" sheetId="47" r:id="rId2"/>
    <sheet name="Population" sheetId="4" state="hidden" r:id="rId3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B">#REF!</definedName>
    <definedName name="_05Jun.wrn.Manpower" hidden="1">{"Manpower",#N/A,TRUE,"Manpower";"Manpower",#N/A,TRUE,"Manpower"}</definedName>
    <definedName name="_05JunManpower" hidden="1">{"Manpower",#N/A,TRUE,"Manpower";"Manpower",#N/A,TRUE,"Manpower"}</definedName>
    <definedName name="_05May.wrn.Manpower" hidden="1">{"Manpower",#N/A,TRUE,"Manpower";"Manpower",#N/A,TRUE,"Manpower"}</definedName>
    <definedName name="_05MayManPower" hidden="1">{"Manpower",#N/A,TRUE,"Manpower";"Manpower",#N/A,TRUE,"Manpower"}</definedName>
    <definedName name="CategoriesList">#REF!</definedName>
    <definedName name="DATAOUT">#REF!</definedName>
    <definedName name="FAMIS_BY_FIPS">[1]FAMIS_BY_FIPS!#REF!</definedName>
    <definedName name="FAMIS_BY_REGION">[1]FAMIS_BY_REGION!#REF!</definedName>
    <definedName name="HealthCover">[2]BenefitRates!$F$5:$F$8</definedName>
    <definedName name="HealthPrem">[2]Lists!#REF!</definedName>
    <definedName name="Leg">#REF!</definedName>
    <definedName name="list">#REF!</definedName>
    <definedName name="Manpower" localSheetId="1" hidden="1">{"Manpower",#N/A,TRUE,"Manpower";"Manpower",#N/A,TRUE,"Manpower"}</definedName>
    <definedName name="Manpower" localSheetId="0" hidden="1">{"Manpower",#N/A,TRUE,"Manpower";"Manpower",#N/A,TRUE,"Manpower"}</definedName>
    <definedName name="Manpower" hidden="1">{"Manpower",#N/A,TRUE,"Manpower";"Manpower",#N/A,TRUE,"Manpower"}</definedName>
    <definedName name="MEDICAID_BY_FIPS">[1]MEDICAID_BY_FIPS!#REF!</definedName>
    <definedName name="MEDICAID_BY_REGION">[1]MEDICAID_BY_REGION!#REF!</definedName>
    <definedName name="MEMMO">'[3]FY08 MemMo Data Source'!#REF!</definedName>
    <definedName name="new.wrn.Manpower" hidden="1">{"Manpower",#N/A,TRUE,"Manpower";"Manpower",#N/A,TRUE,"Manpower"}</definedName>
    <definedName name="New_Manpower" hidden="1">{"Manpower",#N/A,TRUE,"Manpower";"Manpower",#N/A,TRUE,"Manpower"}</definedName>
    <definedName name="Onetime">#REF!</definedName>
    <definedName name="POSITIONS">'[4]Ref-ALTC NP FORM'!$A$4:$Y$14</definedName>
    <definedName name="_xlnm.Print_Area" localSheetId="1">'MCO Report'!$A$1:$Y$185</definedName>
    <definedName name="_xlnm.Print_Area" localSheetId="0">'Total Pop Monthly'!$A$1:$Y$183</definedName>
    <definedName name="RetireList">[2]Lists!$D$9:$D$13</definedName>
    <definedName name="SFSDFSDFSD">#REF!</definedName>
    <definedName name="Summary">#REF!</definedName>
    <definedName name="wrn.Manpower." localSheetId="1" hidden="1">{"Manpower",#N/A,TRUE,"Manpower";"Manpower",#N/A,TRUE,"Manpower"}</definedName>
    <definedName name="wrn.Manpower." localSheetId="0" hidden="1">{"Manpower",#N/A,TRUE,"Manpower";"Manpower",#N/A,TRUE,"Manpower"}</definedName>
    <definedName name="wrn.Manpower." hidden="1">{"Manpower",#N/A,TRUE,"Manpower";"Manpower",#N/A,TRUE,"Manpower"}</definedName>
    <definedName name="YesNo">[2]Lists!$D$5:$D$6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47" l="1"/>
  <c r="F98" i="47"/>
  <c r="W98" i="47"/>
  <c r="E99" i="47"/>
  <c r="F99" i="47"/>
  <c r="E100" i="47"/>
  <c r="F100" i="47"/>
  <c r="E101" i="47"/>
  <c r="F101" i="47"/>
  <c r="V101" i="47"/>
  <c r="W101" i="47"/>
  <c r="E102" i="47"/>
  <c r="F102" i="47"/>
  <c r="V102" i="47"/>
  <c r="W102" i="47"/>
  <c r="E103" i="47"/>
  <c r="F103" i="47"/>
  <c r="V103" i="47"/>
  <c r="W103" i="47"/>
  <c r="G107" i="47"/>
  <c r="J107" i="47"/>
  <c r="I107" i="47" s="1"/>
  <c r="N107" i="47" s="1"/>
  <c r="K107" i="47"/>
  <c r="T107" i="47"/>
  <c r="X107" i="47" s="1"/>
  <c r="G108" i="47"/>
  <c r="J108" i="47"/>
  <c r="I108" i="47" s="1"/>
  <c r="N108" i="47" s="1"/>
  <c r="K108" i="47"/>
  <c r="T108" i="47"/>
  <c r="X108" i="47" s="1"/>
  <c r="T183" i="47"/>
  <c r="X183" i="47" s="1"/>
  <c r="P183" i="47"/>
  <c r="P185" i="47" s="1"/>
  <c r="O183" i="47"/>
  <c r="R183" i="47" s="1"/>
  <c r="R185" i="47" s="1"/>
  <c r="K183" i="47"/>
  <c r="K185" i="47" s="1"/>
  <c r="J183" i="47"/>
  <c r="I183" i="47" s="1"/>
  <c r="G183" i="47"/>
  <c r="D185" i="47"/>
  <c r="E185" i="47"/>
  <c r="F185" i="47"/>
  <c r="G185" i="47"/>
  <c r="H185" i="47"/>
  <c r="L185" i="47"/>
  <c r="M185" i="47"/>
  <c r="Q185" i="47"/>
  <c r="U185" i="47"/>
  <c r="V185" i="47"/>
  <c r="W185" i="47"/>
  <c r="E183" i="36"/>
  <c r="F183" i="36"/>
  <c r="V183" i="36"/>
  <c r="W183" i="36"/>
  <c r="O185" i="47" l="1"/>
  <c r="T185" i="47"/>
  <c r="S107" i="47"/>
  <c r="S108" i="47"/>
  <c r="Y108" i="47" s="1"/>
  <c r="Y107" i="47"/>
  <c r="N183" i="47"/>
  <c r="N185" i="47" s="1"/>
  <c r="X185" i="47"/>
  <c r="J185" i="47"/>
  <c r="P181" i="36"/>
  <c r="O181" i="36"/>
  <c r="J181" i="36"/>
  <c r="I181" i="36"/>
  <c r="G181" i="36"/>
  <c r="K181" i="36"/>
  <c r="T181" i="36"/>
  <c r="A185" i="47"/>
  <c r="D82" i="36"/>
  <c r="D183" i="36" s="1"/>
  <c r="G82" i="36"/>
  <c r="H82" i="36"/>
  <c r="H183" i="36" s="1"/>
  <c r="I82" i="36"/>
  <c r="J82" i="36"/>
  <c r="K82" i="36"/>
  <c r="L82" i="36"/>
  <c r="L183" i="36" s="1"/>
  <c r="M82" i="36"/>
  <c r="M183" i="36" s="1"/>
  <c r="O82" i="36"/>
  <c r="P82" i="36"/>
  <c r="Q82" i="36"/>
  <c r="Q183" i="36" s="1"/>
  <c r="T82" i="36"/>
  <c r="U82" i="36"/>
  <c r="DG123" i="4"/>
  <c r="DH123" i="4"/>
  <c r="DK123" i="4"/>
  <c r="DL123" i="4"/>
  <c r="DM123" i="4"/>
  <c r="DN123" i="4"/>
  <c r="DO123" i="4"/>
  <c r="DP123" i="4"/>
  <c r="DQ123" i="4"/>
  <c r="DR123" i="4"/>
  <c r="DS123" i="4"/>
  <c r="DT123" i="4"/>
  <c r="DU123" i="4"/>
  <c r="DV123" i="4"/>
  <c r="DW123" i="4"/>
  <c r="EA123" i="4"/>
  <c r="Q6" i="47"/>
  <c r="Q7" i="47"/>
  <c r="Q8" i="47"/>
  <c r="Q9" i="47"/>
  <c r="Q10" i="47"/>
  <c r="Q11" i="47"/>
  <c r="Q12" i="47"/>
  <c r="Q13" i="47"/>
  <c r="Q14" i="47"/>
  <c r="Q15" i="47"/>
  <c r="Q16" i="47"/>
  <c r="Q17" i="47"/>
  <c r="Q19" i="47"/>
  <c r="Q20" i="47"/>
  <c r="Q21" i="47"/>
  <c r="Q22" i="47"/>
  <c r="Q23" i="47"/>
  <c r="Q24" i="47"/>
  <c r="Q25" i="47"/>
  <c r="Q26" i="47"/>
  <c r="Q27" i="47"/>
  <c r="Q28" i="47"/>
  <c r="Q29" i="47"/>
  <c r="Q30" i="47"/>
  <c r="Q32" i="47"/>
  <c r="Q33" i="47"/>
  <c r="Q34" i="47"/>
  <c r="Q35" i="47"/>
  <c r="Q36" i="47"/>
  <c r="Q37" i="47"/>
  <c r="Q38" i="47"/>
  <c r="Q39" i="47"/>
  <c r="Q40" i="47"/>
  <c r="Q41" i="47"/>
  <c r="Q42" i="47"/>
  <c r="Q43" i="47"/>
  <c r="Q45" i="47"/>
  <c r="Q46" i="47"/>
  <c r="Q47" i="47"/>
  <c r="Q48" i="47"/>
  <c r="Q49" i="47"/>
  <c r="Q50" i="47"/>
  <c r="Q51" i="47"/>
  <c r="Q52" i="47"/>
  <c r="Q53" i="47"/>
  <c r="Q54" i="47"/>
  <c r="Q55" i="47"/>
  <c r="Q56" i="47"/>
  <c r="Q58" i="47"/>
  <c r="Q59" i="47"/>
  <c r="Q60" i="47"/>
  <c r="Q61" i="47"/>
  <c r="Q62" i="47"/>
  <c r="Q63" i="47"/>
  <c r="Q64" i="47"/>
  <c r="Q65" i="47"/>
  <c r="Q66" i="47"/>
  <c r="Q67" i="47"/>
  <c r="Q68" i="47"/>
  <c r="Q69" i="47"/>
  <c r="Q71" i="47"/>
  <c r="Q72" i="47"/>
  <c r="Q73" i="47"/>
  <c r="Q74" i="47"/>
  <c r="Q75" i="47"/>
  <c r="Q76" i="47"/>
  <c r="Q77" i="47"/>
  <c r="Q78" i="47"/>
  <c r="Q79" i="47"/>
  <c r="Q80" i="47"/>
  <c r="Q81" i="47"/>
  <c r="Q6" i="36"/>
  <c r="Q7" i="36"/>
  <c r="Q8" i="36"/>
  <c r="Q9" i="36"/>
  <c r="Q10" i="36"/>
  <c r="Q11" i="36"/>
  <c r="Q12" i="36"/>
  <c r="Q13" i="36"/>
  <c r="Q14" i="36"/>
  <c r="Q15" i="36"/>
  <c r="Q16" i="36"/>
  <c r="Q17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2" i="36"/>
  <c r="Q33" i="36"/>
  <c r="Q34" i="36"/>
  <c r="Q35" i="36"/>
  <c r="Q36" i="36"/>
  <c r="Q37" i="36"/>
  <c r="Q38" i="36"/>
  <c r="Q39" i="36"/>
  <c r="Q40" i="36"/>
  <c r="Q41" i="36"/>
  <c r="Q42" i="36"/>
  <c r="Q43" i="36"/>
  <c r="Q45" i="36"/>
  <c r="Q46" i="36"/>
  <c r="Q47" i="36"/>
  <c r="Q48" i="36"/>
  <c r="Q49" i="36"/>
  <c r="Q50" i="36"/>
  <c r="Q51" i="36"/>
  <c r="Q52" i="36"/>
  <c r="Q53" i="36"/>
  <c r="Q54" i="36"/>
  <c r="Q55" i="36"/>
  <c r="Q56" i="36"/>
  <c r="Q58" i="36"/>
  <c r="Q59" i="36"/>
  <c r="Q60" i="36"/>
  <c r="Q61" i="36"/>
  <c r="Q62" i="36"/>
  <c r="Q63" i="36"/>
  <c r="Q64" i="36"/>
  <c r="Q65" i="36"/>
  <c r="Q66" i="36"/>
  <c r="Q67" i="36"/>
  <c r="Q68" i="36"/>
  <c r="Q69" i="36"/>
  <c r="Q71" i="36"/>
  <c r="Q72" i="36"/>
  <c r="Q73" i="36"/>
  <c r="Q74" i="36"/>
  <c r="Q75" i="36"/>
  <c r="Q76" i="36"/>
  <c r="Q77" i="36"/>
  <c r="Q78" i="36"/>
  <c r="Q79" i="36"/>
  <c r="Q80" i="36"/>
  <c r="Q81" i="36"/>
  <c r="Q102" i="47" l="1"/>
  <c r="Q100" i="47"/>
  <c r="Q98" i="47"/>
  <c r="Q103" i="47"/>
  <c r="Q101" i="47"/>
  <c r="Q99" i="47"/>
  <c r="R82" i="36"/>
  <c r="S183" i="47"/>
  <c r="N181" i="36"/>
  <c r="P183" i="36"/>
  <c r="X82" i="36"/>
  <c r="U183" i="36"/>
  <c r="K183" i="36"/>
  <c r="G183" i="36"/>
  <c r="J183" i="36"/>
  <c r="O183" i="36"/>
  <c r="R181" i="36"/>
  <c r="T183" i="36"/>
  <c r="X181" i="36"/>
  <c r="C82" i="36"/>
  <c r="C181" i="36" s="1"/>
  <c r="C183" i="36" s="1"/>
  <c r="N82" i="36"/>
  <c r="EC123" i="4"/>
  <c r="DZ123" i="4"/>
  <c r="DI123" i="4"/>
  <c r="DX123" i="4"/>
  <c r="T182" i="47"/>
  <c r="X182" i="47" s="1"/>
  <c r="P182" i="47"/>
  <c r="O182" i="47"/>
  <c r="R182" i="47" s="1"/>
  <c r="K182" i="47"/>
  <c r="J182" i="47"/>
  <c r="I182" i="47" s="1"/>
  <c r="G182" i="47"/>
  <c r="U81" i="47"/>
  <c r="T81" i="47"/>
  <c r="L81" i="47"/>
  <c r="D81" i="47"/>
  <c r="P180" i="36"/>
  <c r="O180" i="36"/>
  <c r="J180" i="36"/>
  <c r="I180" i="36" s="1"/>
  <c r="G180" i="36"/>
  <c r="K180" i="36"/>
  <c r="T180" i="36"/>
  <c r="X180" i="36" s="1"/>
  <c r="S82" i="36" l="1"/>
  <c r="Y82" i="36" s="1"/>
  <c r="S185" i="47"/>
  <c r="Y183" i="47"/>
  <c r="Y185" i="47" s="1"/>
  <c r="N183" i="36"/>
  <c r="X183" i="36"/>
  <c r="S181" i="36"/>
  <c r="R183" i="36"/>
  <c r="N180" i="36"/>
  <c r="R180" i="36"/>
  <c r="N182" i="47"/>
  <c r="S182" i="47" s="1"/>
  <c r="Y182" i="47" s="1"/>
  <c r="X81" i="47"/>
  <c r="S183" i="36" l="1"/>
  <c r="S180" i="36"/>
  <c r="Y180" i="36" s="1"/>
  <c r="Y181" i="36"/>
  <c r="Y183" i="36" s="1"/>
  <c r="D81" i="36" l="1"/>
  <c r="DW102" i="4"/>
  <c r="DW103" i="4"/>
  <c r="DW104" i="4"/>
  <c r="DW105" i="4"/>
  <c r="DW106" i="4"/>
  <c r="DW107" i="4"/>
  <c r="DW108" i="4"/>
  <c r="DW109" i="4"/>
  <c r="DW110" i="4"/>
  <c r="DW111" i="4"/>
  <c r="DW112" i="4"/>
  <c r="DW113" i="4"/>
  <c r="DW114" i="4"/>
  <c r="DW115" i="4"/>
  <c r="DW116" i="4"/>
  <c r="DW117" i="4"/>
  <c r="DW118" i="4"/>
  <c r="DW119" i="4"/>
  <c r="DW120" i="4"/>
  <c r="DW121" i="4"/>
  <c r="DW122" i="4"/>
  <c r="DV59" i="4"/>
  <c r="DV60" i="4"/>
  <c r="DV61" i="4"/>
  <c r="DV62" i="4"/>
  <c r="DV63" i="4"/>
  <c r="DV64" i="4"/>
  <c r="DV65" i="4"/>
  <c r="DV66" i="4"/>
  <c r="DV67" i="4"/>
  <c r="DV68" i="4"/>
  <c r="DV69" i="4"/>
  <c r="DV70" i="4"/>
  <c r="DV71" i="4"/>
  <c r="DV72" i="4"/>
  <c r="DV73" i="4"/>
  <c r="DV74" i="4"/>
  <c r="DV75" i="4"/>
  <c r="DV76" i="4"/>
  <c r="DV77" i="4"/>
  <c r="DV78" i="4"/>
  <c r="DV79" i="4"/>
  <c r="DV80" i="4"/>
  <c r="DV81" i="4"/>
  <c r="DV82" i="4"/>
  <c r="DV83" i="4"/>
  <c r="DV84" i="4"/>
  <c r="DV85" i="4"/>
  <c r="DV86" i="4"/>
  <c r="DV87" i="4"/>
  <c r="DV88" i="4"/>
  <c r="DV89" i="4"/>
  <c r="DV90" i="4"/>
  <c r="DV91" i="4"/>
  <c r="DV92" i="4"/>
  <c r="DV93" i="4"/>
  <c r="DV94" i="4"/>
  <c r="DV95" i="4"/>
  <c r="DV96" i="4"/>
  <c r="DV97" i="4"/>
  <c r="DV98" i="4"/>
  <c r="DV99" i="4"/>
  <c r="DV100" i="4"/>
  <c r="DV101" i="4"/>
  <c r="P59" i="36" s="1"/>
  <c r="DV102" i="4"/>
  <c r="P60" i="36" s="1"/>
  <c r="DV103" i="4"/>
  <c r="P61" i="36" s="1"/>
  <c r="DV104" i="4"/>
  <c r="P62" i="36" s="1"/>
  <c r="DV105" i="4"/>
  <c r="P63" i="36" s="1"/>
  <c r="DV106" i="4"/>
  <c r="P64" i="36" s="1"/>
  <c r="DV107" i="4"/>
  <c r="P65" i="36" s="1"/>
  <c r="DV108" i="4"/>
  <c r="P66" i="36" s="1"/>
  <c r="DV109" i="4"/>
  <c r="P67" i="36" s="1"/>
  <c r="DV110" i="4"/>
  <c r="P68" i="36" s="1"/>
  <c r="DV111" i="4"/>
  <c r="P69" i="36" s="1"/>
  <c r="DV112" i="4"/>
  <c r="DV113" i="4"/>
  <c r="P72" i="36" s="1"/>
  <c r="DV114" i="4"/>
  <c r="P73" i="36" s="1"/>
  <c r="DV115" i="4"/>
  <c r="P74" i="36" s="1"/>
  <c r="DV116" i="4"/>
  <c r="P75" i="36" s="1"/>
  <c r="DV117" i="4"/>
  <c r="P76" i="36" s="1"/>
  <c r="DV118" i="4"/>
  <c r="P77" i="36" s="1"/>
  <c r="DV119" i="4"/>
  <c r="P78" i="36" s="1"/>
  <c r="DV120" i="4"/>
  <c r="P79" i="36" s="1"/>
  <c r="DV121" i="4"/>
  <c r="P80" i="36" s="1"/>
  <c r="DV122" i="4"/>
  <c r="P81" i="47" s="1"/>
  <c r="DV58" i="4"/>
  <c r="DP122" i="4"/>
  <c r="I81" i="47" s="1"/>
  <c r="L81" i="36"/>
  <c r="T81" i="36"/>
  <c r="U81" i="36"/>
  <c r="DG122" i="4"/>
  <c r="DH122" i="4"/>
  <c r="DK122" i="4"/>
  <c r="DL122" i="4"/>
  <c r="DM122" i="4"/>
  <c r="H81" i="36" s="1"/>
  <c r="DN122" i="4"/>
  <c r="DO122" i="4"/>
  <c r="DQ122" i="4"/>
  <c r="DR122" i="4"/>
  <c r="J81" i="47" s="1"/>
  <c r="DS122" i="4"/>
  <c r="M81" i="47" s="1"/>
  <c r="DT122" i="4"/>
  <c r="DU122" i="4"/>
  <c r="O81" i="47" s="1"/>
  <c r="EA122" i="4"/>
  <c r="DW101" i="4"/>
  <c r="L80" i="36"/>
  <c r="G81" i="47" l="1"/>
  <c r="C81" i="47" s="1"/>
  <c r="C183" i="47" s="1"/>
  <c r="C185" i="47" s="1"/>
  <c r="DI122" i="4"/>
  <c r="R81" i="47"/>
  <c r="I81" i="36"/>
  <c r="EC122" i="4"/>
  <c r="G81" i="36"/>
  <c r="C81" i="36" s="1"/>
  <c r="C180" i="36" s="1"/>
  <c r="K81" i="47"/>
  <c r="N81" i="47" s="1"/>
  <c r="O81" i="36"/>
  <c r="H81" i="47"/>
  <c r="M81" i="36"/>
  <c r="P81" i="36"/>
  <c r="K81" i="36"/>
  <c r="DZ122" i="4"/>
  <c r="J81" i="36"/>
  <c r="X81" i="36"/>
  <c r="DX122" i="4"/>
  <c r="J117" i="47"/>
  <c r="J112" i="47"/>
  <c r="I112" i="47" s="1"/>
  <c r="J110" i="47"/>
  <c r="I110" i="47" s="1"/>
  <c r="J111" i="47"/>
  <c r="I111" i="47" s="1"/>
  <c r="J109" i="47"/>
  <c r="J172" i="47"/>
  <c r="J173" i="47"/>
  <c r="J174" i="47"/>
  <c r="J175" i="47"/>
  <c r="I175" i="47" s="1"/>
  <c r="J176" i="47"/>
  <c r="J180" i="47"/>
  <c r="K175" i="47"/>
  <c r="K174" i="47"/>
  <c r="K173" i="47"/>
  <c r="T118" i="47"/>
  <c r="T117" i="47"/>
  <c r="T116" i="47"/>
  <c r="T115" i="47"/>
  <c r="T114" i="47"/>
  <c r="T113" i="47"/>
  <c r="T112" i="47"/>
  <c r="T7" i="47"/>
  <c r="T8" i="47"/>
  <c r="T9" i="47"/>
  <c r="T10" i="47"/>
  <c r="T11" i="47"/>
  <c r="T12" i="47"/>
  <c r="T13" i="47"/>
  <c r="T14" i="47"/>
  <c r="T15" i="47"/>
  <c r="T16" i="47"/>
  <c r="T17" i="47"/>
  <c r="T6" i="47"/>
  <c r="P7" i="47"/>
  <c r="P8" i="47"/>
  <c r="P9" i="47"/>
  <c r="P10" i="47"/>
  <c r="P11" i="47"/>
  <c r="P12" i="47"/>
  <c r="P13" i="47"/>
  <c r="P14" i="47"/>
  <c r="P15" i="47"/>
  <c r="P16" i="47"/>
  <c r="P17" i="47"/>
  <c r="P6" i="47"/>
  <c r="O7" i="47"/>
  <c r="O8" i="47"/>
  <c r="O9" i="47"/>
  <c r="O10" i="47"/>
  <c r="O11" i="47"/>
  <c r="O6" i="47"/>
  <c r="V7" i="47"/>
  <c r="V8" i="47"/>
  <c r="V9" i="47"/>
  <c r="V10" i="47"/>
  <c r="V11" i="47"/>
  <c r="V12" i="47"/>
  <c r="V13" i="47"/>
  <c r="V14" i="47"/>
  <c r="V15" i="47"/>
  <c r="V16" i="47"/>
  <c r="V17" i="47"/>
  <c r="V6" i="47"/>
  <c r="U7" i="47"/>
  <c r="U8" i="47"/>
  <c r="U9" i="47"/>
  <c r="U10" i="47"/>
  <c r="U11" i="47"/>
  <c r="U12" i="47"/>
  <c r="U13" i="47"/>
  <c r="U14" i="47"/>
  <c r="U15" i="47"/>
  <c r="U16" i="47"/>
  <c r="U17" i="47"/>
  <c r="U6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8" i="47"/>
  <c r="L59" i="47"/>
  <c r="L60" i="47"/>
  <c r="L61" i="47"/>
  <c r="L62" i="47"/>
  <c r="L63" i="47"/>
  <c r="L64" i="47"/>
  <c r="L65" i="47"/>
  <c r="L66" i="47"/>
  <c r="L67" i="47"/>
  <c r="L68" i="47"/>
  <c r="L69" i="47"/>
  <c r="L71" i="47"/>
  <c r="L72" i="47"/>
  <c r="L73" i="47"/>
  <c r="L74" i="47"/>
  <c r="L75" i="47"/>
  <c r="L76" i="47"/>
  <c r="L77" i="47"/>
  <c r="L78" i="47"/>
  <c r="L79" i="47"/>
  <c r="L80" i="47"/>
  <c r="L7" i="47"/>
  <c r="L8" i="47"/>
  <c r="L9" i="47"/>
  <c r="L10" i="47"/>
  <c r="L11" i="47"/>
  <c r="L12" i="47"/>
  <c r="L13" i="47"/>
  <c r="L14" i="47"/>
  <c r="L15" i="47"/>
  <c r="L16" i="47"/>
  <c r="L17" i="47"/>
  <c r="L6" i="47"/>
  <c r="D17" i="47"/>
  <c r="D16" i="47"/>
  <c r="D15" i="47"/>
  <c r="D14" i="47"/>
  <c r="D13" i="47"/>
  <c r="D12" i="47"/>
  <c r="D11" i="47"/>
  <c r="D10" i="47"/>
  <c r="D9" i="47"/>
  <c r="D8" i="47"/>
  <c r="D7" i="47"/>
  <c r="D6" i="47"/>
  <c r="V7" i="36"/>
  <c r="V8" i="36"/>
  <c r="V9" i="36"/>
  <c r="V10" i="36"/>
  <c r="V11" i="36"/>
  <c r="V12" i="36"/>
  <c r="V13" i="36"/>
  <c r="V14" i="36"/>
  <c r="V15" i="36"/>
  <c r="V16" i="36"/>
  <c r="V17" i="36"/>
  <c r="V6" i="36"/>
  <c r="U7" i="36"/>
  <c r="U8" i="36"/>
  <c r="U9" i="36"/>
  <c r="U10" i="36"/>
  <c r="U11" i="36"/>
  <c r="U12" i="36"/>
  <c r="U13" i="36"/>
  <c r="U14" i="36"/>
  <c r="U15" i="36"/>
  <c r="U16" i="36"/>
  <c r="U17" i="36"/>
  <c r="U6" i="36"/>
  <c r="T7" i="36"/>
  <c r="T8" i="36"/>
  <c r="T9" i="36"/>
  <c r="T10" i="36"/>
  <c r="T11" i="36"/>
  <c r="T12" i="36"/>
  <c r="T13" i="36"/>
  <c r="T14" i="36"/>
  <c r="T15" i="36"/>
  <c r="T16" i="36"/>
  <c r="T17" i="36"/>
  <c r="T6" i="36"/>
  <c r="P7" i="36"/>
  <c r="P8" i="36"/>
  <c r="P9" i="36"/>
  <c r="P10" i="36"/>
  <c r="P11" i="36"/>
  <c r="P12" i="36"/>
  <c r="P13" i="36"/>
  <c r="P14" i="36"/>
  <c r="P15" i="36"/>
  <c r="P16" i="36"/>
  <c r="P17" i="36"/>
  <c r="P6" i="36"/>
  <c r="O7" i="36"/>
  <c r="O8" i="36"/>
  <c r="O9" i="36"/>
  <c r="O10" i="36"/>
  <c r="O11" i="36"/>
  <c r="O6" i="36"/>
  <c r="L59" i="36"/>
  <c r="L60" i="36"/>
  <c r="L61" i="36"/>
  <c r="L62" i="36"/>
  <c r="L63" i="36"/>
  <c r="L64" i="36"/>
  <c r="L65" i="36"/>
  <c r="L66" i="36"/>
  <c r="L67" i="36"/>
  <c r="L68" i="36"/>
  <c r="L69" i="36"/>
  <c r="L58" i="36"/>
  <c r="L46" i="36"/>
  <c r="L47" i="36"/>
  <c r="L48" i="36"/>
  <c r="L49" i="36"/>
  <c r="L50" i="36"/>
  <c r="L51" i="36"/>
  <c r="L52" i="36"/>
  <c r="L53" i="36"/>
  <c r="L54" i="36"/>
  <c r="L55" i="36"/>
  <c r="L56" i="36"/>
  <c r="L45" i="36"/>
  <c r="L33" i="36"/>
  <c r="L34" i="36"/>
  <c r="L35" i="36"/>
  <c r="L36" i="36"/>
  <c r="L37" i="36"/>
  <c r="L38" i="36"/>
  <c r="L39" i="36"/>
  <c r="L40" i="36"/>
  <c r="L41" i="36"/>
  <c r="L42" i="36"/>
  <c r="L43" i="36"/>
  <c r="L32" i="36"/>
  <c r="L20" i="36"/>
  <c r="L21" i="36"/>
  <c r="L22" i="36"/>
  <c r="L23" i="36"/>
  <c r="L24" i="36"/>
  <c r="L25" i="36"/>
  <c r="L26" i="36"/>
  <c r="L27" i="36"/>
  <c r="L28" i="36"/>
  <c r="L29" i="36"/>
  <c r="L30" i="36"/>
  <c r="L19" i="36"/>
  <c r="L7" i="36"/>
  <c r="L8" i="36"/>
  <c r="L9" i="36"/>
  <c r="L10" i="36"/>
  <c r="L11" i="36"/>
  <c r="L12" i="36"/>
  <c r="L13" i="36"/>
  <c r="L14" i="36"/>
  <c r="L15" i="36"/>
  <c r="L16" i="36"/>
  <c r="L17" i="36"/>
  <c r="L6" i="36"/>
  <c r="DH121" i="4"/>
  <c r="DH5" i="4"/>
  <c r="DH6" i="4"/>
  <c r="DH7" i="4"/>
  <c r="DH8" i="4"/>
  <c r="DH9" i="4"/>
  <c r="DH10" i="4"/>
  <c r="DH11" i="4"/>
  <c r="DH12" i="4"/>
  <c r="DH13" i="4"/>
  <c r="DH14" i="4"/>
  <c r="DH15" i="4"/>
  <c r="DH16" i="4"/>
  <c r="DH17" i="4"/>
  <c r="DH18" i="4"/>
  <c r="DH19" i="4"/>
  <c r="DH20" i="4"/>
  <c r="DH21" i="4"/>
  <c r="DH22" i="4"/>
  <c r="DH23" i="4"/>
  <c r="DH24" i="4"/>
  <c r="DH25" i="4"/>
  <c r="DH26" i="4"/>
  <c r="DH27" i="4"/>
  <c r="DH28" i="4"/>
  <c r="DH29" i="4"/>
  <c r="DH30" i="4"/>
  <c r="DH31" i="4"/>
  <c r="DH32" i="4"/>
  <c r="DH33" i="4"/>
  <c r="DH34" i="4"/>
  <c r="DH35" i="4"/>
  <c r="DH36" i="4"/>
  <c r="DH37" i="4"/>
  <c r="DH38" i="4"/>
  <c r="DH39" i="4"/>
  <c r="DH40" i="4"/>
  <c r="DH41" i="4"/>
  <c r="DH42" i="4"/>
  <c r="DH43" i="4"/>
  <c r="DH44" i="4"/>
  <c r="DH45" i="4"/>
  <c r="DH46" i="4"/>
  <c r="DH47" i="4"/>
  <c r="DH48" i="4"/>
  <c r="DH49" i="4"/>
  <c r="DH50" i="4"/>
  <c r="DH51" i="4"/>
  <c r="DH52" i="4"/>
  <c r="DH53" i="4"/>
  <c r="DH54" i="4"/>
  <c r="DH55" i="4"/>
  <c r="DH56" i="4"/>
  <c r="DH57" i="4"/>
  <c r="DH58" i="4"/>
  <c r="DH59" i="4"/>
  <c r="DH60" i="4"/>
  <c r="DH61" i="4"/>
  <c r="DH62" i="4"/>
  <c r="DH63" i="4"/>
  <c r="DH64" i="4"/>
  <c r="DH65" i="4"/>
  <c r="DH66" i="4"/>
  <c r="DH67" i="4"/>
  <c r="DH68" i="4"/>
  <c r="DH69" i="4"/>
  <c r="DH70" i="4"/>
  <c r="DH71" i="4"/>
  <c r="DH72" i="4"/>
  <c r="DH73" i="4"/>
  <c r="DH74" i="4"/>
  <c r="DH75" i="4"/>
  <c r="DH76" i="4"/>
  <c r="DH77" i="4"/>
  <c r="DH78" i="4"/>
  <c r="DH79" i="4"/>
  <c r="DH80" i="4"/>
  <c r="DH81" i="4"/>
  <c r="DH82" i="4"/>
  <c r="DH83" i="4"/>
  <c r="DH84" i="4"/>
  <c r="DH85" i="4"/>
  <c r="DH86" i="4"/>
  <c r="DH87" i="4"/>
  <c r="DH88" i="4"/>
  <c r="DH89" i="4"/>
  <c r="DH90" i="4"/>
  <c r="DH91" i="4"/>
  <c r="DH92" i="4"/>
  <c r="DH93" i="4"/>
  <c r="DH94" i="4"/>
  <c r="DH95" i="4"/>
  <c r="DH96" i="4"/>
  <c r="DH97" i="4"/>
  <c r="DH98" i="4"/>
  <c r="DH99" i="4"/>
  <c r="DH100" i="4"/>
  <c r="DH101" i="4"/>
  <c r="DH102" i="4"/>
  <c r="DH103" i="4"/>
  <c r="DH104" i="4"/>
  <c r="DH105" i="4"/>
  <c r="DH106" i="4"/>
  <c r="DH107" i="4"/>
  <c r="DH108" i="4"/>
  <c r="DH109" i="4"/>
  <c r="DH110" i="4"/>
  <c r="DH111" i="4"/>
  <c r="DH112" i="4"/>
  <c r="DH113" i="4"/>
  <c r="DH114" i="4"/>
  <c r="DH115" i="4"/>
  <c r="DH116" i="4"/>
  <c r="DH117" i="4"/>
  <c r="DH118" i="4"/>
  <c r="DH119" i="4"/>
  <c r="DH120" i="4"/>
  <c r="DH4" i="4"/>
  <c r="DG120" i="4"/>
  <c r="DL5" i="4"/>
  <c r="DL6" i="4"/>
  <c r="DL7" i="4"/>
  <c r="DL8" i="4"/>
  <c r="DL9" i="4"/>
  <c r="DL10" i="4"/>
  <c r="DL11" i="4"/>
  <c r="DL12" i="4"/>
  <c r="DL13" i="4"/>
  <c r="DL14" i="4"/>
  <c r="DL15" i="4"/>
  <c r="DL16" i="4"/>
  <c r="DL17" i="4"/>
  <c r="DL18" i="4"/>
  <c r="DL19" i="4"/>
  <c r="DL20" i="4"/>
  <c r="DL21" i="4"/>
  <c r="DL22" i="4"/>
  <c r="DL23" i="4"/>
  <c r="DL24" i="4"/>
  <c r="DL25" i="4"/>
  <c r="DL26" i="4"/>
  <c r="DL27" i="4"/>
  <c r="DL28" i="4"/>
  <c r="DL29" i="4"/>
  <c r="DL30" i="4"/>
  <c r="DL31" i="4"/>
  <c r="DL32" i="4"/>
  <c r="DL33" i="4"/>
  <c r="DL34" i="4"/>
  <c r="DL35" i="4"/>
  <c r="DL36" i="4"/>
  <c r="DL37" i="4"/>
  <c r="DL38" i="4"/>
  <c r="DL39" i="4"/>
  <c r="DL40" i="4"/>
  <c r="DL41" i="4"/>
  <c r="DL42" i="4"/>
  <c r="DL43" i="4"/>
  <c r="DL44" i="4"/>
  <c r="DL45" i="4"/>
  <c r="DL46" i="4"/>
  <c r="DL47" i="4"/>
  <c r="DL48" i="4"/>
  <c r="DL49" i="4"/>
  <c r="DL50" i="4"/>
  <c r="DL51" i="4"/>
  <c r="DL52" i="4"/>
  <c r="DL53" i="4"/>
  <c r="DL54" i="4"/>
  <c r="DL55" i="4"/>
  <c r="DL56" i="4"/>
  <c r="DL57" i="4"/>
  <c r="DL58" i="4"/>
  <c r="DL59" i="4"/>
  <c r="DL60" i="4"/>
  <c r="DL61" i="4"/>
  <c r="DL62" i="4"/>
  <c r="DL63" i="4"/>
  <c r="DL64" i="4"/>
  <c r="DL65" i="4"/>
  <c r="DL66" i="4"/>
  <c r="DL67" i="4"/>
  <c r="DL68" i="4"/>
  <c r="DL69" i="4"/>
  <c r="DL70" i="4"/>
  <c r="DL71" i="4"/>
  <c r="DL72" i="4"/>
  <c r="DL73" i="4"/>
  <c r="DL74" i="4"/>
  <c r="DL75" i="4"/>
  <c r="DL76" i="4"/>
  <c r="DL77" i="4"/>
  <c r="DL78" i="4"/>
  <c r="DL79" i="4"/>
  <c r="DL80" i="4"/>
  <c r="DL81" i="4"/>
  <c r="DL82" i="4"/>
  <c r="DL83" i="4"/>
  <c r="DL84" i="4"/>
  <c r="DL85" i="4"/>
  <c r="DL86" i="4"/>
  <c r="DL87" i="4"/>
  <c r="DL88" i="4"/>
  <c r="DL89" i="4"/>
  <c r="DL90" i="4"/>
  <c r="DL91" i="4"/>
  <c r="DL92" i="4"/>
  <c r="DL93" i="4"/>
  <c r="DL94" i="4"/>
  <c r="DL95" i="4"/>
  <c r="DL96" i="4"/>
  <c r="DL97" i="4"/>
  <c r="DL98" i="4"/>
  <c r="DL99" i="4"/>
  <c r="DL100" i="4"/>
  <c r="DL101" i="4"/>
  <c r="DL102" i="4"/>
  <c r="DL103" i="4"/>
  <c r="DL104" i="4"/>
  <c r="DL105" i="4"/>
  <c r="DL106" i="4"/>
  <c r="DL107" i="4"/>
  <c r="DL108" i="4"/>
  <c r="DL109" i="4"/>
  <c r="DL110" i="4"/>
  <c r="DL111" i="4"/>
  <c r="DL112" i="4"/>
  <c r="DL113" i="4"/>
  <c r="DL114" i="4"/>
  <c r="DL115" i="4"/>
  <c r="DL116" i="4"/>
  <c r="DL117" i="4"/>
  <c r="DL118" i="4"/>
  <c r="DL119" i="4"/>
  <c r="DL120" i="4"/>
  <c r="DL121" i="4"/>
  <c r="L71" i="36"/>
  <c r="L72" i="36"/>
  <c r="L73" i="36"/>
  <c r="L74" i="36"/>
  <c r="L75" i="36"/>
  <c r="L76" i="36"/>
  <c r="L77" i="36"/>
  <c r="L78" i="36"/>
  <c r="L79" i="36"/>
  <c r="DQ5" i="4"/>
  <c r="DQ6" i="4"/>
  <c r="DQ7" i="4"/>
  <c r="DQ8" i="4"/>
  <c r="DQ9" i="4"/>
  <c r="DQ10" i="4"/>
  <c r="DQ11" i="4"/>
  <c r="DQ12" i="4"/>
  <c r="DQ13" i="4"/>
  <c r="DQ14" i="4"/>
  <c r="DQ15" i="4"/>
  <c r="DQ16" i="4"/>
  <c r="DQ17" i="4"/>
  <c r="DQ18" i="4"/>
  <c r="DQ19" i="4"/>
  <c r="DQ20" i="4"/>
  <c r="DQ21" i="4"/>
  <c r="DQ22" i="4"/>
  <c r="DQ23" i="4"/>
  <c r="DQ24" i="4"/>
  <c r="DQ25" i="4"/>
  <c r="DQ26" i="4"/>
  <c r="DQ27" i="4"/>
  <c r="DQ28" i="4"/>
  <c r="DQ29" i="4"/>
  <c r="DQ30" i="4"/>
  <c r="DQ31" i="4"/>
  <c r="DQ32" i="4"/>
  <c r="DQ33" i="4"/>
  <c r="DQ34" i="4"/>
  <c r="DQ35" i="4"/>
  <c r="DQ36" i="4"/>
  <c r="DQ37" i="4"/>
  <c r="DQ38" i="4"/>
  <c r="DQ39" i="4"/>
  <c r="DQ40" i="4"/>
  <c r="DQ41" i="4"/>
  <c r="DQ42" i="4"/>
  <c r="DQ43" i="4"/>
  <c r="DQ44" i="4"/>
  <c r="DQ45" i="4"/>
  <c r="DQ46" i="4"/>
  <c r="DQ47" i="4"/>
  <c r="DQ48" i="4"/>
  <c r="DQ49" i="4"/>
  <c r="DQ50" i="4"/>
  <c r="DQ51" i="4"/>
  <c r="DQ52" i="4"/>
  <c r="DQ53" i="4"/>
  <c r="DQ54" i="4"/>
  <c r="DQ55" i="4"/>
  <c r="DQ56" i="4"/>
  <c r="DQ57" i="4"/>
  <c r="DQ58" i="4"/>
  <c r="DQ59" i="4"/>
  <c r="DQ60" i="4"/>
  <c r="DQ61" i="4"/>
  <c r="DQ62" i="4"/>
  <c r="DQ63" i="4"/>
  <c r="DQ64" i="4"/>
  <c r="DQ65" i="4"/>
  <c r="DQ66" i="4"/>
  <c r="DQ67" i="4"/>
  <c r="DQ68" i="4"/>
  <c r="DQ69" i="4"/>
  <c r="DQ70" i="4"/>
  <c r="DQ71" i="4"/>
  <c r="DQ72" i="4"/>
  <c r="DQ73" i="4"/>
  <c r="DQ74" i="4"/>
  <c r="DQ75" i="4"/>
  <c r="DQ76" i="4"/>
  <c r="DQ77" i="4"/>
  <c r="DQ78" i="4"/>
  <c r="DQ79" i="4"/>
  <c r="DQ80" i="4"/>
  <c r="DQ81" i="4"/>
  <c r="DQ82" i="4"/>
  <c r="DQ83" i="4"/>
  <c r="DQ84" i="4"/>
  <c r="DQ85" i="4"/>
  <c r="DQ86" i="4"/>
  <c r="DQ87" i="4"/>
  <c r="DQ88" i="4"/>
  <c r="DQ89" i="4"/>
  <c r="DQ90" i="4"/>
  <c r="DQ91" i="4"/>
  <c r="DQ92" i="4"/>
  <c r="DQ93" i="4"/>
  <c r="DQ94" i="4"/>
  <c r="DQ95" i="4"/>
  <c r="DQ96" i="4"/>
  <c r="DQ97" i="4"/>
  <c r="DQ98" i="4"/>
  <c r="DQ99" i="4"/>
  <c r="DQ100" i="4"/>
  <c r="DQ101" i="4"/>
  <c r="DQ102" i="4"/>
  <c r="DQ103" i="4"/>
  <c r="DQ104" i="4"/>
  <c r="DQ105" i="4"/>
  <c r="DQ106" i="4"/>
  <c r="DQ107" i="4"/>
  <c r="DQ108" i="4"/>
  <c r="DQ109" i="4"/>
  <c r="DQ110" i="4"/>
  <c r="DQ111" i="4"/>
  <c r="DQ112" i="4"/>
  <c r="DQ113" i="4"/>
  <c r="DQ114" i="4"/>
  <c r="DQ115" i="4"/>
  <c r="DQ116" i="4"/>
  <c r="DQ117" i="4"/>
  <c r="DQ118" i="4"/>
  <c r="DQ119" i="4"/>
  <c r="DQ120" i="4"/>
  <c r="DQ121" i="4"/>
  <c r="DQ4" i="4"/>
  <c r="J179" i="36"/>
  <c r="J181" i="47"/>
  <c r="I181" i="47" s="1"/>
  <c r="V98" i="47" l="1"/>
  <c r="D98" i="47"/>
  <c r="P98" i="47"/>
  <c r="L102" i="47"/>
  <c r="U98" i="47"/>
  <c r="L98" i="47"/>
  <c r="L103" i="47"/>
  <c r="T98" i="47"/>
  <c r="S81" i="47"/>
  <c r="Y81" i="47" s="1"/>
  <c r="X12" i="47"/>
  <c r="R81" i="36"/>
  <c r="N81" i="36"/>
  <c r="X14" i="47"/>
  <c r="X13" i="47"/>
  <c r="X15" i="47"/>
  <c r="X7" i="47"/>
  <c r="X11" i="47"/>
  <c r="X6" i="47"/>
  <c r="X10" i="47"/>
  <c r="X17" i="47"/>
  <c r="X9" i="47"/>
  <c r="X16" i="47"/>
  <c r="X8" i="47"/>
  <c r="R9" i="47"/>
  <c r="R7" i="47"/>
  <c r="R8" i="47"/>
  <c r="R11" i="47"/>
  <c r="R10" i="47"/>
  <c r="R6" i="47"/>
  <c r="U80" i="47"/>
  <c r="T80" i="47"/>
  <c r="P80" i="47"/>
  <c r="D80" i="47"/>
  <c r="T181" i="47"/>
  <c r="P181" i="47"/>
  <c r="O181" i="47"/>
  <c r="K181" i="47"/>
  <c r="G181" i="47"/>
  <c r="D80" i="36"/>
  <c r="T179" i="36"/>
  <c r="X179" i="36" s="1"/>
  <c r="P179" i="36"/>
  <c r="O179" i="36"/>
  <c r="K179" i="36"/>
  <c r="G179" i="36"/>
  <c r="T80" i="36"/>
  <c r="U80" i="36"/>
  <c r="DG121" i="4"/>
  <c r="DI121" i="4" s="1"/>
  <c r="DK121" i="4"/>
  <c r="G80" i="36" s="1"/>
  <c r="DM121" i="4"/>
  <c r="DN121" i="4"/>
  <c r="DO121" i="4"/>
  <c r="DP121" i="4"/>
  <c r="I80" i="36" s="1"/>
  <c r="DR121" i="4"/>
  <c r="J80" i="36" s="1"/>
  <c r="DS121" i="4"/>
  <c r="M80" i="36" s="1"/>
  <c r="DT121" i="4"/>
  <c r="DU121" i="4"/>
  <c r="O80" i="36" s="1"/>
  <c r="EA121" i="4"/>
  <c r="T79" i="36"/>
  <c r="U79" i="36"/>
  <c r="P118" i="47"/>
  <c r="O118" i="47"/>
  <c r="K118" i="47"/>
  <c r="J118" i="47"/>
  <c r="I118" i="47" s="1"/>
  <c r="N118" i="47" s="1"/>
  <c r="G118" i="47"/>
  <c r="P117" i="47"/>
  <c r="O117" i="47"/>
  <c r="K117" i="47"/>
  <c r="I117" i="47"/>
  <c r="G117" i="47"/>
  <c r="X116" i="47"/>
  <c r="P116" i="47"/>
  <c r="O116" i="47"/>
  <c r="K116" i="47"/>
  <c r="J116" i="47"/>
  <c r="I116" i="47" s="1"/>
  <c r="N116" i="47" s="1"/>
  <c r="G116" i="47"/>
  <c r="P115" i="47"/>
  <c r="O115" i="47"/>
  <c r="K115" i="47"/>
  <c r="J115" i="47"/>
  <c r="I115" i="47" s="1"/>
  <c r="N115" i="47" s="1"/>
  <c r="G115" i="47"/>
  <c r="P114" i="47"/>
  <c r="O114" i="47"/>
  <c r="K114" i="47"/>
  <c r="J114" i="47"/>
  <c r="I114" i="47" s="1"/>
  <c r="G114" i="47"/>
  <c r="P113" i="47"/>
  <c r="O113" i="47"/>
  <c r="K113" i="47"/>
  <c r="J113" i="47"/>
  <c r="I113" i="47" s="1"/>
  <c r="G113" i="47"/>
  <c r="K112" i="47"/>
  <c r="N112" i="47" s="1"/>
  <c r="G112" i="47"/>
  <c r="T111" i="47"/>
  <c r="K111" i="47"/>
  <c r="N111" i="47" s="1"/>
  <c r="G111" i="47"/>
  <c r="T110" i="47"/>
  <c r="K110" i="47"/>
  <c r="N110" i="47" s="1"/>
  <c r="G110" i="47"/>
  <c r="T109" i="47"/>
  <c r="K109" i="47"/>
  <c r="I109" i="47"/>
  <c r="G109" i="47"/>
  <c r="G105" i="36"/>
  <c r="T118" i="36"/>
  <c r="X118" i="36" s="1"/>
  <c r="P118" i="36"/>
  <c r="O118" i="36"/>
  <c r="K118" i="36"/>
  <c r="J118" i="36"/>
  <c r="I118" i="36" s="1"/>
  <c r="G118" i="36"/>
  <c r="U116" i="36"/>
  <c r="T116" i="36"/>
  <c r="P116" i="36"/>
  <c r="O116" i="36"/>
  <c r="K116" i="36"/>
  <c r="J116" i="36"/>
  <c r="I116" i="36" s="1"/>
  <c r="G116" i="36"/>
  <c r="U115" i="36"/>
  <c r="T115" i="36"/>
  <c r="P115" i="36"/>
  <c r="O115" i="36"/>
  <c r="K115" i="36"/>
  <c r="I115" i="36"/>
  <c r="G115" i="36"/>
  <c r="T114" i="36"/>
  <c r="X114" i="36" s="1"/>
  <c r="P114" i="36"/>
  <c r="O114" i="36"/>
  <c r="K114" i="36"/>
  <c r="J114" i="36"/>
  <c r="I114" i="36" s="1"/>
  <c r="G114" i="36"/>
  <c r="U113" i="36"/>
  <c r="T113" i="36"/>
  <c r="P113" i="36"/>
  <c r="O113" i="36"/>
  <c r="K113" i="36"/>
  <c r="J113" i="36"/>
  <c r="I113" i="36" s="1"/>
  <c r="G113" i="36"/>
  <c r="U112" i="36"/>
  <c r="T112" i="36"/>
  <c r="P112" i="36"/>
  <c r="O112" i="36"/>
  <c r="K112" i="36"/>
  <c r="J112" i="36"/>
  <c r="I112" i="36" s="1"/>
  <c r="G112" i="36"/>
  <c r="U111" i="36"/>
  <c r="T111" i="36"/>
  <c r="P111" i="36"/>
  <c r="O111" i="36"/>
  <c r="K111" i="36"/>
  <c r="J111" i="36"/>
  <c r="I111" i="36" s="1"/>
  <c r="G111" i="36"/>
  <c r="U110" i="36"/>
  <c r="T110" i="36"/>
  <c r="K110" i="36"/>
  <c r="J110" i="36"/>
  <c r="I110" i="36" s="1"/>
  <c r="G110" i="36"/>
  <c r="V109" i="36"/>
  <c r="U109" i="36"/>
  <c r="T109" i="36"/>
  <c r="K109" i="36"/>
  <c r="J109" i="36"/>
  <c r="I109" i="36" s="1"/>
  <c r="G109" i="36"/>
  <c r="V108" i="36"/>
  <c r="U108" i="36"/>
  <c r="T108" i="36"/>
  <c r="K108" i="36"/>
  <c r="J108" i="36"/>
  <c r="I108" i="36" s="1"/>
  <c r="G108" i="36"/>
  <c r="V107" i="36"/>
  <c r="U107" i="36"/>
  <c r="T107" i="36"/>
  <c r="K107" i="36"/>
  <c r="I107" i="36"/>
  <c r="G107" i="36"/>
  <c r="V106" i="36"/>
  <c r="U106" i="36"/>
  <c r="T106" i="36"/>
  <c r="K106" i="36"/>
  <c r="I106" i="36"/>
  <c r="G106" i="36"/>
  <c r="T105" i="36"/>
  <c r="X105" i="36" s="1"/>
  <c r="K105" i="36"/>
  <c r="I105" i="36"/>
  <c r="X98" i="47" l="1"/>
  <c r="N113" i="47"/>
  <c r="S113" i="47" s="1"/>
  <c r="H80" i="36"/>
  <c r="I80" i="47"/>
  <c r="K80" i="47"/>
  <c r="J80" i="47"/>
  <c r="H80" i="47"/>
  <c r="M80" i="47"/>
  <c r="S81" i="36"/>
  <c r="Y81" i="36" s="1"/>
  <c r="EC121" i="4"/>
  <c r="O80" i="47"/>
  <c r="R80" i="47" s="1"/>
  <c r="S115" i="47"/>
  <c r="S118" i="47"/>
  <c r="N109" i="47"/>
  <c r="S109" i="47" s="1"/>
  <c r="S112" i="47"/>
  <c r="S110" i="47"/>
  <c r="S111" i="47"/>
  <c r="S116" i="47"/>
  <c r="N114" i="47"/>
  <c r="S114" i="47" s="1"/>
  <c r="N117" i="47"/>
  <c r="S117" i="47" s="1"/>
  <c r="R113" i="47"/>
  <c r="N111" i="36"/>
  <c r="X80" i="47"/>
  <c r="G80" i="47"/>
  <c r="C80" i="47" s="1"/>
  <c r="DZ121" i="4"/>
  <c r="K80" i="36"/>
  <c r="N80" i="36" s="1"/>
  <c r="DX121" i="4"/>
  <c r="X111" i="36"/>
  <c r="N110" i="36"/>
  <c r="S110" i="36" s="1"/>
  <c r="X112" i="36"/>
  <c r="X80" i="36"/>
  <c r="R179" i="36"/>
  <c r="X108" i="36"/>
  <c r="N116" i="36"/>
  <c r="N109" i="36"/>
  <c r="S109" i="36" s="1"/>
  <c r="R181" i="47"/>
  <c r="X181" i="47"/>
  <c r="N181" i="47"/>
  <c r="X110" i="47"/>
  <c r="R114" i="47"/>
  <c r="X113" i="47"/>
  <c r="R118" i="47"/>
  <c r="R116" i="47"/>
  <c r="X117" i="47"/>
  <c r="X112" i="47"/>
  <c r="X110" i="36"/>
  <c r="X116" i="36"/>
  <c r="X79" i="36"/>
  <c r="R112" i="36"/>
  <c r="N118" i="36"/>
  <c r="R115" i="36"/>
  <c r="I179" i="36"/>
  <c r="C80" i="36"/>
  <c r="C179" i="36" s="1"/>
  <c r="N115" i="36"/>
  <c r="R80" i="36"/>
  <c r="N113" i="36"/>
  <c r="R113" i="36"/>
  <c r="R114" i="36"/>
  <c r="X115" i="36"/>
  <c r="R116" i="36"/>
  <c r="N114" i="36"/>
  <c r="X114" i="47"/>
  <c r="X109" i="47"/>
  <c r="R115" i="47"/>
  <c r="X118" i="47"/>
  <c r="X115" i="47"/>
  <c r="X111" i="47"/>
  <c r="R117" i="47"/>
  <c r="R118" i="36"/>
  <c r="X109" i="36"/>
  <c r="X113" i="36"/>
  <c r="R111" i="36"/>
  <c r="S111" i="36" s="1"/>
  <c r="X106" i="36"/>
  <c r="X107" i="36"/>
  <c r="N112" i="36"/>
  <c r="N80" i="47" l="1"/>
  <c r="S80" i="47" s="1"/>
  <c r="Y80" i="47" s="1"/>
  <c r="Y115" i="47"/>
  <c r="S114" i="36"/>
  <c r="Y114" i="36" s="1"/>
  <c r="Y111" i="36"/>
  <c r="S118" i="36"/>
  <c r="Y118" i="36" s="1"/>
  <c r="S115" i="36"/>
  <c r="Y115" i="36" s="1"/>
  <c r="S112" i="36"/>
  <c r="Y112" i="36" s="1"/>
  <c r="N179" i="36"/>
  <c r="S116" i="36"/>
  <c r="Y116" i="36" s="1"/>
  <c r="S80" i="36"/>
  <c r="Y80" i="36" s="1"/>
  <c r="Y110" i="36"/>
  <c r="S113" i="36"/>
  <c r="Y113" i="36" s="1"/>
  <c r="S181" i="47"/>
  <c r="Y116" i="47"/>
  <c r="Y113" i="47"/>
  <c r="Y114" i="47"/>
  <c r="Y117" i="47"/>
  <c r="Y112" i="47"/>
  <c r="Y111" i="47"/>
  <c r="Y118" i="47"/>
  <c r="Y109" i="36"/>
  <c r="S179" i="36" l="1"/>
  <c r="Y181" i="47"/>
  <c r="E103" i="36"/>
  <c r="F103" i="36"/>
  <c r="V103" i="36"/>
  <c r="W103" i="36"/>
  <c r="E102" i="36"/>
  <c r="F102" i="36"/>
  <c r="V102" i="36"/>
  <c r="W102" i="36"/>
  <c r="E101" i="36"/>
  <c r="F101" i="36"/>
  <c r="V101" i="36"/>
  <c r="W101" i="36"/>
  <c r="E100" i="36"/>
  <c r="F100" i="36"/>
  <c r="W100" i="36"/>
  <c r="E99" i="36"/>
  <c r="F99" i="36"/>
  <c r="W99" i="36"/>
  <c r="E98" i="36"/>
  <c r="F98" i="36"/>
  <c r="W98" i="36"/>
  <c r="V19" i="36"/>
  <c r="U19" i="36"/>
  <c r="T19" i="36"/>
  <c r="D19" i="36"/>
  <c r="Y179" i="36" l="1"/>
  <c r="U98" i="36"/>
  <c r="L103" i="36"/>
  <c r="L102" i="36"/>
  <c r="L98" i="36"/>
  <c r="L100" i="36"/>
  <c r="T98" i="36"/>
  <c r="L101" i="36"/>
  <c r="V98" i="36"/>
  <c r="L99" i="36"/>
  <c r="X7" i="36"/>
  <c r="X8" i="36"/>
  <c r="X9" i="36"/>
  <c r="X10" i="36"/>
  <c r="X11" i="36"/>
  <c r="X12" i="36"/>
  <c r="X13" i="36"/>
  <c r="X14" i="36"/>
  <c r="X15" i="36"/>
  <c r="X16" i="36"/>
  <c r="X17" i="36"/>
  <c r="X19" i="36"/>
  <c r="X6" i="36"/>
  <c r="D17" i="36"/>
  <c r="D16" i="36"/>
  <c r="D15" i="36"/>
  <c r="D14" i="36"/>
  <c r="D13" i="36"/>
  <c r="D12" i="36"/>
  <c r="D11" i="36"/>
  <c r="D10" i="36"/>
  <c r="D9" i="36"/>
  <c r="D8" i="36"/>
  <c r="D7" i="36"/>
  <c r="D6" i="36"/>
  <c r="N107" i="36" l="1"/>
  <c r="S107" i="36" s="1"/>
  <c r="Y107" i="36" s="1"/>
  <c r="N108" i="36"/>
  <c r="S108" i="36" s="1"/>
  <c r="Y108" i="36" s="1"/>
  <c r="N105" i="36"/>
  <c r="S105" i="36" s="1"/>
  <c r="Y105" i="36" s="1"/>
  <c r="N106" i="36"/>
  <c r="S106" i="36" s="1"/>
  <c r="Y106" i="36" s="1"/>
  <c r="R11" i="36"/>
  <c r="X98" i="36"/>
  <c r="D98" i="36"/>
  <c r="Q98" i="36"/>
  <c r="R8" i="36"/>
  <c r="R6" i="36"/>
  <c r="R7" i="36"/>
  <c r="R10" i="36"/>
  <c r="R9" i="36"/>
  <c r="C135" i="4" l="1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BC135" i="4"/>
  <c r="BD135" i="4"/>
  <c r="BE135" i="4"/>
  <c r="BF135" i="4"/>
  <c r="BG135" i="4"/>
  <c r="BH135" i="4"/>
  <c r="BI135" i="4"/>
  <c r="BJ135" i="4"/>
  <c r="BK135" i="4"/>
  <c r="BL135" i="4"/>
  <c r="BM135" i="4"/>
  <c r="BN135" i="4"/>
  <c r="BO135" i="4"/>
  <c r="BP135" i="4"/>
  <c r="BQ135" i="4"/>
  <c r="BR135" i="4"/>
  <c r="BS135" i="4"/>
  <c r="BT135" i="4"/>
  <c r="BU135" i="4"/>
  <c r="BV135" i="4"/>
  <c r="BW135" i="4"/>
  <c r="BX135" i="4"/>
  <c r="BY135" i="4"/>
  <c r="BZ135" i="4"/>
  <c r="CA135" i="4"/>
  <c r="CB135" i="4"/>
  <c r="CC135" i="4"/>
  <c r="CD135" i="4"/>
  <c r="CE135" i="4"/>
  <c r="CF135" i="4"/>
  <c r="CG135" i="4"/>
  <c r="CH135" i="4"/>
  <c r="CI135" i="4"/>
  <c r="CJ135" i="4"/>
  <c r="CK135" i="4"/>
  <c r="CL135" i="4"/>
  <c r="CM135" i="4"/>
  <c r="CN135" i="4"/>
  <c r="CO135" i="4"/>
  <c r="CP135" i="4"/>
  <c r="CQ135" i="4"/>
  <c r="CR135" i="4"/>
  <c r="CS135" i="4"/>
  <c r="CT135" i="4"/>
  <c r="CU135" i="4"/>
  <c r="CV135" i="4"/>
  <c r="CW135" i="4"/>
  <c r="CX135" i="4"/>
  <c r="CY135" i="4"/>
  <c r="CZ135" i="4"/>
  <c r="DA135" i="4"/>
  <c r="DB135" i="4"/>
  <c r="DC135" i="4"/>
  <c r="DD135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X134" i="4"/>
  <c r="AY134" i="4"/>
  <c r="AZ134" i="4"/>
  <c r="BA134" i="4"/>
  <c r="BB134" i="4"/>
  <c r="BC134" i="4"/>
  <c r="BD134" i="4"/>
  <c r="BE134" i="4"/>
  <c r="BF134" i="4"/>
  <c r="BG134" i="4"/>
  <c r="BH134" i="4"/>
  <c r="BI134" i="4"/>
  <c r="BJ134" i="4"/>
  <c r="BK134" i="4"/>
  <c r="BL134" i="4"/>
  <c r="BM134" i="4"/>
  <c r="BN134" i="4"/>
  <c r="BO134" i="4"/>
  <c r="BP134" i="4"/>
  <c r="BQ134" i="4"/>
  <c r="BR134" i="4"/>
  <c r="BS134" i="4"/>
  <c r="BT134" i="4"/>
  <c r="BU134" i="4"/>
  <c r="BV134" i="4"/>
  <c r="BW134" i="4"/>
  <c r="BX134" i="4"/>
  <c r="BY134" i="4"/>
  <c r="BZ134" i="4"/>
  <c r="CA134" i="4"/>
  <c r="CB134" i="4"/>
  <c r="CC134" i="4"/>
  <c r="CD134" i="4"/>
  <c r="CE134" i="4"/>
  <c r="CF134" i="4"/>
  <c r="CG134" i="4"/>
  <c r="CH134" i="4"/>
  <c r="CI134" i="4"/>
  <c r="CJ134" i="4"/>
  <c r="CK134" i="4"/>
  <c r="CL134" i="4"/>
  <c r="CM134" i="4"/>
  <c r="CN134" i="4"/>
  <c r="CO134" i="4"/>
  <c r="CP134" i="4"/>
  <c r="CQ134" i="4"/>
  <c r="CR134" i="4"/>
  <c r="CS134" i="4"/>
  <c r="CT134" i="4"/>
  <c r="CU134" i="4"/>
  <c r="CV134" i="4"/>
  <c r="CW134" i="4"/>
  <c r="CX134" i="4"/>
  <c r="CY134" i="4"/>
  <c r="CZ134" i="4"/>
  <c r="DA134" i="4"/>
  <c r="DB134" i="4"/>
  <c r="DC134" i="4"/>
  <c r="DD134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BG133" i="4"/>
  <c r="BH133" i="4"/>
  <c r="BI133" i="4"/>
  <c r="BJ133" i="4"/>
  <c r="BK133" i="4"/>
  <c r="BL133" i="4"/>
  <c r="BM133" i="4"/>
  <c r="BN133" i="4"/>
  <c r="BO133" i="4"/>
  <c r="BP133" i="4"/>
  <c r="BQ133" i="4"/>
  <c r="BR133" i="4"/>
  <c r="BS133" i="4"/>
  <c r="BT133" i="4"/>
  <c r="BU133" i="4"/>
  <c r="BV133" i="4"/>
  <c r="BW133" i="4"/>
  <c r="BX133" i="4"/>
  <c r="BY133" i="4"/>
  <c r="BZ133" i="4"/>
  <c r="CA133" i="4"/>
  <c r="CB133" i="4"/>
  <c r="CC133" i="4"/>
  <c r="CD133" i="4"/>
  <c r="CE133" i="4"/>
  <c r="CF133" i="4"/>
  <c r="CG133" i="4"/>
  <c r="CH133" i="4"/>
  <c r="CI133" i="4"/>
  <c r="CJ133" i="4"/>
  <c r="CK133" i="4"/>
  <c r="CL133" i="4"/>
  <c r="CM133" i="4"/>
  <c r="CN133" i="4"/>
  <c r="CO133" i="4"/>
  <c r="CP133" i="4"/>
  <c r="CQ133" i="4"/>
  <c r="CR133" i="4"/>
  <c r="CS133" i="4"/>
  <c r="CT133" i="4"/>
  <c r="CU133" i="4"/>
  <c r="CV133" i="4"/>
  <c r="CW133" i="4"/>
  <c r="CX133" i="4"/>
  <c r="CY133" i="4"/>
  <c r="CZ133" i="4"/>
  <c r="DA133" i="4"/>
  <c r="DB133" i="4"/>
  <c r="DC133" i="4"/>
  <c r="DD133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A132" i="4"/>
  <c r="BB132" i="4"/>
  <c r="BC132" i="4"/>
  <c r="BD132" i="4"/>
  <c r="BE132" i="4"/>
  <c r="BF132" i="4"/>
  <c r="BG132" i="4"/>
  <c r="BH132" i="4"/>
  <c r="BI132" i="4"/>
  <c r="BJ132" i="4"/>
  <c r="BK132" i="4"/>
  <c r="BL132" i="4"/>
  <c r="BM132" i="4"/>
  <c r="BN132" i="4"/>
  <c r="BO132" i="4"/>
  <c r="BP132" i="4"/>
  <c r="BQ132" i="4"/>
  <c r="BR132" i="4"/>
  <c r="BS132" i="4"/>
  <c r="BT132" i="4"/>
  <c r="BU132" i="4"/>
  <c r="BV132" i="4"/>
  <c r="BW132" i="4"/>
  <c r="BX132" i="4"/>
  <c r="BY132" i="4"/>
  <c r="BZ132" i="4"/>
  <c r="CA132" i="4"/>
  <c r="CB132" i="4"/>
  <c r="CC132" i="4"/>
  <c r="CD132" i="4"/>
  <c r="CE132" i="4"/>
  <c r="CF132" i="4"/>
  <c r="CG132" i="4"/>
  <c r="CH132" i="4"/>
  <c r="CI132" i="4"/>
  <c r="CJ132" i="4"/>
  <c r="CK132" i="4"/>
  <c r="CL132" i="4"/>
  <c r="CM132" i="4"/>
  <c r="CN132" i="4"/>
  <c r="CO132" i="4"/>
  <c r="CP132" i="4"/>
  <c r="CQ132" i="4"/>
  <c r="CR132" i="4"/>
  <c r="CY132" i="4"/>
  <c r="CZ132" i="4"/>
  <c r="DA132" i="4"/>
  <c r="DB132" i="4"/>
  <c r="DC132" i="4"/>
  <c r="DD132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G131" i="4"/>
  <c r="BH131" i="4"/>
  <c r="BI131" i="4"/>
  <c r="BJ131" i="4"/>
  <c r="BK131" i="4"/>
  <c r="BL131" i="4"/>
  <c r="BM131" i="4"/>
  <c r="BN131" i="4"/>
  <c r="BO131" i="4"/>
  <c r="BP131" i="4"/>
  <c r="BQ131" i="4"/>
  <c r="BR131" i="4"/>
  <c r="BS131" i="4"/>
  <c r="BT131" i="4"/>
  <c r="BU131" i="4"/>
  <c r="BV131" i="4"/>
  <c r="BW131" i="4"/>
  <c r="BX131" i="4"/>
  <c r="BY131" i="4"/>
  <c r="BZ131" i="4"/>
  <c r="CA131" i="4"/>
  <c r="CB131" i="4"/>
  <c r="CC131" i="4"/>
  <c r="CD131" i="4"/>
  <c r="CE131" i="4"/>
  <c r="CF131" i="4"/>
  <c r="CG131" i="4"/>
  <c r="CH131" i="4"/>
  <c r="CI131" i="4"/>
  <c r="CJ131" i="4"/>
  <c r="CK131" i="4"/>
  <c r="CL131" i="4"/>
  <c r="CM131" i="4"/>
  <c r="CN131" i="4"/>
  <c r="CO131" i="4"/>
  <c r="CP131" i="4"/>
  <c r="CQ131" i="4"/>
  <c r="CR131" i="4"/>
  <c r="CY131" i="4"/>
  <c r="CZ131" i="4"/>
  <c r="DA131" i="4"/>
  <c r="DB131" i="4"/>
  <c r="DC131" i="4"/>
  <c r="DD131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X130" i="4"/>
  <c r="AY130" i="4"/>
  <c r="AZ130" i="4"/>
  <c r="BA130" i="4"/>
  <c r="BB130" i="4"/>
  <c r="BC130" i="4"/>
  <c r="BD130" i="4"/>
  <c r="BE130" i="4"/>
  <c r="BF130" i="4"/>
  <c r="BG130" i="4"/>
  <c r="BH130" i="4"/>
  <c r="BI130" i="4"/>
  <c r="BJ130" i="4"/>
  <c r="BK130" i="4"/>
  <c r="BL130" i="4"/>
  <c r="BM130" i="4"/>
  <c r="BN130" i="4"/>
  <c r="BO130" i="4"/>
  <c r="BP130" i="4"/>
  <c r="BQ130" i="4"/>
  <c r="BR130" i="4"/>
  <c r="BS130" i="4"/>
  <c r="BT130" i="4"/>
  <c r="BU130" i="4"/>
  <c r="BV130" i="4"/>
  <c r="BW130" i="4"/>
  <c r="BX130" i="4"/>
  <c r="BY130" i="4"/>
  <c r="BZ130" i="4"/>
  <c r="CA130" i="4"/>
  <c r="CB130" i="4"/>
  <c r="CC130" i="4"/>
  <c r="CD130" i="4"/>
  <c r="CE130" i="4"/>
  <c r="CF130" i="4"/>
  <c r="CG130" i="4"/>
  <c r="CH130" i="4"/>
  <c r="CI130" i="4"/>
  <c r="CJ130" i="4"/>
  <c r="CK130" i="4"/>
  <c r="CL130" i="4"/>
  <c r="CM130" i="4"/>
  <c r="CN130" i="4"/>
  <c r="CO130" i="4"/>
  <c r="CP130" i="4"/>
  <c r="CQ130" i="4"/>
  <c r="CR130" i="4"/>
  <c r="CY130" i="4"/>
  <c r="CZ130" i="4"/>
  <c r="DA130" i="4"/>
  <c r="DB130" i="4"/>
  <c r="DC130" i="4"/>
  <c r="DD130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BH129" i="4"/>
  <c r="BI129" i="4"/>
  <c r="BJ129" i="4"/>
  <c r="BK129" i="4"/>
  <c r="BL129" i="4"/>
  <c r="BM129" i="4"/>
  <c r="BN129" i="4"/>
  <c r="BO129" i="4"/>
  <c r="BP129" i="4"/>
  <c r="BQ129" i="4"/>
  <c r="BR129" i="4"/>
  <c r="BS129" i="4"/>
  <c r="BT129" i="4"/>
  <c r="BU129" i="4"/>
  <c r="BV129" i="4"/>
  <c r="BW129" i="4"/>
  <c r="BX129" i="4"/>
  <c r="BY129" i="4"/>
  <c r="BZ129" i="4"/>
  <c r="CA129" i="4"/>
  <c r="CB129" i="4"/>
  <c r="CC129" i="4"/>
  <c r="CD129" i="4"/>
  <c r="CE129" i="4"/>
  <c r="CF129" i="4"/>
  <c r="CG129" i="4"/>
  <c r="CH129" i="4"/>
  <c r="CI129" i="4"/>
  <c r="CJ129" i="4"/>
  <c r="CK129" i="4"/>
  <c r="CL129" i="4"/>
  <c r="CM129" i="4"/>
  <c r="CN129" i="4"/>
  <c r="CO129" i="4"/>
  <c r="CP129" i="4"/>
  <c r="CQ129" i="4"/>
  <c r="CR129" i="4"/>
  <c r="CY129" i="4"/>
  <c r="CZ129" i="4"/>
  <c r="DA129" i="4"/>
  <c r="DB129" i="4"/>
  <c r="DC129" i="4"/>
  <c r="DD129" i="4"/>
  <c r="B135" i="4"/>
  <c r="B134" i="4"/>
  <c r="B133" i="4"/>
  <c r="B132" i="4"/>
  <c r="B131" i="4"/>
  <c r="B130" i="4"/>
  <c r="EA56" i="4" l="1"/>
  <c r="DT56" i="4"/>
  <c r="DS56" i="4"/>
  <c r="DR56" i="4"/>
  <c r="DP56" i="4"/>
  <c r="DO56" i="4"/>
  <c r="DN56" i="4"/>
  <c r="DM56" i="4"/>
  <c r="DK56" i="4"/>
  <c r="DG56" i="4"/>
  <c r="H10" i="36" l="1"/>
  <c r="H10" i="47"/>
  <c r="J10" i="36"/>
  <c r="J10" i="47"/>
  <c r="K10" i="36"/>
  <c r="K10" i="47"/>
  <c r="I10" i="36"/>
  <c r="I10" i="47"/>
  <c r="M10" i="47"/>
  <c r="M10" i="36"/>
  <c r="G10" i="36"/>
  <c r="G10" i="47"/>
  <c r="DZ56" i="4"/>
  <c r="DI56" i="4"/>
  <c r="EC56" i="4" s="1"/>
  <c r="DX56" i="4"/>
  <c r="N10" i="47" l="1"/>
  <c r="S10" i="47" s="1"/>
  <c r="Y10" i="47" s="1"/>
  <c r="C10" i="47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X128" i="4"/>
  <c r="AY128" i="4"/>
  <c r="AZ128" i="4"/>
  <c r="BA128" i="4"/>
  <c r="BB128" i="4"/>
  <c r="BC128" i="4"/>
  <c r="BD128" i="4"/>
  <c r="BE128" i="4"/>
  <c r="BF128" i="4"/>
  <c r="BG128" i="4"/>
  <c r="BH128" i="4"/>
  <c r="BI128" i="4"/>
  <c r="BJ128" i="4"/>
  <c r="BK128" i="4"/>
  <c r="BL128" i="4"/>
  <c r="BM128" i="4"/>
  <c r="BN128" i="4"/>
  <c r="BO128" i="4"/>
  <c r="BP128" i="4"/>
  <c r="BQ128" i="4"/>
  <c r="BR128" i="4"/>
  <c r="BS128" i="4"/>
  <c r="BT128" i="4"/>
  <c r="BU128" i="4"/>
  <c r="BV128" i="4"/>
  <c r="BW128" i="4"/>
  <c r="BX128" i="4"/>
  <c r="BY128" i="4"/>
  <c r="BZ128" i="4"/>
  <c r="CA128" i="4"/>
  <c r="CB128" i="4"/>
  <c r="CC128" i="4"/>
  <c r="CD128" i="4"/>
  <c r="CE128" i="4"/>
  <c r="CF128" i="4"/>
  <c r="CG128" i="4"/>
  <c r="CH128" i="4"/>
  <c r="CI128" i="4"/>
  <c r="CJ128" i="4"/>
  <c r="CQ128" i="4"/>
  <c r="CR128" i="4"/>
  <c r="CY128" i="4"/>
  <c r="CZ128" i="4"/>
  <c r="DA128" i="4"/>
  <c r="DB128" i="4"/>
  <c r="DC128" i="4"/>
  <c r="DD128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AV127" i="4"/>
  <c r="AW127" i="4"/>
  <c r="AX127" i="4"/>
  <c r="AY127" i="4"/>
  <c r="AZ127" i="4"/>
  <c r="BA127" i="4"/>
  <c r="BB127" i="4"/>
  <c r="BC127" i="4"/>
  <c r="BD127" i="4"/>
  <c r="BE127" i="4"/>
  <c r="BF127" i="4"/>
  <c r="BG127" i="4"/>
  <c r="BH127" i="4"/>
  <c r="BI127" i="4"/>
  <c r="BJ127" i="4"/>
  <c r="BK127" i="4"/>
  <c r="BL127" i="4"/>
  <c r="BM127" i="4"/>
  <c r="BN127" i="4"/>
  <c r="BO127" i="4"/>
  <c r="BP127" i="4"/>
  <c r="BQ127" i="4"/>
  <c r="BR127" i="4"/>
  <c r="BS127" i="4"/>
  <c r="BT127" i="4"/>
  <c r="BU127" i="4"/>
  <c r="BV127" i="4"/>
  <c r="BW127" i="4"/>
  <c r="BX127" i="4"/>
  <c r="BY127" i="4"/>
  <c r="BZ127" i="4"/>
  <c r="CA127" i="4"/>
  <c r="CB127" i="4"/>
  <c r="CC127" i="4"/>
  <c r="CD127" i="4"/>
  <c r="CE127" i="4"/>
  <c r="CF127" i="4"/>
  <c r="CG127" i="4"/>
  <c r="CH127" i="4"/>
  <c r="CI127" i="4"/>
  <c r="CJ127" i="4"/>
  <c r="CQ127" i="4"/>
  <c r="CR127" i="4"/>
  <c r="CY127" i="4"/>
  <c r="CZ127" i="4"/>
  <c r="DA127" i="4"/>
  <c r="DB127" i="4"/>
  <c r="DC127" i="4"/>
  <c r="DD127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AZ126" i="4"/>
  <c r="BA126" i="4"/>
  <c r="BB126" i="4"/>
  <c r="BC126" i="4"/>
  <c r="BD126" i="4"/>
  <c r="BE126" i="4"/>
  <c r="BF126" i="4"/>
  <c r="BG126" i="4"/>
  <c r="BH126" i="4"/>
  <c r="BI126" i="4"/>
  <c r="BJ126" i="4"/>
  <c r="BK126" i="4"/>
  <c r="BL126" i="4"/>
  <c r="BM126" i="4"/>
  <c r="BN126" i="4"/>
  <c r="BO126" i="4"/>
  <c r="BP126" i="4"/>
  <c r="BQ126" i="4"/>
  <c r="BR126" i="4"/>
  <c r="BS126" i="4"/>
  <c r="BT126" i="4"/>
  <c r="BU126" i="4"/>
  <c r="BV126" i="4"/>
  <c r="BW126" i="4"/>
  <c r="BX126" i="4"/>
  <c r="BY126" i="4"/>
  <c r="BZ126" i="4"/>
  <c r="CA126" i="4"/>
  <c r="CB126" i="4"/>
  <c r="CC126" i="4"/>
  <c r="CD126" i="4"/>
  <c r="CE126" i="4"/>
  <c r="CF126" i="4"/>
  <c r="CG126" i="4"/>
  <c r="CH126" i="4"/>
  <c r="CI126" i="4"/>
  <c r="CJ126" i="4"/>
  <c r="CQ126" i="4"/>
  <c r="CR126" i="4"/>
  <c r="CY126" i="4"/>
  <c r="CZ126" i="4"/>
  <c r="DA126" i="4"/>
  <c r="DB126" i="4"/>
  <c r="DC126" i="4"/>
  <c r="DD126" i="4"/>
  <c r="T180" i="47"/>
  <c r="X180" i="47" s="1"/>
  <c r="P180" i="47"/>
  <c r="O180" i="47"/>
  <c r="K180" i="47"/>
  <c r="I180" i="47"/>
  <c r="G180" i="47"/>
  <c r="T179" i="47"/>
  <c r="X179" i="47" s="1"/>
  <c r="P179" i="47"/>
  <c r="O179" i="47"/>
  <c r="K179" i="47"/>
  <c r="J179" i="47"/>
  <c r="I179" i="47" s="1"/>
  <c r="G179" i="47"/>
  <c r="T178" i="47"/>
  <c r="X178" i="47" s="1"/>
  <c r="P178" i="47"/>
  <c r="O178" i="47"/>
  <c r="K178" i="47"/>
  <c r="J178" i="47"/>
  <c r="I178" i="47" s="1"/>
  <c r="G178" i="47"/>
  <c r="T177" i="47"/>
  <c r="X177" i="47" s="1"/>
  <c r="P177" i="47"/>
  <c r="O177" i="47"/>
  <c r="K177" i="47"/>
  <c r="J177" i="47"/>
  <c r="I177" i="47" s="1"/>
  <c r="G177" i="47"/>
  <c r="T176" i="47"/>
  <c r="X176" i="47" s="1"/>
  <c r="P176" i="47"/>
  <c r="O176" i="47"/>
  <c r="K176" i="47"/>
  <c r="I176" i="47"/>
  <c r="G176" i="47"/>
  <c r="T175" i="47"/>
  <c r="X175" i="47" s="1"/>
  <c r="P175" i="47"/>
  <c r="O175" i="47"/>
  <c r="G175" i="47"/>
  <c r="T174" i="47"/>
  <c r="X174" i="47" s="1"/>
  <c r="P174" i="47"/>
  <c r="O174" i="47"/>
  <c r="I174" i="47"/>
  <c r="G174" i="47"/>
  <c r="T173" i="47"/>
  <c r="X173" i="47" s="1"/>
  <c r="P173" i="47"/>
  <c r="O173" i="47"/>
  <c r="I173" i="47"/>
  <c r="G173" i="47"/>
  <c r="T172" i="47"/>
  <c r="X172" i="47" s="1"/>
  <c r="P172" i="47"/>
  <c r="O172" i="47"/>
  <c r="K172" i="47"/>
  <c r="I172" i="47"/>
  <c r="G172" i="47"/>
  <c r="T170" i="47"/>
  <c r="X170" i="47" s="1"/>
  <c r="P170" i="47"/>
  <c r="O170" i="47"/>
  <c r="K170" i="47"/>
  <c r="J170" i="47"/>
  <c r="I170" i="47" s="1"/>
  <c r="G170" i="47"/>
  <c r="T169" i="47"/>
  <c r="X169" i="47" s="1"/>
  <c r="P169" i="47"/>
  <c r="O169" i="47"/>
  <c r="K169" i="47"/>
  <c r="J169" i="47"/>
  <c r="I169" i="47" s="1"/>
  <c r="G169" i="47"/>
  <c r="T168" i="47"/>
  <c r="X168" i="47" s="1"/>
  <c r="P168" i="47"/>
  <c r="O168" i="47"/>
  <c r="K168" i="47"/>
  <c r="J168" i="47"/>
  <c r="I168" i="47" s="1"/>
  <c r="G168" i="47"/>
  <c r="T167" i="47"/>
  <c r="X167" i="47" s="1"/>
  <c r="P167" i="47"/>
  <c r="O167" i="47"/>
  <c r="K167" i="47"/>
  <c r="J167" i="47"/>
  <c r="I167" i="47" s="1"/>
  <c r="G167" i="47"/>
  <c r="T166" i="47"/>
  <c r="X166" i="47" s="1"/>
  <c r="P166" i="47"/>
  <c r="O166" i="47"/>
  <c r="K166" i="47"/>
  <c r="J166" i="47"/>
  <c r="I166" i="47" s="1"/>
  <c r="G166" i="47"/>
  <c r="T165" i="47"/>
  <c r="X165" i="47" s="1"/>
  <c r="P165" i="47"/>
  <c r="O165" i="47"/>
  <c r="K165" i="47"/>
  <c r="J165" i="47"/>
  <c r="I165" i="47" s="1"/>
  <c r="G165" i="47"/>
  <c r="T164" i="47"/>
  <c r="X164" i="47" s="1"/>
  <c r="P164" i="47"/>
  <c r="O164" i="47"/>
  <c r="K164" i="47"/>
  <c r="J164" i="47"/>
  <c r="I164" i="47" s="1"/>
  <c r="G164" i="47"/>
  <c r="T163" i="47"/>
  <c r="X163" i="47" s="1"/>
  <c r="P163" i="47"/>
  <c r="O163" i="47"/>
  <c r="K163" i="47"/>
  <c r="J163" i="47"/>
  <c r="I163" i="47" s="1"/>
  <c r="G163" i="47"/>
  <c r="T162" i="47"/>
  <c r="X162" i="47" s="1"/>
  <c r="P162" i="47"/>
  <c r="O162" i="47"/>
  <c r="K162" i="47"/>
  <c r="J162" i="47"/>
  <c r="I162" i="47" s="1"/>
  <c r="G162" i="47"/>
  <c r="T161" i="47"/>
  <c r="X161" i="47" s="1"/>
  <c r="P161" i="47"/>
  <c r="O161" i="47"/>
  <c r="K161" i="47"/>
  <c r="J161" i="47"/>
  <c r="I161" i="47" s="1"/>
  <c r="G161" i="47"/>
  <c r="T160" i="47"/>
  <c r="X160" i="47" s="1"/>
  <c r="P160" i="47"/>
  <c r="O160" i="47"/>
  <c r="K160" i="47"/>
  <c r="J160" i="47"/>
  <c r="I160" i="47" s="1"/>
  <c r="G160" i="47"/>
  <c r="T159" i="47"/>
  <c r="X159" i="47" s="1"/>
  <c r="P159" i="47"/>
  <c r="O159" i="47"/>
  <c r="K159" i="47"/>
  <c r="J159" i="47"/>
  <c r="I159" i="47" s="1"/>
  <c r="G159" i="47"/>
  <c r="T157" i="47"/>
  <c r="X157" i="47" s="1"/>
  <c r="P157" i="47"/>
  <c r="O157" i="47"/>
  <c r="K157" i="47"/>
  <c r="J157" i="47"/>
  <c r="I157" i="47" s="1"/>
  <c r="G157" i="47"/>
  <c r="T156" i="47"/>
  <c r="X156" i="47" s="1"/>
  <c r="P156" i="47"/>
  <c r="O156" i="47"/>
  <c r="K156" i="47"/>
  <c r="J156" i="47"/>
  <c r="I156" i="47" s="1"/>
  <c r="G156" i="47"/>
  <c r="T155" i="47"/>
  <c r="X155" i="47" s="1"/>
  <c r="P155" i="47"/>
  <c r="O155" i="47"/>
  <c r="K155" i="47"/>
  <c r="J155" i="47"/>
  <c r="I155" i="47" s="1"/>
  <c r="G155" i="47"/>
  <c r="T154" i="47"/>
  <c r="X154" i="47" s="1"/>
  <c r="P154" i="47"/>
  <c r="O154" i="47"/>
  <c r="K154" i="47"/>
  <c r="J154" i="47"/>
  <c r="I154" i="47" s="1"/>
  <c r="G154" i="47"/>
  <c r="T153" i="47"/>
  <c r="X153" i="47" s="1"/>
  <c r="P153" i="47"/>
  <c r="O153" i="47"/>
  <c r="K153" i="47"/>
  <c r="J153" i="47"/>
  <c r="I153" i="47" s="1"/>
  <c r="G153" i="47"/>
  <c r="T152" i="47"/>
  <c r="X152" i="47" s="1"/>
  <c r="P152" i="47"/>
  <c r="O152" i="47"/>
  <c r="K152" i="47"/>
  <c r="J152" i="47"/>
  <c r="I152" i="47" s="1"/>
  <c r="G152" i="47"/>
  <c r="T151" i="47"/>
  <c r="X151" i="47" s="1"/>
  <c r="P151" i="47"/>
  <c r="O151" i="47"/>
  <c r="K151" i="47"/>
  <c r="J151" i="47"/>
  <c r="I151" i="47" s="1"/>
  <c r="G151" i="47"/>
  <c r="T150" i="47"/>
  <c r="X150" i="47" s="1"/>
  <c r="P150" i="47"/>
  <c r="O150" i="47"/>
  <c r="K150" i="47"/>
  <c r="J150" i="47"/>
  <c r="I150" i="47" s="1"/>
  <c r="G150" i="47"/>
  <c r="T149" i="47"/>
  <c r="X149" i="47" s="1"/>
  <c r="P149" i="47"/>
  <c r="O149" i="47"/>
  <c r="K149" i="47"/>
  <c r="J149" i="47"/>
  <c r="I149" i="47" s="1"/>
  <c r="G149" i="47"/>
  <c r="T148" i="47"/>
  <c r="X148" i="47" s="1"/>
  <c r="P148" i="47"/>
  <c r="O148" i="47"/>
  <c r="K148" i="47"/>
  <c r="J148" i="47"/>
  <c r="I148" i="47" s="1"/>
  <c r="G148" i="47"/>
  <c r="T147" i="47"/>
  <c r="X147" i="47" s="1"/>
  <c r="P147" i="47"/>
  <c r="O147" i="47"/>
  <c r="K147" i="47"/>
  <c r="J147" i="47"/>
  <c r="I147" i="47" s="1"/>
  <c r="G147" i="47"/>
  <c r="T146" i="47"/>
  <c r="X146" i="47" s="1"/>
  <c r="P146" i="47"/>
  <c r="O146" i="47"/>
  <c r="K146" i="47"/>
  <c r="J146" i="47"/>
  <c r="I146" i="47" s="1"/>
  <c r="G146" i="47"/>
  <c r="T144" i="47"/>
  <c r="X144" i="47" s="1"/>
  <c r="P144" i="47"/>
  <c r="O144" i="47"/>
  <c r="K144" i="47"/>
  <c r="J144" i="47"/>
  <c r="I144" i="47" s="1"/>
  <c r="G144" i="47"/>
  <c r="T143" i="47"/>
  <c r="X143" i="47" s="1"/>
  <c r="P143" i="47"/>
  <c r="O143" i="47"/>
  <c r="K143" i="47"/>
  <c r="J143" i="47"/>
  <c r="I143" i="47" s="1"/>
  <c r="G143" i="47"/>
  <c r="T142" i="47"/>
  <c r="X142" i="47" s="1"/>
  <c r="P142" i="47"/>
  <c r="O142" i="47"/>
  <c r="K142" i="47"/>
  <c r="J142" i="47"/>
  <c r="I142" i="47" s="1"/>
  <c r="G142" i="47"/>
  <c r="T141" i="47"/>
  <c r="X141" i="47" s="1"/>
  <c r="P141" i="47"/>
  <c r="O141" i="47"/>
  <c r="K141" i="47"/>
  <c r="J141" i="47"/>
  <c r="I141" i="47" s="1"/>
  <c r="G141" i="47"/>
  <c r="T140" i="47"/>
  <c r="X140" i="47" s="1"/>
  <c r="P140" i="47"/>
  <c r="O140" i="47"/>
  <c r="K140" i="47"/>
  <c r="J140" i="47"/>
  <c r="I140" i="47" s="1"/>
  <c r="G140" i="47"/>
  <c r="T139" i="47"/>
  <c r="X139" i="47" s="1"/>
  <c r="P139" i="47"/>
  <c r="O139" i="47"/>
  <c r="K139" i="47"/>
  <c r="J139" i="47"/>
  <c r="I139" i="47" s="1"/>
  <c r="G139" i="47"/>
  <c r="T138" i="47"/>
  <c r="X138" i="47" s="1"/>
  <c r="P138" i="47"/>
  <c r="O138" i="47"/>
  <c r="K138" i="47"/>
  <c r="J138" i="47"/>
  <c r="I138" i="47" s="1"/>
  <c r="G138" i="47"/>
  <c r="T137" i="47"/>
  <c r="X137" i="47" s="1"/>
  <c r="P137" i="47"/>
  <c r="O137" i="47"/>
  <c r="K137" i="47"/>
  <c r="J137" i="47"/>
  <c r="I137" i="47" s="1"/>
  <c r="G137" i="47"/>
  <c r="T136" i="47"/>
  <c r="X136" i="47" s="1"/>
  <c r="P136" i="47"/>
  <c r="O136" i="47"/>
  <c r="K136" i="47"/>
  <c r="J136" i="47"/>
  <c r="I136" i="47" s="1"/>
  <c r="G136" i="47"/>
  <c r="T135" i="47"/>
  <c r="X135" i="47" s="1"/>
  <c r="P135" i="47"/>
  <c r="O135" i="47"/>
  <c r="K135" i="47"/>
  <c r="J135" i="47"/>
  <c r="I135" i="47" s="1"/>
  <c r="G135" i="47"/>
  <c r="T134" i="47"/>
  <c r="X134" i="47" s="1"/>
  <c r="P134" i="47"/>
  <c r="O134" i="47"/>
  <c r="K134" i="47"/>
  <c r="J134" i="47"/>
  <c r="I134" i="47" s="1"/>
  <c r="G134" i="47"/>
  <c r="T133" i="47"/>
  <c r="X133" i="47" s="1"/>
  <c r="P133" i="47"/>
  <c r="O133" i="47"/>
  <c r="K133" i="47"/>
  <c r="J133" i="47"/>
  <c r="I133" i="47" s="1"/>
  <c r="G133" i="47"/>
  <c r="T131" i="47"/>
  <c r="X131" i="47" s="1"/>
  <c r="P131" i="47"/>
  <c r="O131" i="47"/>
  <c r="K131" i="47"/>
  <c r="J131" i="47"/>
  <c r="I131" i="47" s="1"/>
  <c r="G131" i="47"/>
  <c r="T130" i="47"/>
  <c r="X130" i="47" s="1"/>
  <c r="P130" i="47"/>
  <c r="O130" i="47"/>
  <c r="K130" i="47"/>
  <c r="J130" i="47"/>
  <c r="I130" i="47" s="1"/>
  <c r="G130" i="47"/>
  <c r="T129" i="47"/>
  <c r="X129" i="47" s="1"/>
  <c r="P129" i="47"/>
  <c r="O129" i="47"/>
  <c r="K129" i="47"/>
  <c r="J129" i="47"/>
  <c r="I129" i="47" s="1"/>
  <c r="G129" i="47"/>
  <c r="T128" i="47"/>
  <c r="X128" i="47" s="1"/>
  <c r="P128" i="47"/>
  <c r="O128" i="47"/>
  <c r="K128" i="47"/>
  <c r="J128" i="47"/>
  <c r="I128" i="47" s="1"/>
  <c r="G128" i="47"/>
  <c r="T127" i="47"/>
  <c r="X127" i="47" s="1"/>
  <c r="P127" i="47"/>
  <c r="O127" i="47"/>
  <c r="K127" i="47"/>
  <c r="J127" i="47"/>
  <c r="I127" i="47" s="1"/>
  <c r="G127" i="47"/>
  <c r="T126" i="47"/>
  <c r="X126" i="47" s="1"/>
  <c r="P126" i="47"/>
  <c r="O126" i="47"/>
  <c r="K126" i="47"/>
  <c r="J126" i="47"/>
  <c r="I126" i="47" s="1"/>
  <c r="G126" i="47"/>
  <c r="T125" i="47"/>
  <c r="X125" i="47" s="1"/>
  <c r="P125" i="47"/>
  <c r="O125" i="47"/>
  <c r="K125" i="47"/>
  <c r="J125" i="47"/>
  <c r="I125" i="47" s="1"/>
  <c r="G125" i="47"/>
  <c r="T124" i="47"/>
  <c r="X124" i="47" s="1"/>
  <c r="P124" i="47"/>
  <c r="O124" i="47"/>
  <c r="K124" i="47"/>
  <c r="J124" i="47"/>
  <c r="I124" i="47" s="1"/>
  <c r="G124" i="47"/>
  <c r="T123" i="47"/>
  <c r="X123" i="47" s="1"/>
  <c r="P123" i="47"/>
  <c r="O123" i="47"/>
  <c r="K123" i="47"/>
  <c r="J123" i="47"/>
  <c r="I123" i="47" s="1"/>
  <c r="G123" i="47"/>
  <c r="T122" i="47"/>
  <c r="X122" i="47" s="1"/>
  <c r="P122" i="47"/>
  <c r="O122" i="47"/>
  <c r="K122" i="47"/>
  <c r="J122" i="47"/>
  <c r="I122" i="47" s="1"/>
  <c r="G122" i="47"/>
  <c r="T121" i="47"/>
  <c r="X121" i="47" s="1"/>
  <c r="P121" i="47"/>
  <c r="O121" i="47"/>
  <c r="K121" i="47"/>
  <c r="J121" i="47"/>
  <c r="I121" i="47" s="1"/>
  <c r="G121" i="47"/>
  <c r="T120" i="47"/>
  <c r="X120" i="47" s="1"/>
  <c r="P120" i="47"/>
  <c r="O120" i="47"/>
  <c r="K120" i="47"/>
  <c r="J120" i="47"/>
  <c r="I120" i="47" s="1"/>
  <c r="G120" i="47"/>
  <c r="U79" i="47"/>
  <c r="T79" i="47"/>
  <c r="D79" i="47"/>
  <c r="U78" i="47"/>
  <c r="T78" i="47"/>
  <c r="D78" i="47"/>
  <c r="U77" i="47"/>
  <c r="T77" i="47"/>
  <c r="D77" i="47"/>
  <c r="U76" i="47"/>
  <c r="T76" i="47"/>
  <c r="D76" i="47"/>
  <c r="U75" i="47"/>
  <c r="T75" i="47"/>
  <c r="D75" i="47"/>
  <c r="U74" i="47"/>
  <c r="T74" i="47"/>
  <c r="D74" i="47"/>
  <c r="U73" i="47"/>
  <c r="T73" i="47"/>
  <c r="D73" i="47"/>
  <c r="U72" i="47"/>
  <c r="T72" i="47"/>
  <c r="D72" i="47"/>
  <c r="U71" i="47"/>
  <c r="U103" i="47" s="1"/>
  <c r="T71" i="47"/>
  <c r="D71" i="47"/>
  <c r="U69" i="47"/>
  <c r="T69" i="47"/>
  <c r="D69" i="47"/>
  <c r="U68" i="47"/>
  <c r="T68" i="47"/>
  <c r="D68" i="47"/>
  <c r="U67" i="47"/>
  <c r="T67" i="47"/>
  <c r="D67" i="47"/>
  <c r="U66" i="47"/>
  <c r="T66" i="47"/>
  <c r="D66" i="47"/>
  <c r="U65" i="47"/>
  <c r="T65" i="47"/>
  <c r="D65" i="47"/>
  <c r="U64" i="47"/>
  <c r="T64" i="47"/>
  <c r="D64" i="47"/>
  <c r="U63" i="47"/>
  <c r="T63" i="47"/>
  <c r="D63" i="47"/>
  <c r="U62" i="47"/>
  <c r="T62" i="47"/>
  <c r="D62" i="47"/>
  <c r="U61" i="47"/>
  <c r="T61" i="47"/>
  <c r="D61" i="47"/>
  <c r="U60" i="47"/>
  <c r="T60" i="47"/>
  <c r="D60" i="47"/>
  <c r="U59" i="47"/>
  <c r="T59" i="47"/>
  <c r="D59" i="47"/>
  <c r="U58" i="47"/>
  <c r="T58" i="47"/>
  <c r="D58" i="47"/>
  <c r="U56" i="47"/>
  <c r="T56" i="47"/>
  <c r="D56" i="47"/>
  <c r="U55" i="47"/>
  <c r="T55" i="47"/>
  <c r="D55" i="47"/>
  <c r="U54" i="47"/>
  <c r="T54" i="47"/>
  <c r="D54" i="47"/>
  <c r="U53" i="47"/>
  <c r="T53" i="47"/>
  <c r="D53" i="47"/>
  <c r="U52" i="47"/>
  <c r="T52" i="47"/>
  <c r="D52" i="47"/>
  <c r="U51" i="47"/>
  <c r="T51" i="47"/>
  <c r="D51" i="47"/>
  <c r="U50" i="47"/>
  <c r="T50" i="47"/>
  <c r="D50" i="47"/>
  <c r="U49" i="47"/>
  <c r="T49" i="47"/>
  <c r="D49" i="47"/>
  <c r="U48" i="47"/>
  <c r="T48" i="47"/>
  <c r="D48" i="47"/>
  <c r="U47" i="47"/>
  <c r="T47" i="47"/>
  <c r="D47" i="47"/>
  <c r="U46" i="47"/>
  <c r="T46" i="47"/>
  <c r="D46" i="47"/>
  <c r="U45" i="47"/>
  <c r="U101" i="47" s="1"/>
  <c r="T45" i="47"/>
  <c r="D45" i="47"/>
  <c r="V43" i="47"/>
  <c r="U43" i="47"/>
  <c r="T43" i="47"/>
  <c r="D43" i="47"/>
  <c r="V42" i="47"/>
  <c r="U42" i="47"/>
  <c r="T42" i="47"/>
  <c r="D42" i="47"/>
  <c r="V41" i="47"/>
  <c r="U41" i="47"/>
  <c r="T41" i="47"/>
  <c r="D41" i="47"/>
  <c r="V40" i="47"/>
  <c r="U40" i="47"/>
  <c r="T40" i="47"/>
  <c r="D40" i="47"/>
  <c r="V39" i="47"/>
  <c r="U39" i="47"/>
  <c r="T39" i="47"/>
  <c r="D39" i="47"/>
  <c r="V38" i="47"/>
  <c r="U38" i="47"/>
  <c r="T38" i="47"/>
  <c r="D38" i="47"/>
  <c r="V37" i="47"/>
  <c r="U37" i="47"/>
  <c r="T37" i="47"/>
  <c r="D37" i="47"/>
  <c r="V36" i="47"/>
  <c r="U36" i="47"/>
  <c r="T36" i="47"/>
  <c r="D36" i="47"/>
  <c r="V35" i="47"/>
  <c r="U35" i="47"/>
  <c r="T35" i="47"/>
  <c r="D35" i="47"/>
  <c r="V34" i="47"/>
  <c r="U34" i="47"/>
  <c r="T34" i="47"/>
  <c r="D34" i="47"/>
  <c r="V33" i="47"/>
  <c r="U33" i="47"/>
  <c r="T33" i="47"/>
  <c r="D33" i="47"/>
  <c r="V32" i="47"/>
  <c r="U32" i="47"/>
  <c r="U100" i="47" s="1"/>
  <c r="T32" i="47"/>
  <c r="D32" i="47"/>
  <c r="V30" i="47"/>
  <c r="U30" i="47"/>
  <c r="T30" i="47"/>
  <c r="D30" i="47"/>
  <c r="V29" i="47"/>
  <c r="U29" i="47"/>
  <c r="T29" i="47"/>
  <c r="D29" i="47"/>
  <c r="V28" i="47"/>
  <c r="U28" i="47"/>
  <c r="T28" i="47"/>
  <c r="D28" i="47"/>
  <c r="V27" i="47"/>
  <c r="U27" i="47"/>
  <c r="T27" i="47"/>
  <c r="D27" i="47"/>
  <c r="V26" i="47"/>
  <c r="U26" i="47"/>
  <c r="T26" i="47"/>
  <c r="D26" i="47"/>
  <c r="V25" i="47"/>
  <c r="U25" i="47"/>
  <c r="T25" i="47"/>
  <c r="D25" i="47"/>
  <c r="V24" i="47"/>
  <c r="U24" i="47"/>
  <c r="T24" i="47"/>
  <c r="D24" i="47"/>
  <c r="V23" i="47"/>
  <c r="U23" i="47"/>
  <c r="T23" i="47"/>
  <c r="D23" i="47"/>
  <c r="V22" i="47"/>
  <c r="U22" i="47"/>
  <c r="T22" i="47"/>
  <c r="D22" i="47"/>
  <c r="V21" i="47"/>
  <c r="U21" i="47"/>
  <c r="T21" i="47"/>
  <c r="D21" i="47"/>
  <c r="V20" i="47"/>
  <c r="U20" i="47"/>
  <c r="T20" i="47"/>
  <c r="D20" i="47"/>
  <c r="V19" i="47"/>
  <c r="V99" i="47" s="1"/>
  <c r="U19" i="47"/>
  <c r="U99" i="47" s="1"/>
  <c r="T19" i="47"/>
  <c r="D19" i="47"/>
  <c r="EA120" i="4"/>
  <c r="DG75" i="4"/>
  <c r="B128" i="4"/>
  <c r="B126" i="4"/>
  <c r="D99" i="47" l="1"/>
  <c r="D100" i="47"/>
  <c r="T99" i="47"/>
  <c r="T100" i="47"/>
  <c r="T101" i="47"/>
  <c r="T103" i="47"/>
  <c r="D102" i="47"/>
  <c r="T102" i="47"/>
  <c r="U102" i="47"/>
  <c r="V100" i="47"/>
  <c r="D101" i="47"/>
  <c r="D103" i="47"/>
  <c r="N157" i="47"/>
  <c r="R168" i="47"/>
  <c r="R121" i="47"/>
  <c r="N133" i="47"/>
  <c r="R134" i="47"/>
  <c r="N123" i="47"/>
  <c r="N143" i="47"/>
  <c r="N148" i="47"/>
  <c r="N134" i="47"/>
  <c r="N138" i="47"/>
  <c r="N161" i="47"/>
  <c r="R162" i="47"/>
  <c r="R156" i="47"/>
  <c r="R165" i="47"/>
  <c r="N170" i="47"/>
  <c r="N179" i="47"/>
  <c r="R169" i="47"/>
  <c r="N147" i="47"/>
  <c r="R127" i="47"/>
  <c r="R141" i="47"/>
  <c r="R164" i="47"/>
  <c r="R129" i="47"/>
  <c r="R137" i="47"/>
  <c r="N150" i="47"/>
  <c r="N174" i="47"/>
  <c r="R175" i="47"/>
  <c r="X64" i="47"/>
  <c r="X36" i="47"/>
  <c r="X59" i="47"/>
  <c r="X24" i="47"/>
  <c r="R136" i="47"/>
  <c r="R150" i="47"/>
  <c r="N153" i="47"/>
  <c r="X46" i="47"/>
  <c r="R125" i="47"/>
  <c r="R149" i="47"/>
  <c r="N141" i="47"/>
  <c r="N146" i="47"/>
  <c r="R147" i="47"/>
  <c r="N155" i="47"/>
  <c r="N164" i="47"/>
  <c r="N135" i="47"/>
  <c r="X50" i="47"/>
  <c r="X26" i="47"/>
  <c r="X32" i="47"/>
  <c r="X60" i="47"/>
  <c r="X53" i="47"/>
  <c r="X62" i="47"/>
  <c r="X71" i="47"/>
  <c r="X79" i="47"/>
  <c r="X67" i="47"/>
  <c r="X78" i="47"/>
  <c r="X49" i="47"/>
  <c r="X37" i="47"/>
  <c r="X72" i="47"/>
  <c r="N122" i="47"/>
  <c r="R123" i="47"/>
  <c r="N127" i="47"/>
  <c r="R130" i="47"/>
  <c r="R138" i="47"/>
  <c r="R151" i="47"/>
  <c r="R155" i="47"/>
  <c r="N178" i="47"/>
  <c r="R179" i="47"/>
  <c r="X29" i="47"/>
  <c r="X35" i="47"/>
  <c r="X55" i="47"/>
  <c r="R166" i="47"/>
  <c r="R174" i="47"/>
  <c r="X45" i="47"/>
  <c r="R122" i="47"/>
  <c r="N131" i="47"/>
  <c r="R142" i="47"/>
  <c r="N152" i="47"/>
  <c r="R153" i="47"/>
  <c r="N159" i="47"/>
  <c r="R160" i="47"/>
  <c r="N172" i="47"/>
  <c r="R173" i="47"/>
  <c r="X22" i="47"/>
  <c r="X21" i="47"/>
  <c r="X39" i="47"/>
  <c r="X43" i="47"/>
  <c r="X48" i="47"/>
  <c r="X76" i="47"/>
  <c r="N120" i="47"/>
  <c r="R126" i="47"/>
  <c r="N130" i="47"/>
  <c r="R135" i="47"/>
  <c r="R148" i="47"/>
  <c r="R159" i="47"/>
  <c r="N168" i="47"/>
  <c r="R172" i="47"/>
  <c r="N175" i="47"/>
  <c r="R177" i="47"/>
  <c r="X20" i="47"/>
  <c r="X25" i="47"/>
  <c r="R140" i="47"/>
  <c r="R170" i="47"/>
  <c r="X28" i="47"/>
  <c r="X34" i="47"/>
  <c r="X51" i="47"/>
  <c r="X56" i="47"/>
  <c r="X66" i="47"/>
  <c r="X69" i="47"/>
  <c r="X75" i="47"/>
  <c r="N121" i="47"/>
  <c r="R124" i="47"/>
  <c r="N136" i="47"/>
  <c r="N137" i="47"/>
  <c r="R143" i="47"/>
  <c r="N160" i="47"/>
  <c r="R163" i="47"/>
  <c r="N173" i="47"/>
  <c r="R176" i="47"/>
  <c r="X27" i="47"/>
  <c r="X23" i="47"/>
  <c r="X54" i="47"/>
  <c r="X73" i="47"/>
  <c r="X77" i="47"/>
  <c r="R120" i="47"/>
  <c r="N129" i="47"/>
  <c r="R139" i="47"/>
  <c r="N156" i="47"/>
  <c r="N169" i="47"/>
  <c r="X65" i="47"/>
  <c r="X41" i="47"/>
  <c r="N128" i="47"/>
  <c r="R131" i="47"/>
  <c r="R133" i="47"/>
  <c r="N142" i="47"/>
  <c r="R146" i="47"/>
  <c r="N154" i="47"/>
  <c r="R157" i="47"/>
  <c r="R161" i="47"/>
  <c r="S161" i="47" s="1"/>
  <c r="Y161" i="47" s="1"/>
  <c r="N166" i="47"/>
  <c r="N167" i="47"/>
  <c r="X74" i="47"/>
  <c r="X42" i="47"/>
  <c r="X52" i="47"/>
  <c r="X63" i="47"/>
  <c r="N126" i="47"/>
  <c r="N165" i="47"/>
  <c r="R152" i="47"/>
  <c r="R178" i="47"/>
  <c r="X40" i="47"/>
  <c r="N124" i="47"/>
  <c r="N125" i="47"/>
  <c r="R128" i="47"/>
  <c r="N140" i="47"/>
  <c r="R144" i="47"/>
  <c r="N151" i="47"/>
  <c r="R154" i="47"/>
  <c r="N163" i="47"/>
  <c r="R167" i="47"/>
  <c r="N176" i="47"/>
  <c r="N177" i="47"/>
  <c r="X30" i="47"/>
  <c r="X33" i="47"/>
  <c r="X38" i="47"/>
  <c r="X47" i="47"/>
  <c r="X61" i="47"/>
  <c r="N139" i="47"/>
  <c r="X19" i="47"/>
  <c r="N180" i="47"/>
  <c r="X68" i="47"/>
  <c r="N144" i="47"/>
  <c r="R180" i="47"/>
  <c r="X58" i="47"/>
  <c r="N162" i="47"/>
  <c r="N149" i="47"/>
  <c r="D30" i="36"/>
  <c r="D76" i="36"/>
  <c r="G167" i="36"/>
  <c r="G175" i="36"/>
  <c r="O166" i="36"/>
  <c r="P170" i="36"/>
  <c r="O170" i="36"/>
  <c r="O173" i="36"/>
  <c r="P175" i="36"/>
  <c r="O175" i="36"/>
  <c r="T174" i="36"/>
  <c r="T175" i="36"/>
  <c r="T178" i="36"/>
  <c r="T162" i="36"/>
  <c r="T161" i="36"/>
  <c r="T150" i="36"/>
  <c r="T149" i="36"/>
  <c r="T148" i="36"/>
  <c r="T147" i="36"/>
  <c r="T141" i="36"/>
  <c r="T140" i="36"/>
  <c r="T139" i="36"/>
  <c r="T138" i="36"/>
  <c r="T137" i="36"/>
  <c r="T136" i="36"/>
  <c r="T135" i="36"/>
  <c r="T134" i="36"/>
  <c r="T133" i="36"/>
  <c r="T132" i="36"/>
  <c r="T131" i="36"/>
  <c r="T129" i="36"/>
  <c r="T128" i="36"/>
  <c r="T127" i="36"/>
  <c r="T126" i="36"/>
  <c r="T125" i="36"/>
  <c r="T124" i="36"/>
  <c r="T123" i="36"/>
  <c r="T122" i="36"/>
  <c r="T121" i="36"/>
  <c r="T120" i="36"/>
  <c r="T119" i="36"/>
  <c r="K175" i="36"/>
  <c r="K168" i="36"/>
  <c r="K163" i="36"/>
  <c r="J175" i="36"/>
  <c r="J162" i="36"/>
  <c r="J142" i="36"/>
  <c r="G137" i="36"/>
  <c r="V30" i="36"/>
  <c r="U30" i="36"/>
  <c r="T30" i="36"/>
  <c r="X101" i="47" l="1"/>
  <c r="X100" i="47"/>
  <c r="X99" i="47"/>
  <c r="X102" i="47"/>
  <c r="X103" i="47"/>
  <c r="Y109" i="47"/>
  <c r="Y110" i="47"/>
  <c r="S127" i="47"/>
  <c r="Y127" i="47" s="1"/>
  <c r="S147" i="47"/>
  <c r="Y147" i="47" s="1"/>
  <c r="S133" i="47"/>
  <c r="Y133" i="47" s="1"/>
  <c r="S164" i="47"/>
  <c r="Y164" i="47" s="1"/>
  <c r="S157" i="47"/>
  <c r="Y157" i="47" s="1"/>
  <c r="S178" i="47"/>
  <c r="Y178" i="47" s="1"/>
  <c r="S135" i="47"/>
  <c r="Y135" i="47" s="1"/>
  <c r="S156" i="47"/>
  <c r="Y156" i="47" s="1"/>
  <c r="S169" i="47"/>
  <c r="Y169" i="47" s="1"/>
  <c r="S148" i="47"/>
  <c r="Y148" i="47" s="1"/>
  <c r="S179" i="47"/>
  <c r="Y179" i="47" s="1"/>
  <c r="S175" i="47"/>
  <c r="Y175" i="47" s="1"/>
  <c r="S134" i="47"/>
  <c r="Y134" i="47" s="1"/>
  <c r="S150" i="47"/>
  <c r="Y150" i="47" s="1"/>
  <c r="S143" i="47"/>
  <c r="Y143" i="47" s="1"/>
  <c r="S123" i="47"/>
  <c r="Y123" i="47" s="1"/>
  <c r="S138" i="47"/>
  <c r="Y138" i="47" s="1"/>
  <c r="S130" i="47"/>
  <c r="Y130" i="47" s="1"/>
  <c r="S160" i="47"/>
  <c r="Y160" i="47" s="1"/>
  <c r="S170" i="47"/>
  <c r="Y170" i="47" s="1"/>
  <c r="S172" i="47"/>
  <c r="Y172" i="47" s="1"/>
  <c r="S136" i="47"/>
  <c r="Y136" i="47" s="1"/>
  <c r="S120" i="47"/>
  <c r="Y120" i="47" s="1"/>
  <c r="S126" i="47"/>
  <c r="Y126" i="47" s="1"/>
  <c r="S174" i="47"/>
  <c r="Y174" i="47" s="1"/>
  <c r="S155" i="47"/>
  <c r="Y155" i="47" s="1"/>
  <c r="S153" i="47"/>
  <c r="Y153" i="47" s="1"/>
  <c r="S167" i="47"/>
  <c r="Y167" i="47" s="1"/>
  <c r="S177" i="47"/>
  <c r="Y177" i="47" s="1"/>
  <c r="S125" i="47"/>
  <c r="Y125" i="47" s="1"/>
  <c r="S152" i="47"/>
  <c r="Y152" i="47" s="1"/>
  <c r="S146" i="47"/>
  <c r="Y146" i="47" s="1"/>
  <c r="S141" i="47"/>
  <c r="Y141" i="47" s="1"/>
  <c r="S165" i="47"/>
  <c r="Y165" i="47" s="1"/>
  <c r="S122" i="47"/>
  <c r="Y122" i="47" s="1"/>
  <c r="S137" i="47"/>
  <c r="Y137" i="47" s="1"/>
  <c r="S131" i="47"/>
  <c r="Y131" i="47" s="1"/>
  <c r="S159" i="47"/>
  <c r="Y159" i="47" s="1"/>
  <c r="S168" i="47"/>
  <c r="Y168" i="47" s="1"/>
  <c r="S173" i="47"/>
  <c r="Y173" i="47" s="1"/>
  <c r="S166" i="47"/>
  <c r="Y166" i="47" s="1"/>
  <c r="S140" i="47"/>
  <c r="Y140" i="47" s="1"/>
  <c r="S129" i="47"/>
  <c r="Y129" i="47" s="1"/>
  <c r="S128" i="47"/>
  <c r="Y128" i="47" s="1"/>
  <c r="S142" i="47"/>
  <c r="Y142" i="47" s="1"/>
  <c r="S151" i="47"/>
  <c r="Y151" i="47" s="1"/>
  <c r="S154" i="47"/>
  <c r="Y154" i="47" s="1"/>
  <c r="S121" i="47"/>
  <c r="Y121" i="47" s="1"/>
  <c r="S176" i="47"/>
  <c r="Y176" i="47" s="1"/>
  <c r="S124" i="47"/>
  <c r="Y124" i="47" s="1"/>
  <c r="S180" i="47"/>
  <c r="Y180" i="47" s="1"/>
  <c r="S139" i="47"/>
  <c r="Y139" i="47" s="1"/>
  <c r="S163" i="47"/>
  <c r="Y163" i="47" s="1"/>
  <c r="S144" i="47"/>
  <c r="Y144" i="47" s="1"/>
  <c r="S162" i="47"/>
  <c r="Y162" i="47" s="1"/>
  <c r="S149" i="47"/>
  <c r="Y149" i="47" s="1"/>
  <c r="X119" i="36" l="1"/>
  <c r="X120" i="36"/>
  <c r="X121" i="36"/>
  <c r="X122" i="36"/>
  <c r="X123" i="36"/>
  <c r="X124" i="36"/>
  <c r="X125" i="36"/>
  <c r="X126" i="36"/>
  <c r="X127" i="36"/>
  <c r="X128" i="36"/>
  <c r="X129" i="36"/>
  <c r="R175" i="36"/>
  <c r="P171" i="36"/>
  <c r="P172" i="36"/>
  <c r="P173" i="36"/>
  <c r="R173" i="36" s="1"/>
  <c r="P174" i="36"/>
  <c r="P176" i="36"/>
  <c r="P177" i="36"/>
  <c r="P178" i="36"/>
  <c r="R170" i="36"/>
  <c r="J178" i="36" l="1"/>
  <c r="I178" i="36" l="1"/>
  <c r="G178" i="36"/>
  <c r="K178" i="36"/>
  <c r="O178" i="36" l="1"/>
  <c r="R178" i="36" s="1"/>
  <c r="D79" i="36"/>
  <c r="DK120" i="4"/>
  <c r="G79" i="36" s="1"/>
  <c r="DM120" i="4"/>
  <c r="DN120" i="4"/>
  <c r="DO120" i="4"/>
  <c r="DP120" i="4"/>
  <c r="DR120" i="4"/>
  <c r="DS120" i="4"/>
  <c r="DT120" i="4"/>
  <c r="DU120" i="4"/>
  <c r="H79" i="36" l="1"/>
  <c r="K79" i="36"/>
  <c r="P79" i="47"/>
  <c r="M79" i="47"/>
  <c r="M79" i="36"/>
  <c r="J79" i="47"/>
  <c r="J79" i="36"/>
  <c r="O79" i="47"/>
  <c r="O79" i="36"/>
  <c r="I79" i="47"/>
  <c r="I79" i="36"/>
  <c r="H79" i="47"/>
  <c r="DI120" i="4"/>
  <c r="EC120" i="4" s="1"/>
  <c r="G79" i="47"/>
  <c r="K79" i="47"/>
  <c r="DX120" i="4"/>
  <c r="DZ120" i="4"/>
  <c r="X175" i="36"/>
  <c r="R79" i="36" l="1"/>
  <c r="R79" i="47"/>
  <c r="N79" i="36"/>
  <c r="N79" i="47"/>
  <c r="C79" i="47"/>
  <c r="C79" i="36"/>
  <c r="C178" i="36" s="1"/>
  <c r="O177" i="36"/>
  <c r="R177" i="36" s="1"/>
  <c r="J177" i="36"/>
  <c r="G177" i="36"/>
  <c r="K177" i="36"/>
  <c r="N178" i="36" s="1"/>
  <c r="S178" i="36" s="1"/>
  <c r="T177" i="36"/>
  <c r="X178" i="36" s="1"/>
  <c r="D78" i="36"/>
  <c r="T78" i="36"/>
  <c r="U78" i="36"/>
  <c r="S79" i="36" l="1"/>
  <c r="Y79" i="36" s="1"/>
  <c r="S79" i="47"/>
  <c r="Y178" i="36"/>
  <c r="I177" i="36"/>
  <c r="DG53" i="4"/>
  <c r="DG54" i="4"/>
  <c r="DG55" i="4"/>
  <c r="DG57" i="4"/>
  <c r="DG58" i="4"/>
  <c r="DG59" i="4"/>
  <c r="DG60" i="4"/>
  <c r="DG61" i="4"/>
  <c r="DG62" i="4"/>
  <c r="DG63" i="4"/>
  <c r="DG113" i="4"/>
  <c r="DG114" i="4"/>
  <c r="DG115" i="4"/>
  <c r="DG116" i="4"/>
  <c r="DG117" i="4"/>
  <c r="DG118" i="4"/>
  <c r="DG119" i="4"/>
  <c r="DK119" i="4"/>
  <c r="G78" i="36" s="1"/>
  <c r="DM119" i="4"/>
  <c r="DN119" i="4"/>
  <c r="DO119" i="4"/>
  <c r="DP119" i="4"/>
  <c r="I78" i="47" s="1"/>
  <c r="DR119" i="4"/>
  <c r="J78" i="47" s="1"/>
  <c r="DS119" i="4"/>
  <c r="M78" i="47" s="1"/>
  <c r="DT119" i="4"/>
  <c r="DU119" i="4"/>
  <c r="O78" i="47" s="1"/>
  <c r="P78" i="47"/>
  <c r="EA119" i="4"/>
  <c r="K78" i="47" l="1"/>
  <c r="N78" i="47" s="1"/>
  <c r="Y79" i="47"/>
  <c r="H78" i="47"/>
  <c r="R78" i="47"/>
  <c r="G78" i="47"/>
  <c r="C78" i="47" s="1"/>
  <c r="M78" i="36"/>
  <c r="C78" i="36"/>
  <c r="C177" i="36" s="1"/>
  <c r="I78" i="36"/>
  <c r="DZ119" i="4"/>
  <c r="K78" i="36"/>
  <c r="J78" i="36"/>
  <c r="O78" i="36"/>
  <c r="H78" i="36"/>
  <c r="DI119" i="4"/>
  <c r="EC119" i="4" s="1"/>
  <c r="DX119" i="4"/>
  <c r="D77" i="36"/>
  <c r="O176" i="36"/>
  <c r="R176" i="36" s="1"/>
  <c r="G176" i="36"/>
  <c r="J176" i="36"/>
  <c r="I176" i="36" s="1"/>
  <c r="K176" i="36"/>
  <c r="N177" i="36" s="1"/>
  <c r="S177" i="36" s="1"/>
  <c r="T176" i="36"/>
  <c r="X176" i="36" l="1"/>
  <c r="X177" i="36"/>
  <c r="Y177" i="36" s="1"/>
  <c r="N176" i="36"/>
  <c r="S176" i="36" s="1"/>
  <c r="S78" i="47"/>
  <c r="Y78" i="47" s="1"/>
  <c r="R78" i="36"/>
  <c r="Y176" i="36" l="1"/>
  <c r="T77" i="36" l="1"/>
  <c r="X78" i="36" s="1"/>
  <c r="U77" i="36"/>
  <c r="T76" i="36"/>
  <c r="U76" i="36"/>
  <c r="DK118" i="4"/>
  <c r="G77" i="36" s="1"/>
  <c r="DM118" i="4"/>
  <c r="DN118" i="4"/>
  <c r="DO118" i="4"/>
  <c r="DP118" i="4"/>
  <c r="I77" i="47" s="1"/>
  <c r="DR118" i="4"/>
  <c r="J77" i="47" s="1"/>
  <c r="DS118" i="4"/>
  <c r="M77" i="47" s="1"/>
  <c r="DT118" i="4"/>
  <c r="DU118" i="4"/>
  <c r="O77" i="47" s="1"/>
  <c r="P77" i="47"/>
  <c r="EA118" i="4"/>
  <c r="DK117" i="4"/>
  <c r="G76" i="36" s="1"/>
  <c r="DM117" i="4"/>
  <c r="DN117" i="4"/>
  <c r="DO117" i="4"/>
  <c r="DP117" i="4"/>
  <c r="I76" i="47" s="1"/>
  <c r="DR117" i="4"/>
  <c r="J76" i="47" s="1"/>
  <c r="DS117" i="4"/>
  <c r="M76" i="47" s="1"/>
  <c r="DT117" i="4"/>
  <c r="DU117" i="4"/>
  <c r="O76" i="47" s="1"/>
  <c r="P76" i="47"/>
  <c r="EA117" i="4"/>
  <c r="K76" i="47" l="1"/>
  <c r="N76" i="47" s="1"/>
  <c r="K77" i="47"/>
  <c r="N77" i="47" s="1"/>
  <c r="G76" i="47"/>
  <c r="C76" i="47" s="1"/>
  <c r="R77" i="47"/>
  <c r="H77" i="47"/>
  <c r="R76" i="47"/>
  <c r="H76" i="47"/>
  <c r="G77" i="47"/>
  <c r="C77" i="47" s="1"/>
  <c r="J76" i="36"/>
  <c r="O77" i="36"/>
  <c r="I77" i="36"/>
  <c r="O76" i="36"/>
  <c r="I76" i="36"/>
  <c r="M77" i="36"/>
  <c r="M76" i="36"/>
  <c r="J77" i="36"/>
  <c r="X77" i="36"/>
  <c r="H76" i="36"/>
  <c r="H77" i="36"/>
  <c r="DZ117" i="4"/>
  <c r="DI118" i="4"/>
  <c r="EC118" i="4" s="1"/>
  <c r="K77" i="36"/>
  <c r="DZ118" i="4"/>
  <c r="DX118" i="4"/>
  <c r="DI117" i="4"/>
  <c r="EC117" i="4" s="1"/>
  <c r="DX117" i="4"/>
  <c r="K76" i="36"/>
  <c r="N78" i="36" l="1"/>
  <c r="S78" i="36" s="1"/>
  <c r="Y78" i="36" s="1"/>
  <c r="R76" i="36"/>
  <c r="S76" i="47"/>
  <c r="Y76" i="47" s="1"/>
  <c r="R77" i="36"/>
  <c r="S77" i="47"/>
  <c r="Y77" i="47" s="1"/>
  <c r="C76" i="36"/>
  <c r="C175" i="36" s="1"/>
  <c r="N77" i="36"/>
  <c r="C77" i="36"/>
  <c r="C176" i="36" s="1"/>
  <c r="S77" i="36" l="1"/>
  <c r="Y77" i="36" s="1"/>
  <c r="I175" i="36" l="1"/>
  <c r="I162" i="36"/>
  <c r="DP102" i="4"/>
  <c r="I60" i="47" s="1"/>
  <c r="DP103" i="4"/>
  <c r="I61" i="47" s="1"/>
  <c r="DP104" i="4"/>
  <c r="I62" i="47" s="1"/>
  <c r="DP105" i="4"/>
  <c r="I63" i="47" s="1"/>
  <c r="DP106" i="4"/>
  <c r="I64" i="47" s="1"/>
  <c r="DP107" i="4"/>
  <c r="I65" i="47" s="1"/>
  <c r="DP108" i="4"/>
  <c r="I66" i="47" s="1"/>
  <c r="DP109" i="4"/>
  <c r="I67" i="47" s="1"/>
  <c r="DP110" i="4"/>
  <c r="I68" i="47" s="1"/>
  <c r="DP111" i="4"/>
  <c r="I69" i="47" s="1"/>
  <c r="DP112" i="4"/>
  <c r="DP113" i="4"/>
  <c r="I72" i="47" s="1"/>
  <c r="DP114" i="4"/>
  <c r="I73" i="47" s="1"/>
  <c r="DP115" i="4"/>
  <c r="I74" i="47" s="1"/>
  <c r="DP116" i="4"/>
  <c r="I75" i="47" s="1"/>
  <c r="DP101" i="4"/>
  <c r="I59" i="47" s="1"/>
  <c r="P60" i="47"/>
  <c r="P61" i="47"/>
  <c r="P62" i="47"/>
  <c r="P63" i="47"/>
  <c r="P64" i="47"/>
  <c r="P65" i="47"/>
  <c r="P66" i="47"/>
  <c r="P67" i="47"/>
  <c r="P68" i="47"/>
  <c r="P69" i="47"/>
  <c r="P72" i="47"/>
  <c r="P73" i="47"/>
  <c r="P74" i="47"/>
  <c r="P75" i="47"/>
  <c r="P59" i="47"/>
  <c r="Q101" i="36" l="1"/>
  <c r="Q100" i="36"/>
  <c r="Q99" i="36"/>
  <c r="P71" i="47"/>
  <c r="P103" i="47" s="1"/>
  <c r="DV135" i="4"/>
  <c r="DW135" i="4"/>
  <c r="I71" i="47"/>
  <c r="I103" i="47" s="1"/>
  <c r="DP135" i="4"/>
  <c r="DQ135" i="4"/>
  <c r="DW134" i="4"/>
  <c r="DQ134" i="4"/>
  <c r="O174" i="36"/>
  <c r="R174" i="36" s="1"/>
  <c r="K174" i="36"/>
  <c r="N175" i="36" s="1"/>
  <c r="S175" i="36" s="1"/>
  <c r="J174" i="36"/>
  <c r="I174" i="36" s="1"/>
  <c r="G174" i="36"/>
  <c r="T173" i="36"/>
  <c r="X173" i="36" s="1"/>
  <c r="K173" i="36"/>
  <c r="J173" i="36"/>
  <c r="I173" i="36" s="1"/>
  <c r="G173" i="36"/>
  <c r="T172" i="36"/>
  <c r="X172" i="36" s="1"/>
  <c r="O172" i="36"/>
  <c r="R172" i="36" s="1"/>
  <c r="K172" i="36"/>
  <c r="J172" i="36"/>
  <c r="I172" i="36" s="1"/>
  <c r="G172" i="36"/>
  <c r="T171" i="36"/>
  <c r="O171" i="36"/>
  <c r="R171" i="36" s="1"/>
  <c r="K171" i="36"/>
  <c r="J171" i="36"/>
  <c r="I171" i="36" s="1"/>
  <c r="G171" i="36"/>
  <c r="T170" i="36"/>
  <c r="X170" i="36" s="1"/>
  <c r="K170" i="36"/>
  <c r="J170" i="36"/>
  <c r="I170" i="36" s="1"/>
  <c r="G170" i="36"/>
  <c r="T168" i="36"/>
  <c r="P168" i="36"/>
  <c r="O168" i="36"/>
  <c r="J168" i="36"/>
  <c r="I168" i="36" s="1"/>
  <c r="G168" i="36"/>
  <c r="T167" i="36"/>
  <c r="X167" i="36" s="1"/>
  <c r="P167" i="36"/>
  <c r="O167" i="36"/>
  <c r="K167" i="36"/>
  <c r="J167" i="36"/>
  <c r="I167" i="36" s="1"/>
  <c r="T166" i="36"/>
  <c r="X166" i="36" s="1"/>
  <c r="P166" i="36"/>
  <c r="R166" i="36" s="1"/>
  <c r="K166" i="36"/>
  <c r="J166" i="36"/>
  <c r="I166" i="36" s="1"/>
  <c r="G166" i="36"/>
  <c r="T165" i="36"/>
  <c r="P165" i="36"/>
  <c r="O165" i="36"/>
  <c r="K165" i="36"/>
  <c r="J165" i="36"/>
  <c r="I165" i="36" s="1"/>
  <c r="G165" i="36"/>
  <c r="T164" i="36"/>
  <c r="P164" i="36"/>
  <c r="O164" i="36"/>
  <c r="K164" i="36"/>
  <c r="J164" i="36"/>
  <c r="I164" i="36" s="1"/>
  <c r="G164" i="36"/>
  <c r="T163" i="36"/>
  <c r="X163" i="36" s="1"/>
  <c r="P163" i="36"/>
  <c r="O163" i="36"/>
  <c r="J163" i="36"/>
  <c r="I163" i="36" s="1"/>
  <c r="G163" i="36"/>
  <c r="X162" i="36"/>
  <c r="P162" i="36"/>
  <c r="O162" i="36"/>
  <c r="K162" i="36"/>
  <c r="G162" i="36"/>
  <c r="P161" i="36"/>
  <c r="O161" i="36"/>
  <c r="K161" i="36"/>
  <c r="J161" i="36"/>
  <c r="I161" i="36" s="1"/>
  <c r="G161" i="36"/>
  <c r="T160" i="36"/>
  <c r="X160" i="36" s="1"/>
  <c r="P160" i="36"/>
  <c r="O160" i="36"/>
  <c r="K160" i="36"/>
  <c r="J160" i="36"/>
  <c r="I160" i="36" s="1"/>
  <c r="G160" i="36"/>
  <c r="T159" i="36"/>
  <c r="X159" i="36" s="1"/>
  <c r="P159" i="36"/>
  <c r="O159" i="36"/>
  <c r="K159" i="36"/>
  <c r="J159" i="36"/>
  <c r="I159" i="36" s="1"/>
  <c r="G159" i="36"/>
  <c r="T158" i="36"/>
  <c r="P158" i="36"/>
  <c r="O158" i="36"/>
  <c r="K158" i="36"/>
  <c r="J158" i="36"/>
  <c r="I158" i="36" s="1"/>
  <c r="G158" i="36"/>
  <c r="T157" i="36"/>
  <c r="X157" i="36" s="1"/>
  <c r="P157" i="36"/>
  <c r="O157" i="36"/>
  <c r="K157" i="36"/>
  <c r="J157" i="36"/>
  <c r="I157" i="36" s="1"/>
  <c r="G157" i="36"/>
  <c r="T155" i="36"/>
  <c r="X155" i="36" s="1"/>
  <c r="P155" i="36"/>
  <c r="O155" i="36"/>
  <c r="K155" i="36"/>
  <c r="J155" i="36"/>
  <c r="I155" i="36" s="1"/>
  <c r="G155" i="36"/>
  <c r="T154" i="36"/>
  <c r="X154" i="36" s="1"/>
  <c r="P154" i="36"/>
  <c r="O154" i="36"/>
  <c r="K154" i="36"/>
  <c r="J154" i="36"/>
  <c r="I154" i="36" s="1"/>
  <c r="G154" i="36"/>
  <c r="T153" i="36"/>
  <c r="P153" i="36"/>
  <c r="O153" i="36"/>
  <c r="K153" i="36"/>
  <c r="J153" i="36"/>
  <c r="I153" i="36" s="1"/>
  <c r="G153" i="36"/>
  <c r="T152" i="36"/>
  <c r="P152" i="36"/>
  <c r="O152" i="36"/>
  <c r="K152" i="36"/>
  <c r="J152" i="36"/>
  <c r="I152" i="36" s="1"/>
  <c r="G152" i="36"/>
  <c r="T151" i="36"/>
  <c r="X151" i="36" s="1"/>
  <c r="P151" i="36"/>
  <c r="O151" i="36"/>
  <c r="K151" i="36"/>
  <c r="J151" i="36"/>
  <c r="I151" i="36" s="1"/>
  <c r="G151" i="36"/>
  <c r="X150" i="36"/>
  <c r="P150" i="36"/>
  <c r="O150" i="36"/>
  <c r="K150" i="36"/>
  <c r="J150" i="36"/>
  <c r="I150" i="36" s="1"/>
  <c r="G150" i="36"/>
  <c r="X149" i="36"/>
  <c r="P149" i="36"/>
  <c r="O149" i="36"/>
  <c r="K149" i="36"/>
  <c r="J149" i="36"/>
  <c r="I149" i="36" s="1"/>
  <c r="G149" i="36"/>
  <c r="X148" i="36"/>
  <c r="P148" i="36"/>
  <c r="O148" i="36"/>
  <c r="K148" i="36"/>
  <c r="J148" i="36"/>
  <c r="I148" i="36" s="1"/>
  <c r="G148" i="36"/>
  <c r="X147" i="36"/>
  <c r="P147" i="36"/>
  <c r="O147" i="36"/>
  <c r="K147" i="36"/>
  <c r="J147" i="36"/>
  <c r="I147" i="36" s="1"/>
  <c r="G147" i="36"/>
  <c r="T146" i="36"/>
  <c r="X146" i="36" s="1"/>
  <c r="P146" i="36"/>
  <c r="O146" i="36"/>
  <c r="K146" i="36"/>
  <c r="J146" i="36"/>
  <c r="I146" i="36" s="1"/>
  <c r="G146" i="36"/>
  <c r="T145" i="36"/>
  <c r="P145" i="36"/>
  <c r="O145" i="36"/>
  <c r="K145" i="36"/>
  <c r="J145" i="36"/>
  <c r="I145" i="36" s="1"/>
  <c r="G145" i="36"/>
  <c r="T144" i="36"/>
  <c r="X144" i="36" s="1"/>
  <c r="P144" i="36"/>
  <c r="O144" i="36"/>
  <c r="K144" i="36"/>
  <c r="J144" i="36"/>
  <c r="I144" i="36" s="1"/>
  <c r="G144" i="36"/>
  <c r="T142" i="36"/>
  <c r="X142" i="36" s="1"/>
  <c r="P142" i="36"/>
  <c r="O142" i="36"/>
  <c r="K142" i="36"/>
  <c r="I142" i="36"/>
  <c r="G142" i="36"/>
  <c r="P141" i="36"/>
  <c r="O141" i="36"/>
  <c r="K141" i="36"/>
  <c r="J141" i="36"/>
  <c r="I141" i="36" s="1"/>
  <c r="G141" i="36"/>
  <c r="P140" i="36"/>
  <c r="O140" i="36"/>
  <c r="K140" i="36"/>
  <c r="J140" i="36"/>
  <c r="I140" i="36" s="1"/>
  <c r="G140" i="36"/>
  <c r="P139" i="36"/>
  <c r="O139" i="36"/>
  <c r="K139" i="36"/>
  <c r="J139" i="36"/>
  <c r="I139" i="36" s="1"/>
  <c r="G139" i="36"/>
  <c r="X138" i="36"/>
  <c r="P138" i="36"/>
  <c r="O138" i="36"/>
  <c r="K138" i="36"/>
  <c r="J138" i="36"/>
  <c r="I138" i="36" s="1"/>
  <c r="G138" i="36"/>
  <c r="X137" i="36"/>
  <c r="P137" i="36"/>
  <c r="O137" i="36"/>
  <c r="K137" i="36"/>
  <c r="J137" i="36"/>
  <c r="I137" i="36" s="1"/>
  <c r="X136" i="36"/>
  <c r="P136" i="36"/>
  <c r="O136" i="36"/>
  <c r="K136" i="36"/>
  <c r="J136" i="36"/>
  <c r="I136" i="36" s="1"/>
  <c r="G136" i="36"/>
  <c r="X135" i="36"/>
  <c r="P135" i="36"/>
  <c r="O135" i="36"/>
  <c r="K135" i="36"/>
  <c r="J135" i="36"/>
  <c r="I135" i="36" s="1"/>
  <c r="G135" i="36"/>
  <c r="X134" i="36"/>
  <c r="P134" i="36"/>
  <c r="O134" i="36"/>
  <c r="K134" i="36"/>
  <c r="J134" i="36"/>
  <c r="I134" i="36" s="1"/>
  <c r="G134" i="36"/>
  <c r="X133" i="36"/>
  <c r="P133" i="36"/>
  <c r="O133" i="36"/>
  <c r="K133" i="36"/>
  <c r="J133" i="36"/>
  <c r="I133" i="36" s="1"/>
  <c r="G133" i="36"/>
  <c r="X132" i="36"/>
  <c r="P132" i="36"/>
  <c r="O132" i="36"/>
  <c r="K132" i="36"/>
  <c r="J132" i="36"/>
  <c r="I132" i="36" s="1"/>
  <c r="G132" i="36"/>
  <c r="X131" i="36"/>
  <c r="P131" i="36"/>
  <c r="O131" i="36"/>
  <c r="K131" i="36"/>
  <c r="J131" i="36"/>
  <c r="I131" i="36" s="1"/>
  <c r="G131" i="36"/>
  <c r="P129" i="36"/>
  <c r="O129" i="36"/>
  <c r="K129" i="36"/>
  <c r="J129" i="36"/>
  <c r="I129" i="36" s="1"/>
  <c r="G129" i="36"/>
  <c r="P128" i="36"/>
  <c r="O128" i="36"/>
  <c r="K128" i="36"/>
  <c r="J128" i="36"/>
  <c r="I128" i="36" s="1"/>
  <c r="G128" i="36"/>
  <c r="P127" i="36"/>
  <c r="O127" i="36"/>
  <c r="K127" i="36"/>
  <c r="J127" i="36"/>
  <c r="I127" i="36" s="1"/>
  <c r="G127" i="36"/>
  <c r="P126" i="36"/>
  <c r="O126" i="36"/>
  <c r="K126" i="36"/>
  <c r="J126" i="36"/>
  <c r="I126" i="36" s="1"/>
  <c r="G126" i="36"/>
  <c r="P125" i="36"/>
  <c r="O125" i="36"/>
  <c r="K125" i="36"/>
  <c r="J125" i="36"/>
  <c r="I125" i="36" s="1"/>
  <c r="G125" i="36"/>
  <c r="P124" i="36"/>
  <c r="O124" i="36"/>
  <c r="K124" i="36"/>
  <c r="J124" i="36"/>
  <c r="I124" i="36" s="1"/>
  <c r="G124" i="36"/>
  <c r="P123" i="36"/>
  <c r="O123" i="36"/>
  <c r="K123" i="36"/>
  <c r="J123" i="36"/>
  <c r="I123" i="36" s="1"/>
  <c r="G123" i="36"/>
  <c r="P122" i="36"/>
  <c r="O122" i="36"/>
  <c r="K122" i="36"/>
  <c r="J122" i="36"/>
  <c r="I122" i="36" s="1"/>
  <c r="G122" i="36"/>
  <c r="P121" i="36"/>
  <c r="O121" i="36"/>
  <c r="K121" i="36"/>
  <c r="J121" i="36"/>
  <c r="I121" i="36" s="1"/>
  <c r="G121" i="36"/>
  <c r="P120" i="36"/>
  <c r="O120" i="36"/>
  <c r="K120" i="36"/>
  <c r="J120" i="36"/>
  <c r="I120" i="36" s="1"/>
  <c r="G120" i="36"/>
  <c r="P119" i="36"/>
  <c r="O119" i="36"/>
  <c r="K119" i="36"/>
  <c r="J119" i="36"/>
  <c r="I119" i="36" s="1"/>
  <c r="G119" i="36"/>
  <c r="U75" i="36"/>
  <c r="T75" i="36"/>
  <c r="X76" i="36" s="1"/>
  <c r="D75" i="36"/>
  <c r="U74" i="36"/>
  <c r="T74" i="36"/>
  <c r="D74" i="36"/>
  <c r="U73" i="36"/>
  <c r="T73" i="36"/>
  <c r="D73" i="36"/>
  <c r="U72" i="36"/>
  <c r="T72" i="36"/>
  <c r="D72" i="36"/>
  <c r="U71" i="36"/>
  <c r="T71" i="36"/>
  <c r="P71" i="36"/>
  <c r="D71" i="36"/>
  <c r="U69" i="36"/>
  <c r="T69" i="36"/>
  <c r="D69" i="36"/>
  <c r="U68" i="36"/>
  <c r="T68" i="36"/>
  <c r="D68" i="36"/>
  <c r="U67" i="36"/>
  <c r="T67" i="36"/>
  <c r="D67" i="36"/>
  <c r="U66" i="36"/>
  <c r="T66" i="36"/>
  <c r="D66" i="36"/>
  <c r="U65" i="36"/>
  <c r="T65" i="36"/>
  <c r="D65" i="36"/>
  <c r="U64" i="36"/>
  <c r="T64" i="36"/>
  <c r="D64" i="36"/>
  <c r="U63" i="36"/>
  <c r="T63" i="36"/>
  <c r="D63" i="36"/>
  <c r="U62" i="36"/>
  <c r="T62" i="36"/>
  <c r="D62" i="36"/>
  <c r="U61" i="36"/>
  <c r="T61" i="36"/>
  <c r="D61" i="36"/>
  <c r="U60" i="36"/>
  <c r="T60" i="36"/>
  <c r="D60" i="36"/>
  <c r="U59" i="36"/>
  <c r="T59" i="36"/>
  <c r="D59" i="36"/>
  <c r="U58" i="36"/>
  <c r="T58" i="36"/>
  <c r="D58" i="36"/>
  <c r="U56" i="36"/>
  <c r="T56" i="36"/>
  <c r="D56" i="36"/>
  <c r="U55" i="36"/>
  <c r="T55" i="36"/>
  <c r="D55" i="36"/>
  <c r="U54" i="36"/>
  <c r="T54" i="36"/>
  <c r="D54" i="36"/>
  <c r="U53" i="36"/>
  <c r="T53" i="36"/>
  <c r="D53" i="36"/>
  <c r="U52" i="36"/>
  <c r="T52" i="36"/>
  <c r="D52" i="36"/>
  <c r="U51" i="36"/>
  <c r="T51" i="36"/>
  <c r="D51" i="36"/>
  <c r="U50" i="36"/>
  <c r="T50" i="36"/>
  <c r="D50" i="36"/>
  <c r="U49" i="36"/>
  <c r="T49" i="36"/>
  <c r="D49" i="36"/>
  <c r="U48" i="36"/>
  <c r="T48" i="36"/>
  <c r="D48" i="36"/>
  <c r="U47" i="36"/>
  <c r="T47" i="36"/>
  <c r="D47" i="36"/>
  <c r="U46" i="36"/>
  <c r="T46" i="36"/>
  <c r="D46" i="36"/>
  <c r="U45" i="36"/>
  <c r="T45" i="36"/>
  <c r="D45" i="36"/>
  <c r="V43" i="36"/>
  <c r="U43" i="36"/>
  <c r="T43" i="36"/>
  <c r="D43" i="36"/>
  <c r="V42" i="36"/>
  <c r="U42" i="36"/>
  <c r="T42" i="36"/>
  <c r="D42" i="36"/>
  <c r="V41" i="36"/>
  <c r="U41" i="36"/>
  <c r="T41" i="36"/>
  <c r="D41" i="36"/>
  <c r="V40" i="36"/>
  <c r="U40" i="36"/>
  <c r="T40" i="36"/>
  <c r="D40" i="36"/>
  <c r="V39" i="36"/>
  <c r="U39" i="36"/>
  <c r="T39" i="36"/>
  <c r="D39" i="36"/>
  <c r="V38" i="36"/>
  <c r="U38" i="36"/>
  <c r="T38" i="36"/>
  <c r="D38" i="36"/>
  <c r="V37" i="36"/>
  <c r="U37" i="36"/>
  <c r="T37" i="36"/>
  <c r="D37" i="36"/>
  <c r="V36" i="36"/>
  <c r="U36" i="36"/>
  <c r="T36" i="36"/>
  <c r="D36" i="36"/>
  <c r="V35" i="36"/>
  <c r="U35" i="36"/>
  <c r="T35" i="36"/>
  <c r="D35" i="36"/>
  <c r="V34" i="36"/>
  <c r="U34" i="36"/>
  <c r="T34" i="36"/>
  <c r="D34" i="36"/>
  <c r="V33" i="36"/>
  <c r="U33" i="36"/>
  <c r="T33" i="36"/>
  <c r="D33" i="36"/>
  <c r="V32" i="36"/>
  <c r="U32" i="36"/>
  <c r="T32" i="36"/>
  <c r="D32" i="36"/>
  <c r="V29" i="36"/>
  <c r="U29" i="36"/>
  <c r="T29" i="36"/>
  <c r="X30" i="36" s="1"/>
  <c r="D29" i="36"/>
  <c r="V28" i="36"/>
  <c r="U28" i="36"/>
  <c r="T28" i="36"/>
  <c r="D28" i="36"/>
  <c r="V27" i="36"/>
  <c r="U27" i="36"/>
  <c r="T27" i="36"/>
  <c r="D27" i="36"/>
  <c r="V26" i="36"/>
  <c r="U26" i="36"/>
  <c r="T26" i="36"/>
  <c r="D26" i="36"/>
  <c r="V25" i="36"/>
  <c r="U25" i="36"/>
  <c r="T25" i="36"/>
  <c r="D25" i="36"/>
  <c r="V24" i="36"/>
  <c r="U24" i="36"/>
  <c r="T24" i="36"/>
  <c r="D24" i="36"/>
  <c r="V23" i="36"/>
  <c r="U23" i="36"/>
  <c r="T23" i="36"/>
  <c r="D23" i="36"/>
  <c r="V22" i="36"/>
  <c r="U22" i="36"/>
  <c r="T22" i="36"/>
  <c r="D22" i="36"/>
  <c r="V21" i="36"/>
  <c r="U21" i="36"/>
  <c r="T21" i="36"/>
  <c r="D21" i="36"/>
  <c r="V20" i="36"/>
  <c r="U20" i="36"/>
  <c r="T20" i="36"/>
  <c r="D20" i="36"/>
  <c r="DK116" i="4"/>
  <c r="G75" i="36" s="1"/>
  <c r="DM116" i="4"/>
  <c r="DN116" i="4"/>
  <c r="DO116" i="4"/>
  <c r="I75" i="36"/>
  <c r="DR116" i="4"/>
  <c r="J75" i="47" s="1"/>
  <c r="DS116" i="4"/>
  <c r="M75" i="47" s="1"/>
  <c r="DT116" i="4"/>
  <c r="DU116" i="4"/>
  <c r="O75" i="47" s="1"/>
  <c r="R75" i="47" s="1"/>
  <c r="EA116" i="4"/>
  <c r="DK115" i="4"/>
  <c r="G74" i="36" s="1"/>
  <c r="DM115" i="4"/>
  <c r="DN115" i="4"/>
  <c r="DO115" i="4"/>
  <c r="DR115" i="4"/>
  <c r="J74" i="47" s="1"/>
  <c r="DS115" i="4"/>
  <c r="M74" i="47" s="1"/>
  <c r="DT115" i="4"/>
  <c r="DU115" i="4"/>
  <c r="O74" i="47" s="1"/>
  <c r="R74" i="47" s="1"/>
  <c r="EA115" i="4"/>
  <c r="DK114" i="4"/>
  <c r="G73" i="36" s="1"/>
  <c r="DM114" i="4"/>
  <c r="DN114" i="4"/>
  <c r="DO114" i="4"/>
  <c r="I73" i="36"/>
  <c r="DR114" i="4"/>
  <c r="J73" i="47" s="1"/>
  <c r="DS114" i="4"/>
  <c r="M73" i="47" s="1"/>
  <c r="DT114" i="4"/>
  <c r="DU114" i="4"/>
  <c r="O73" i="47" s="1"/>
  <c r="R73" i="47" s="1"/>
  <c r="EA114" i="4"/>
  <c r="DK113" i="4"/>
  <c r="G72" i="36" s="1"/>
  <c r="DM113" i="4"/>
  <c r="DN113" i="4"/>
  <c r="DO113" i="4"/>
  <c r="I72" i="36"/>
  <c r="DR113" i="4"/>
  <c r="J72" i="47" s="1"/>
  <c r="DS113" i="4"/>
  <c r="M72" i="47" s="1"/>
  <c r="DT113" i="4"/>
  <c r="DU113" i="4"/>
  <c r="O72" i="47" s="1"/>
  <c r="R72" i="47" s="1"/>
  <c r="EA113" i="4"/>
  <c r="D99" i="36" l="1"/>
  <c r="T99" i="36"/>
  <c r="U100" i="36"/>
  <c r="V99" i="36"/>
  <c r="D103" i="36"/>
  <c r="U99" i="36"/>
  <c r="D100" i="36"/>
  <c r="V100" i="36"/>
  <c r="Q102" i="36"/>
  <c r="D102" i="36"/>
  <c r="D101" i="36"/>
  <c r="T100" i="36"/>
  <c r="U101" i="36"/>
  <c r="T101" i="36"/>
  <c r="P103" i="36"/>
  <c r="Q103" i="36"/>
  <c r="T102" i="36"/>
  <c r="T103" i="36"/>
  <c r="U102" i="36"/>
  <c r="U103" i="36"/>
  <c r="X152" i="36"/>
  <c r="X161" i="36"/>
  <c r="X164" i="36"/>
  <c r="X174" i="36"/>
  <c r="X168" i="36"/>
  <c r="X153" i="36"/>
  <c r="X158" i="36"/>
  <c r="X165" i="36"/>
  <c r="X171" i="36"/>
  <c r="N162" i="36"/>
  <c r="N168" i="36"/>
  <c r="N163" i="36"/>
  <c r="R122" i="36"/>
  <c r="N124" i="36"/>
  <c r="R131" i="36"/>
  <c r="N134" i="36"/>
  <c r="R135" i="36"/>
  <c r="N145" i="36"/>
  <c r="R146" i="36"/>
  <c r="N149" i="36"/>
  <c r="R150" i="36"/>
  <c r="N153" i="36"/>
  <c r="R154" i="36"/>
  <c r="N158" i="36"/>
  <c r="R159" i="36"/>
  <c r="N120" i="36"/>
  <c r="R126" i="36"/>
  <c r="N128" i="36"/>
  <c r="N132" i="36"/>
  <c r="R140" i="36"/>
  <c r="N142" i="36"/>
  <c r="R119" i="36"/>
  <c r="N121" i="36"/>
  <c r="R127" i="36"/>
  <c r="N129" i="36"/>
  <c r="G75" i="47"/>
  <c r="C75" i="47" s="1"/>
  <c r="H73" i="47"/>
  <c r="K72" i="47"/>
  <c r="N72" i="47" s="1"/>
  <c r="K74" i="47"/>
  <c r="N74" i="47" s="1"/>
  <c r="G73" i="47"/>
  <c r="C73" i="47" s="1"/>
  <c r="H72" i="47"/>
  <c r="H74" i="47"/>
  <c r="G72" i="47"/>
  <c r="C72" i="47" s="1"/>
  <c r="G74" i="47"/>
  <c r="K73" i="47"/>
  <c r="N73" i="47" s="1"/>
  <c r="K75" i="47"/>
  <c r="N75" i="47" s="1"/>
  <c r="H75" i="47"/>
  <c r="N137" i="36"/>
  <c r="R162" i="36"/>
  <c r="R168" i="36"/>
  <c r="N171" i="36"/>
  <c r="S171" i="36" s="1"/>
  <c r="N170" i="36"/>
  <c r="S170" i="36" s="1"/>
  <c r="R138" i="36"/>
  <c r="N165" i="36"/>
  <c r="R141" i="36"/>
  <c r="R121" i="36"/>
  <c r="N123" i="36"/>
  <c r="R129" i="36"/>
  <c r="R137" i="36"/>
  <c r="N173" i="36"/>
  <c r="S173" i="36" s="1"/>
  <c r="R124" i="36"/>
  <c r="N126" i="36"/>
  <c r="N133" i="36"/>
  <c r="R134" i="36"/>
  <c r="N140" i="36"/>
  <c r="N144" i="36"/>
  <c r="R145" i="36"/>
  <c r="N148" i="36"/>
  <c r="R149" i="36"/>
  <c r="N152" i="36"/>
  <c r="R153" i="36"/>
  <c r="N157" i="36"/>
  <c r="R158" i="36"/>
  <c r="N161" i="36"/>
  <c r="N164" i="36"/>
  <c r="R165" i="36"/>
  <c r="N167" i="36"/>
  <c r="R133" i="36"/>
  <c r="N136" i="36"/>
  <c r="R144" i="36"/>
  <c r="N147" i="36"/>
  <c r="R148" i="36"/>
  <c r="N151" i="36"/>
  <c r="R152" i="36"/>
  <c r="N155" i="36"/>
  <c r="R157" i="36"/>
  <c r="N160" i="36"/>
  <c r="R161" i="36"/>
  <c r="R164" i="36"/>
  <c r="R167" i="36"/>
  <c r="R123" i="36"/>
  <c r="N125" i="36"/>
  <c r="N139" i="36"/>
  <c r="R120" i="36"/>
  <c r="N122" i="36"/>
  <c r="R128" i="36"/>
  <c r="N131" i="36"/>
  <c r="R132" i="36"/>
  <c r="N135" i="36"/>
  <c r="R136" i="36"/>
  <c r="R142" i="36"/>
  <c r="N146" i="36"/>
  <c r="R147" i="36"/>
  <c r="N150" i="36"/>
  <c r="R151" i="36"/>
  <c r="N154" i="36"/>
  <c r="R155" i="36"/>
  <c r="N159" i="36"/>
  <c r="R160" i="36"/>
  <c r="R163" i="36"/>
  <c r="N166" i="36"/>
  <c r="S166" i="36" s="1"/>
  <c r="N172" i="36"/>
  <c r="S172" i="36" s="1"/>
  <c r="N119" i="36"/>
  <c r="R125" i="36"/>
  <c r="N127" i="36"/>
  <c r="N138" i="36"/>
  <c r="R139" i="36"/>
  <c r="N141" i="36"/>
  <c r="N174" i="36"/>
  <c r="S174" i="36" s="1"/>
  <c r="M74" i="36"/>
  <c r="O75" i="36"/>
  <c r="R75" i="36" s="1"/>
  <c r="X53" i="36"/>
  <c r="X61" i="36"/>
  <c r="X63" i="36"/>
  <c r="J75" i="36"/>
  <c r="X26" i="36"/>
  <c r="X28" i="36"/>
  <c r="X32" i="36"/>
  <c r="X34" i="36"/>
  <c r="X36" i="36"/>
  <c r="X38" i="36"/>
  <c r="X40" i="36"/>
  <c r="X42" i="36"/>
  <c r="X45" i="36"/>
  <c r="X59" i="36"/>
  <c r="X65" i="36"/>
  <c r="X67" i="36"/>
  <c r="X69" i="36"/>
  <c r="X72" i="36"/>
  <c r="X141" i="36"/>
  <c r="X74" i="36"/>
  <c r="X145" i="36"/>
  <c r="X139" i="36"/>
  <c r="X46" i="36"/>
  <c r="X54" i="36"/>
  <c r="X48" i="36"/>
  <c r="X56" i="36"/>
  <c r="X140" i="36"/>
  <c r="X52" i="36"/>
  <c r="X47" i="36"/>
  <c r="X55" i="36"/>
  <c r="X20" i="36"/>
  <c r="X22" i="36"/>
  <c r="X24" i="36"/>
  <c r="X50" i="36"/>
  <c r="X51" i="36"/>
  <c r="X21" i="36"/>
  <c r="X23" i="36"/>
  <c r="X25" i="36"/>
  <c r="X27" i="36"/>
  <c r="X29" i="36"/>
  <c r="X33" i="36"/>
  <c r="X35" i="36"/>
  <c r="X37" i="36"/>
  <c r="X39" i="36"/>
  <c r="X41" i="36"/>
  <c r="X43" i="36"/>
  <c r="X49" i="36"/>
  <c r="X58" i="36"/>
  <c r="X60" i="36"/>
  <c r="X62" i="36"/>
  <c r="X64" i="36"/>
  <c r="X66" i="36"/>
  <c r="X68" i="36"/>
  <c r="X71" i="36"/>
  <c r="X73" i="36"/>
  <c r="X75" i="36"/>
  <c r="DX114" i="4"/>
  <c r="DX116" i="4"/>
  <c r="DX115" i="4"/>
  <c r="O73" i="36"/>
  <c r="DX113" i="4"/>
  <c r="DZ116" i="4"/>
  <c r="J73" i="36"/>
  <c r="K72" i="36"/>
  <c r="O74" i="36"/>
  <c r="O72" i="36"/>
  <c r="H72" i="36"/>
  <c r="DI115" i="4"/>
  <c r="EC115" i="4" s="1"/>
  <c r="M73" i="36"/>
  <c r="H75" i="36"/>
  <c r="M75" i="36"/>
  <c r="K73" i="36"/>
  <c r="I74" i="36"/>
  <c r="DI116" i="4"/>
  <c r="EC116" i="4" s="1"/>
  <c r="H74" i="36"/>
  <c r="M72" i="36"/>
  <c r="K74" i="36"/>
  <c r="J72" i="36"/>
  <c r="H73" i="36"/>
  <c r="K75" i="36"/>
  <c r="N76" i="36" s="1"/>
  <c r="S76" i="36" s="1"/>
  <c r="Y76" i="36" s="1"/>
  <c r="J74" i="36"/>
  <c r="DZ115" i="4"/>
  <c r="DI114" i="4"/>
  <c r="DZ114" i="4"/>
  <c r="DZ113" i="4"/>
  <c r="DI113" i="4"/>
  <c r="DG112" i="4"/>
  <c r="DG135" i="4" s="1"/>
  <c r="DH135" i="4"/>
  <c r="DK112" i="4"/>
  <c r="DL135" i="4"/>
  <c r="DM112" i="4"/>
  <c r="DM135" i="4" s="1"/>
  <c r="DN112" i="4"/>
  <c r="DN135" i="4" s="1"/>
  <c r="DO112" i="4"/>
  <c r="DO135" i="4" s="1"/>
  <c r="DR112" i="4"/>
  <c r="DS112" i="4"/>
  <c r="DT112" i="4"/>
  <c r="DT135" i="4" s="1"/>
  <c r="DU112" i="4"/>
  <c r="EA112" i="4"/>
  <c r="EA135" i="4" s="1"/>
  <c r="DG111" i="4"/>
  <c r="DK111" i="4"/>
  <c r="G69" i="36" s="1"/>
  <c r="DM111" i="4"/>
  <c r="DN111" i="4"/>
  <c r="DO111" i="4"/>
  <c r="DR111" i="4"/>
  <c r="J69" i="47" s="1"/>
  <c r="DS111" i="4"/>
  <c r="M69" i="47" s="1"/>
  <c r="DT111" i="4"/>
  <c r="DU111" i="4"/>
  <c r="O69" i="47" s="1"/>
  <c r="R69" i="47" s="1"/>
  <c r="EA111" i="4"/>
  <c r="DK135" i="4" l="1"/>
  <c r="G71" i="36"/>
  <c r="S141" i="36"/>
  <c r="Y141" i="36" s="1"/>
  <c r="S142" i="36"/>
  <c r="S129" i="36"/>
  <c r="Y129" i="36" s="1"/>
  <c r="S162" i="36"/>
  <c r="Y162" i="36" s="1"/>
  <c r="S121" i="36"/>
  <c r="Y121" i="36" s="1"/>
  <c r="X103" i="36"/>
  <c r="X102" i="36"/>
  <c r="X99" i="36"/>
  <c r="X100" i="36"/>
  <c r="X101" i="36"/>
  <c r="S163" i="36"/>
  <c r="Y163" i="36" s="1"/>
  <c r="S168" i="36"/>
  <c r="Y168" i="36" s="1"/>
  <c r="S153" i="36"/>
  <c r="Y153" i="36" s="1"/>
  <c r="S131" i="36"/>
  <c r="Y131" i="36" s="1"/>
  <c r="S158" i="36"/>
  <c r="Y158" i="36" s="1"/>
  <c r="S120" i="36"/>
  <c r="Y120" i="36" s="1"/>
  <c r="S124" i="36"/>
  <c r="Y124" i="36" s="1"/>
  <c r="S154" i="36"/>
  <c r="Y154" i="36" s="1"/>
  <c r="S132" i="36"/>
  <c r="Y132" i="36" s="1"/>
  <c r="S150" i="36"/>
  <c r="Y150" i="36" s="1"/>
  <c r="S122" i="36"/>
  <c r="Y122" i="36" s="1"/>
  <c r="S134" i="36"/>
  <c r="Y134" i="36" s="1"/>
  <c r="S146" i="36"/>
  <c r="Y146" i="36" s="1"/>
  <c r="S126" i="36"/>
  <c r="Y126" i="36" s="1"/>
  <c r="S149" i="36"/>
  <c r="Y149" i="36" s="1"/>
  <c r="S159" i="36"/>
  <c r="Y159" i="36" s="1"/>
  <c r="S135" i="36"/>
  <c r="Y135" i="36" s="1"/>
  <c r="S145" i="36"/>
  <c r="Y145" i="36" s="1"/>
  <c r="S119" i="36"/>
  <c r="Y119" i="36" s="1"/>
  <c r="S140" i="36"/>
  <c r="Y140" i="36" s="1"/>
  <c r="S128" i="36"/>
  <c r="Y128" i="36" s="1"/>
  <c r="S127" i="36"/>
  <c r="Y127" i="36" s="1"/>
  <c r="S138" i="36"/>
  <c r="Y138" i="36" s="1"/>
  <c r="S155" i="36"/>
  <c r="Y155" i="36" s="1"/>
  <c r="S123" i="36"/>
  <c r="Y123" i="36" s="1"/>
  <c r="S137" i="36"/>
  <c r="Y137" i="36" s="1"/>
  <c r="S151" i="36"/>
  <c r="Y151" i="36" s="1"/>
  <c r="S148" i="36"/>
  <c r="Y148" i="36" s="1"/>
  <c r="S161" i="36"/>
  <c r="Y161" i="36" s="1"/>
  <c r="O71" i="47"/>
  <c r="DU135" i="4"/>
  <c r="M71" i="47"/>
  <c r="M103" i="47" s="1"/>
  <c r="DS135" i="4"/>
  <c r="J71" i="47"/>
  <c r="J103" i="47" s="1"/>
  <c r="DR135" i="4"/>
  <c r="S73" i="47"/>
  <c r="Y73" i="47" s="1"/>
  <c r="K69" i="47"/>
  <c r="N69" i="47" s="1"/>
  <c r="H71" i="47"/>
  <c r="H103" i="47" s="1"/>
  <c r="G69" i="47"/>
  <c r="C69" i="47" s="1"/>
  <c r="K71" i="47"/>
  <c r="K103" i="47" s="1"/>
  <c r="S75" i="47"/>
  <c r="Y75" i="47" s="1"/>
  <c r="G71" i="47"/>
  <c r="G103" i="47" s="1"/>
  <c r="S74" i="47"/>
  <c r="Y74" i="47" s="1"/>
  <c r="C74" i="47"/>
  <c r="H69" i="47"/>
  <c r="S72" i="47"/>
  <c r="Y72" i="47" s="1"/>
  <c r="S144" i="36"/>
  <c r="Y144" i="36" s="1"/>
  <c r="S160" i="36"/>
  <c r="Y160" i="36" s="1"/>
  <c r="S164" i="36"/>
  <c r="Y164" i="36" s="1"/>
  <c r="S125" i="36"/>
  <c r="Y125" i="36" s="1"/>
  <c r="S147" i="36"/>
  <c r="Y147" i="36" s="1"/>
  <c r="S165" i="36"/>
  <c r="Y165" i="36" s="1"/>
  <c r="S157" i="36"/>
  <c r="Y157" i="36" s="1"/>
  <c r="S136" i="36"/>
  <c r="Y136" i="36" s="1"/>
  <c r="S167" i="36"/>
  <c r="Y167" i="36" s="1"/>
  <c r="S152" i="36"/>
  <c r="Y152" i="36" s="1"/>
  <c r="S133" i="36"/>
  <c r="Y133" i="36" s="1"/>
  <c r="S139" i="36"/>
  <c r="Y139" i="36" s="1"/>
  <c r="EC114" i="4"/>
  <c r="R74" i="36"/>
  <c r="R73" i="36"/>
  <c r="R72" i="36"/>
  <c r="Y174" i="36"/>
  <c r="C73" i="36"/>
  <c r="C172" i="36" s="1"/>
  <c r="C74" i="36"/>
  <c r="C173" i="36" s="1"/>
  <c r="C72" i="36"/>
  <c r="C171" i="36" s="1"/>
  <c r="N73" i="36"/>
  <c r="N74" i="36"/>
  <c r="N75" i="36"/>
  <c r="S75" i="36" s="1"/>
  <c r="Y172" i="36"/>
  <c r="C75" i="36"/>
  <c r="C174" i="36" s="1"/>
  <c r="Y142" i="36"/>
  <c r="Y166" i="36"/>
  <c r="DX111" i="4"/>
  <c r="DX112" i="4"/>
  <c r="DX135" i="4" s="1"/>
  <c r="G103" i="36"/>
  <c r="K69" i="36"/>
  <c r="J71" i="36"/>
  <c r="J103" i="36" s="1"/>
  <c r="DI112" i="4"/>
  <c r="DI135" i="4" s="1"/>
  <c r="J69" i="36"/>
  <c r="O71" i="36"/>
  <c r="O103" i="36" s="1"/>
  <c r="I69" i="36"/>
  <c r="I71" i="36"/>
  <c r="I103" i="36" s="1"/>
  <c r="M69" i="36"/>
  <c r="H71" i="36"/>
  <c r="H103" i="36" s="1"/>
  <c r="M71" i="36"/>
  <c r="O69" i="36"/>
  <c r="R69" i="36" s="1"/>
  <c r="H69" i="36"/>
  <c r="K71" i="36"/>
  <c r="K103" i="36" s="1"/>
  <c r="Y171" i="36"/>
  <c r="Y170" i="36"/>
  <c r="Y173" i="36"/>
  <c r="EC113" i="4"/>
  <c r="DZ112" i="4"/>
  <c r="DZ135" i="4" s="1"/>
  <c r="DI111" i="4"/>
  <c r="EC111" i="4" s="1"/>
  <c r="DZ111" i="4"/>
  <c r="R71" i="47" l="1"/>
  <c r="R103" i="47" s="1"/>
  <c r="O103" i="47"/>
  <c r="N72" i="36"/>
  <c r="S72" i="36" s="1"/>
  <c r="M103" i="36"/>
  <c r="N71" i="47"/>
  <c r="N103" i="47" s="1"/>
  <c r="S69" i="47"/>
  <c r="Y69" i="47" s="1"/>
  <c r="C71" i="47"/>
  <c r="C103" i="47" s="1"/>
  <c r="S73" i="36"/>
  <c r="S74" i="36"/>
  <c r="N71" i="36"/>
  <c r="EC112" i="4"/>
  <c r="EC135" i="4" s="1"/>
  <c r="R71" i="36"/>
  <c r="R103" i="36" s="1"/>
  <c r="C69" i="36"/>
  <c r="C168" i="36" s="1"/>
  <c r="Y75" i="36"/>
  <c r="C71" i="36"/>
  <c r="C170" i="36" s="1"/>
  <c r="DG110" i="4"/>
  <c r="DK110" i="4"/>
  <c r="G68" i="36" s="1"/>
  <c r="DM110" i="4"/>
  <c r="DN110" i="4"/>
  <c r="DO110" i="4"/>
  <c r="DR110" i="4"/>
  <c r="J68" i="47" s="1"/>
  <c r="DS110" i="4"/>
  <c r="M68" i="47" s="1"/>
  <c r="DT110" i="4"/>
  <c r="DU110" i="4"/>
  <c r="O68" i="47" s="1"/>
  <c r="R68" i="47" s="1"/>
  <c r="EA110" i="4"/>
  <c r="N103" i="36" l="1"/>
  <c r="G68" i="47"/>
  <c r="C68" i="47" s="1"/>
  <c r="S71" i="47"/>
  <c r="H68" i="47"/>
  <c r="K68" i="47"/>
  <c r="N68" i="47" s="1"/>
  <c r="S71" i="36"/>
  <c r="S103" i="36" s="1"/>
  <c r="C103" i="36"/>
  <c r="Y73" i="36"/>
  <c r="Y72" i="36"/>
  <c r="Y74" i="36"/>
  <c r="DX110" i="4"/>
  <c r="I68" i="36"/>
  <c r="K68" i="36"/>
  <c r="N69" i="36" s="1"/>
  <c r="S69" i="36" s="1"/>
  <c r="O68" i="36"/>
  <c r="R68" i="36" s="1"/>
  <c r="H68" i="36"/>
  <c r="M68" i="36"/>
  <c r="J68" i="36"/>
  <c r="DI110" i="4"/>
  <c r="EC110" i="4" s="1"/>
  <c r="DZ110" i="4"/>
  <c r="DG109" i="4"/>
  <c r="DK109" i="4"/>
  <c r="G67" i="36" s="1"/>
  <c r="DM109" i="4"/>
  <c r="DN109" i="4"/>
  <c r="DO109" i="4"/>
  <c r="DR109" i="4"/>
  <c r="J67" i="47" s="1"/>
  <c r="DS109" i="4"/>
  <c r="M67" i="47" s="1"/>
  <c r="DT109" i="4"/>
  <c r="DU109" i="4"/>
  <c r="O67" i="47" s="1"/>
  <c r="R67" i="47" s="1"/>
  <c r="EA109" i="4"/>
  <c r="DG108" i="4"/>
  <c r="DK108" i="4"/>
  <c r="G66" i="36" s="1"/>
  <c r="DM108" i="4"/>
  <c r="DN108" i="4"/>
  <c r="DO108" i="4"/>
  <c r="DR108" i="4"/>
  <c r="J66" i="47" s="1"/>
  <c r="DS108" i="4"/>
  <c r="M66" i="47" s="1"/>
  <c r="DT108" i="4"/>
  <c r="DU108" i="4"/>
  <c r="O66" i="47" s="1"/>
  <c r="R66" i="47" s="1"/>
  <c r="EA108" i="4"/>
  <c r="DG107" i="4"/>
  <c r="DK107" i="4"/>
  <c r="G65" i="36" s="1"/>
  <c r="DM107" i="4"/>
  <c r="DN107" i="4"/>
  <c r="DO107" i="4"/>
  <c r="DR107" i="4"/>
  <c r="J65" i="47" s="1"/>
  <c r="DS107" i="4"/>
  <c r="M65" i="47" s="1"/>
  <c r="DT107" i="4"/>
  <c r="DU107" i="4"/>
  <c r="O65" i="47" s="1"/>
  <c r="R65" i="47" s="1"/>
  <c r="EA107" i="4"/>
  <c r="Y71" i="47" l="1"/>
  <c r="Y103" i="47" s="1"/>
  <c r="S103" i="47"/>
  <c r="S68" i="47"/>
  <c r="Y68" i="47" s="1"/>
  <c r="K67" i="47"/>
  <c r="N67" i="47" s="1"/>
  <c r="K65" i="47"/>
  <c r="N65" i="47" s="1"/>
  <c r="H66" i="47"/>
  <c r="H67" i="47"/>
  <c r="H65" i="47"/>
  <c r="K66" i="47"/>
  <c r="N66" i="47" s="1"/>
  <c r="G66" i="47"/>
  <c r="G67" i="47"/>
  <c r="C67" i="47" s="1"/>
  <c r="G65" i="47"/>
  <c r="Y69" i="36"/>
  <c r="H66" i="36"/>
  <c r="DX107" i="4"/>
  <c r="DX109" i="4"/>
  <c r="DX108" i="4"/>
  <c r="J66" i="36"/>
  <c r="K65" i="36"/>
  <c r="I67" i="36"/>
  <c r="M67" i="36"/>
  <c r="N68" i="36" s="1"/>
  <c r="S68" i="36" s="1"/>
  <c r="I66" i="36"/>
  <c r="J67" i="36"/>
  <c r="I65" i="36"/>
  <c r="K66" i="36"/>
  <c r="H65" i="36"/>
  <c r="C68" i="36"/>
  <c r="C167" i="36" s="1"/>
  <c r="M65" i="36"/>
  <c r="J65" i="36"/>
  <c r="O66" i="36"/>
  <c r="R66" i="36" s="1"/>
  <c r="K67" i="36"/>
  <c r="Y71" i="36"/>
  <c r="Y103" i="36" s="1"/>
  <c r="O65" i="36"/>
  <c r="R65" i="36" s="1"/>
  <c r="M66" i="36"/>
  <c r="O67" i="36"/>
  <c r="R67" i="36" s="1"/>
  <c r="H67" i="36"/>
  <c r="DI107" i="4"/>
  <c r="EC107" i="4" s="1"/>
  <c r="DZ109" i="4"/>
  <c r="DI109" i="4"/>
  <c r="EC109" i="4" s="1"/>
  <c r="DI108" i="4"/>
  <c r="EC108" i="4" s="1"/>
  <c r="DZ108" i="4"/>
  <c r="DZ107" i="4"/>
  <c r="DG106" i="4"/>
  <c r="DK106" i="4"/>
  <c r="G64" i="36" s="1"/>
  <c r="DM106" i="4"/>
  <c r="DN106" i="4"/>
  <c r="DO106" i="4"/>
  <c r="DR106" i="4"/>
  <c r="J64" i="47" s="1"/>
  <c r="DS106" i="4"/>
  <c r="M64" i="47" s="1"/>
  <c r="DT106" i="4"/>
  <c r="DU106" i="4"/>
  <c r="O64" i="47" s="1"/>
  <c r="R64" i="47" s="1"/>
  <c r="EA106" i="4"/>
  <c r="K64" i="47" l="1"/>
  <c r="N64" i="47" s="1"/>
  <c r="H64" i="47"/>
  <c r="S65" i="47"/>
  <c r="Y65" i="47" s="1"/>
  <c r="C65" i="47"/>
  <c r="C66" i="47"/>
  <c r="S66" i="47"/>
  <c r="Y66" i="47" s="1"/>
  <c r="G64" i="47"/>
  <c r="C64" i="47" s="1"/>
  <c r="S67" i="47"/>
  <c r="Y67" i="47" s="1"/>
  <c r="N66" i="36"/>
  <c r="S66" i="36" s="1"/>
  <c r="N67" i="36"/>
  <c r="S67" i="36" s="1"/>
  <c r="C65" i="36"/>
  <c r="C67" i="36"/>
  <c r="DX106" i="4"/>
  <c r="I64" i="36"/>
  <c r="M64" i="36"/>
  <c r="C66" i="36"/>
  <c r="J64" i="36"/>
  <c r="K64" i="36"/>
  <c r="O64" i="36"/>
  <c r="R64" i="36" s="1"/>
  <c r="H64" i="36"/>
  <c r="DI106" i="4"/>
  <c r="EC106" i="4" s="1"/>
  <c r="DZ106" i="4"/>
  <c r="N65" i="36" l="1"/>
  <c r="S65" i="36" s="1"/>
  <c r="S64" i="47"/>
  <c r="Y64" i="47" s="1"/>
  <c r="C166" i="36"/>
  <c r="C164" i="36"/>
  <c r="C165" i="36"/>
  <c r="Y68" i="36"/>
  <c r="C64" i="36"/>
  <c r="Y67" i="36" l="1"/>
  <c r="Y65" i="36"/>
  <c r="C163" i="36"/>
  <c r="Y66" i="36"/>
  <c r="DG105" i="4"/>
  <c r="DK105" i="4"/>
  <c r="G63" i="36" s="1"/>
  <c r="DM105" i="4"/>
  <c r="DN105" i="4"/>
  <c r="DO105" i="4"/>
  <c r="DR105" i="4"/>
  <c r="J63" i="47" s="1"/>
  <c r="DS105" i="4"/>
  <c r="M63" i="47" s="1"/>
  <c r="DT105" i="4"/>
  <c r="DU105" i="4"/>
  <c r="O63" i="47" s="1"/>
  <c r="R63" i="47" s="1"/>
  <c r="EA105" i="4"/>
  <c r="K63" i="47" l="1"/>
  <c r="N63" i="47" s="1"/>
  <c r="G63" i="47"/>
  <c r="C63" i="47" s="1"/>
  <c r="H63" i="47"/>
  <c r="DX105" i="4"/>
  <c r="M63" i="36"/>
  <c r="H63" i="36"/>
  <c r="J63" i="36"/>
  <c r="K63" i="36"/>
  <c r="O63" i="36"/>
  <c r="R63" i="36" s="1"/>
  <c r="I63" i="36"/>
  <c r="DI105" i="4"/>
  <c r="EC105" i="4" s="1"/>
  <c r="DZ105" i="4"/>
  <c r="N64" i="36" l="1"/>
  <c r="S64" i="36" s="1"/>
  <c r="Y64" i="36" s="1"/>
  <c r="S63" i="47"/>
  <c r="Y63" i="47" s="1"/>
  <c r="C63" i="36"/>
  <c r="C162" i="36" l="1"/>
  <c r="DG104" i="4" l="1"/>
  <c r="DK104" i="4"/>
  <c r="G62" i="36" s="1"/>
  <c r="DM104" i="4"/>
  <c r="DN104" i="4"/>
  <c r="DO104" i="4"/>
  <c r="DR104" i="4"/>
  <c r="J62" i="47" s="1"/>
  <c r="DS104" i="4"/>
  <c r="M62" i="47" s="1"/>
  <c r="DT104" i="4"/>
  <c r="DU104" i="4"/>
  <c r="O62" i="47" s="1"/>
  <c r="R62" i="47" s="1"/>
  <c r="EA104" i="4"/>
  <c r="K62" i="47" l="1"/>
  <c r="N62" i="47" s="1"/>
  <c r="H62" i="47"/>
  <c r="G62" i="47"/>
  <c r="DX104" i="4"/>
  <c r="I62" i="36"/>
  <c r="M62" i="36"/>
  <c r="K62" i="36"/>
  <c r="N63" i="36" s="1"/>
  <c r="S63" i="36" s="1"/>
  <c r="Y63" i="36" s="1"/>
  <c r="J62" i="36"/>
  <c r="O62" i="36"/>
  <c r="R62" i="36" s="1"/>
  <c r="H62" i="36"/>
  <c r="DI104" i="4"/>
  <c r="EC104" i="4" s="1"/>
  <c r="DZ104" i="4"/>
  <c r="C62" i="47" l="1"/>
  <c r="S62" i="47"/>
  <c r="Y62" i="47" s="1"/>
  <c r="C62" i="36"/>
  <c r="C161" i="36" l="1"/>
  <c r="DG103" i="4"/>
  <c r="DK103" i="4"/>
  <c r="G61" i="36" s="1"/>
  <c r="DM103" i="4"/>
  <c r="DN103" i="4"/>
  <c r="DO103" i="4"/>
  <c r="DR103" i="4"/>
  <c r="J61" i="47" s="1"/>
  <c r="DS103" i="4"/>
  <c r="M61" i="47" s="1"/>
  <c r="DT103" i="4"/>
  <c r="DU103" i="4"/>
  <c r="O61" i="47" s="1"/>
  <c r="R61" i="47" s="1"/>
  <c r="EA103" i="4"/>
  <c r="H61" i="47" l="1"/>
  <c r="G61" i="47"/>
  <c r="C61" i="47" s="1"/>
  <c r="K61" i="47"/>
  <c r="N61" i="47" s="1"/>
  <c r="DX103" i="4"/>
  <c r="O61" i="36"/>
  <c r="R61" i="36" s="1"/>
  <c r="K61" i="36"/>
  <c r="H61" i="36"/>
  <c r="M61" i="36"/>
  <c r="J61" i="36"/>
  <c r="I61" i="36"/>
  <c r="DI103" i="4"/>
  <c r="EC103" i="4" s="1"/>
  <c r="DZ103" i="4"/>
  <c r="N62" i="36" l="1"/>
  <c r="S62" i="36" s="1"/>
  <c r="Y62" i="36" s="1"/>
  <c r="S61" i="47"/>
  <c r="Y61" i="47" s="1"/>
  <c r="C61" i="36"/>
  <c r="C160" i="36" l="1"/>
  <c r="DG102" i="4"/>
  <c r="DK102" i="4"/>
  <c r="G60" i="36" s="1"/>
  <c r="DM102" i="4"/>
  <c r="DN102" i="4"/>
  <c r="DO102" i="4"/>
  <c r="DR102" i="4"/>
  <c r="J60" i="47" s="1"/>
  <c r="DS102" i="4"/>
  <c r="M60" i="47" s="1"/>
  <c r="DT102" i="4"/>
  <c r="DU102" i="4"/>
  <c r="O60" i="47" s="1"/>
  <c r="R60" i="47" s="1"/>
  <c r="EA102" i="4"/>
  <c r="H60" i="47" l="1"/>
  <c r="G60" i="47"/>
  <c r="K60" i="47"/>
  <c r="N60" i="47" s="1"/>
  <c r="DX102" i="4"/>
  <c r="J60" i="36"/>
  <c r="K60" i="36"/>
  <c r="N61" i="36" s="1"/>
  <c r="S61" i="36" s="1"/>
  <c r="Y61" i="36" s="1"/>
  <c r="H60" i="36"/>
  <c r="I60" i="36"/>
  <c r="O60" i="36"/>
  <c r="R60" i="36" s="1"/>
  <c r="M60" i="36"/>
  <c r="DZ102" i="4"/>
  <c r="DI102" i="4"/>
  <c r="EC102" i="4" s="1"/>
  <c r="C60" i="47" l="1"/>
  <c r="S60" i="47"/>
  <c r="Y60" i="47" s="1"/>
  <c r="C60" i="36"/>
  <c r="C159" i="36" l="1"/>
  <c r="DK101" i="4" l="1"/>
  <c r="G59" i="36" s="1"/>
  <c r="DM101" i="4"/>
  <c r="DN101" i="4"/>
  <c r="DO101" i="4"/>
  <c r="DR101" i="4"/>
  <c r="J59" i="47" s="1"/>
  <c r="DS101" i="4"/>
  <c r="M59" i="47" s="1"/>
  <c r="DT101" i="4"/>
  <c r="DU101" i="4"/>
  <c r="O59" i="47" s="1"/>
  <c r="R59" i="47" s="1"/>
  <c r="EA101" i="4"/>
  <c r="EA100" i="4"/>
  <c r="DP4" i="4"/>
  <c r="DP5" i="4"/>
  <c r="DP6" i="4"/>
  <c r="DP7" i="4"/>
  <c r="DP8" i="4"/>
  <c r="DP9" i="4"/>
  <c r="DP10" i="4"/>
  <c r="DP11" i="4"/>
  <c r="DP12" i="4"/>
  <c r="DP13" i="4"/>
  <c r="DP14" i="4"/>
  <c r="DP15" i="4"/>
  <c r="DP16" i="4"/>
  <c r="DP17" i="4"/>
  <c r="DP18" i="4"/>
  <c r="DP19" i="4"/>
  <c r="DP20" i="4"/>
  <c r="DP21" i="4"/>
  <c r="DP22" i="4"/>
  <c r="DP23" i="4"/>
  <c r="DP24" i="4"/>
  <c r="DP25" i="4"/>
  <c r="DP26" i="4"/>
  <c r="DP27" i="4"/>
  <c r="DP28" i="4"/>
  <c r="DP29" i="4"/>
  <c r="DP30" i="4"/>
  <c r="DP31" i="4"/>
  <c r="DP32" i="4"/>
  <c r="DP33" i="4"/>
  <c r="DP34" i="4"/>
  <c r="DP35" i="4"/>
  <c r="DP36" i="4"/>
  <c r="DP37" i="4"/>
  <c r="DP38" i="4"/>
  <c r="DP39" i="4"/>
  <c r="DP40" i="4"/>
  <c r="DP41" i="4"/>
  <c r="DP42" i="4"/>
  <c r="DP43" i="4"/>
  <c r="DP44" i="4"/>
  <c r="DP45" i="4"/>
  <c r="DP46" i="4"/>
  <c r="DP47" i="4"/>
  <c r="DP48" i="4"/>
  <c r="DP49" i="4"/>
  <c r="DP50" i="4"/>
  <c r="DP51" i="4"/>
  <c r="DP52" i="4"/>
  <c r="DP53" i="4"/>
  <c r="DP54" i="4"/>
  <c r="DP55" i="4"/>
  <c r="DP57" i="4"/>
  <c r="DP58" i="4"/>
  <c r="DP59" i="4"/>
  <c r="DP60" i="4"/>
  <c r="DP61" i="4"/>
  <c r="DP62" i="4"/>
  <c r="DP63" i="4"/>
  <c r="DP64" i="4"/>
  <c r="I19" i="36" s="1"/>
  <c r="DP65" i="4"/>
  <c r="I20" i="47" s="1"/>
  <c r="DP66" i="4"/>
  <c r="I21" i="47" s="1"/>
  <c r="DP67" i="4"/>
  <c r="I22" i="47" s="1"/>
  <c r="DP68" i="4"/>
  <c r="I23" i="47" s="1"/>
  <c r="DP69" i="4"/>
  <c r="I24" i="47" s="1"/>
  <c r="DP70" i="4"/>
  <c r="I25" i="47" s="1"/>
  <c r="DP71" i="4"/>
  <c r="I26" i="47" s="1"/>
  <c r="DP72" i="4"/>
  <c r="I27" i="47" s="1"/>
  <c r="DP73" i="4"/>
  <c r="I28" i="47" s="1"/>
  <c r="DP74" i="4"/>
  <c r="I29" i="47" s="1"/>
  <c r="DP75" i="4"/>
  <c r="DP76" i="4"/>
  <c r="DP77" i="4"/>
  <c r="I33" i="47" s="1"/>
  <c r="DP78" i="4"/>
  <c r="I34" i="47" s="1"/>
  <c r="DP79" i="4"/>
  <c r="I35" i="47" s="1"/>
  <c r="DP80" i="4"/>
  <c r="I36" i="47" s="1"/>
  <c r="DP81" i="4"/>
  <c r="I37" i="47" s="1"/>
  <c r="DP82" i="4"/>
  <c r="I38" i="47" s="1"/>
  <c r="DP83" i="4"/>
  <c r="I39" i="47" s="1"/>
  <c r="DP84" i="4"/>
  <c r="I40" i="47" s="1"/>
  <c r="DP85" i="4"/>
  <c r="I41" i="47" s="1"/>
  <c r="DP86" i="4"/>
  <c r="I42" i="47" s="1"/>
  <c r="DP87" i="4"/>
  <c r="I43" i="47" s="1"/>
  <c r="DP88" i="4"/>
  <c r="DP89" i="4"/>
  <c r="I46" i="47" s="1"/>
  <c r="DP90" i="4"/>
  <c r="I47" i="47" s="1"/>
  <c r="DP91" i="4"/>
  <c r="I48" i="47" s="1"/>
  <c r="DP92" i="4"/>
  <c r="I49" i="47" s="1"/>
  <c r="DP93" i="4"/>
  <c r="I50" i="47" s="1"/>
  <c r="DP94" i="4"/>
  <c r="I51" i="47" s="1"/>
  <c r="DP95" i="4"/>
  <c r="I52" i="47" s="1"/>
  <c r="DP96" i="4"/>
  <c r="I53" i="47" s="1"/>
  <c r="DP97" i="4"/>
  <c r="I54" i="47" s="1"/>
  <c r="DP98" i="4"/>
  <c r="I55" i="47" s="1"/>
  <c r="DP99" i="4"/>
  <c r="I56" i="47" s="1"/>
  <c r="DP100" i="4"/>
  <c r="P19" i="36"/>
  <c r="P20" i="47"/>
  <c r="P21" i="47"/>
  <c r="P22" i="47"/>
  <c r="P23" i="47"/>
  <c r="P24" i="47"/>
  <c r="P25" i="47"/>
  <c r="P26" i="47"/>
  <c r="P27" i="47"/>
  <c r="P28" i="47"/>
  <c r="P29" i="47"/>
  <c r="P33" i="47"/>
  <c r="P34" i="47"/>
  <c r="P35" i="47"/>
  <c r="P36" i="47"/>
  <c r="P37" i="47"/>
  <c r="P38" i="47"/>
  <c r="P39" i="47"/>
  <c r="P40" i="47"/>
  <c r="P41" i="47"/>
  <c r="P42" i="47"/>
  <c r="P43" i="47"/>
  <c r="P46" i="47"/>
  <c r="P47" i="47"/>
  <c r="P48" i="47"/>
  <c r="P49" i="47"/>
  <c r="P50" i="47"/>
  <c r="P51" i="47"/>
  <c r="P52" i="47"/>
  <c r="P53" i="47"/>
  <c r="P54" i="47"/>
  <c r="P55" i="47"/>
  <c r="P56" i="47"/>
  <c r="EA4" i="4"/>
  <c r="EA5" i="4"/>
  <c r="EA6" i="4"/>
  <c r="EA7" i="4"/>
  <c r="EA8" i="4"/>
  <c r="EA9" i="4"/>
  <c r="EA10" i="4"/>
  <c r="EA11" i="4"/>
  <c r="EA12" i="4"/>
  <c r="EA13" i="4"/>
  <c r="EA14" i="4"/>
  <c r="EA15" i="4"/>
  <c r="EA16" i="4"/>
  <c r="EA17" i="4"/>
  <c r="EA18" i="4"/>
  <c r="EA19" i="4"/>
  <c r="EA20" i="4"/>
  <c r="EA21" i="4"/>
  <c r="EA22" i="4"/>
  <c r="EA23" i="4"/>
  <c r="EA24" i="4"/>
  <c r="EA25" i="4"/>
  <c r="EA26" i="4"/>
  <c r="EA27" i="4"/>
  <c r="EA28" i="4"/>
  <c r="EA29" i="4"/>
  <c r="EA30" i="4"/>
  <c r="EA31" i="4"/>
  <c r="EA32" i="4"/>
  <c r="EA33" i="4"/>
  <c r="EA34" i="4"/>
  <c r="EA35" i="4"/>
  <c r="EA36" i="4"/>
  <c r="EA37" i="4"/>
  <c r="EA38" i="4"/>
  <c r="EA39" i="4"/>
  <c r="EA40" i="4"/>
  <c r="EA41" i="4"/>
  <c r="EA42" i="4"/>
  <c r="EA43" i="4"/>
  <c r="EA44" i="4"/>
  <c r="EA45" i="4"/>
  <c r="EA46" i="4"/>
  <c r="EA47" i="4"/>
  <c r="EA48" i="4"/>
  <c r="EA49" i="4"/>
  <c r="EA50" i="4"/>
  <c r="EA51" i="4"/>
  <c r="EA52" i="4"/>
  <c r="EA53" i="4"/>
  <c r="EA54" i="4"/>
  <c r="EA55" i="4"/>
  <c r="EA57" i="4"/>
  <c r="EA58" i="4"/>
  <c r="EA59" i="4"/>
  <c r="EA60" i="4"/>
  <c r="EA61" i="4"/>
  <c r="EA62" i="4"/>
  <c r="EA63" i="4"/>
  <c r="EA64" i="4"/>
  <c r="EA65" i="4"/>
  <c r="EA66" i="4"/>
  <c r="EA67" i="4"/>
  <c r="EA68" i="4"/>
  <c r="EA69" i="4"/>
  <c r="EA70" i="4"/>
  <c r="EA71" i="4"/>
  <c r="EA72" i="4"/>
  <c r="EA73" i="4"/>
  <c r="EA74" i="4"/>
  <c r="EA75" i="4"/>
  <c r="EA76" i="4"/>
  <c r="EA77" i="4"/>
  <c r="EA78" i="4"/>
  <c r="EA79" i="4"/>
  <c r="EA80" i="4"/>
  <c r="EA81" i="4"/>
  <c r="EA82" i="4"/>
  <c r="EA83" i="4"/>
  <c r="EA84" i="4"/>
  <c r="EA85" i="4"/>
  <c r="EA86" i="4"/>
  <c r="EA87" i="4"/>
  <c r="EA88" i="4"/>
  <c r="EA89" i="4"/>
  <c r="EA90" i="4"/>
  <c r="EA91" i="4"/>
  <c r="EA92" i="4"/>
  <c r="EA93" i="4"/>
  <c r="EA94" i="4"/>
  <c r="EA95" i="4"/>
  <c r="EA96" i="4"/>
  <c r="EA97" i="4"/>
  <c r="EA98" i="4"/>
  <c r="EA99" i="4"/>
  <c r="I12" i="36" l="1"/>
  <c r="I12" i="47"/>
  <c r="I9" i="47"/>
  <c r="I9" i="36"/>
  <c r="I17" i="36"/>
  <c r="I17" i="47"/>
  <c r="I8" i="47"/>
  <c r="I8" i="36"/>
  <c r="I11" i="36"/>
  <c r="I11" i="47"/>
  <c r="I16" i="47"/>
  <c r="I16" i="36"/>
  <c r="I7" i="36"/>
  <c r="I7" i="47"/>
  <c r="I15" i="47"/>
  <c r="I15" i="36"/>
  <c r="I6" i="47"/>
  <c r="I6" i="36"/>
  <c r="I14" i="47"/>
  <c r="I14" i="36"/>
  <c r="I13" i="36"/>
  <c r="I13" i="47"/>
  <c r="P98" i="36"/>
  <c r="EA134" i="4"/>
  <c r="DP129" i="4"/>
  <c r="DP127" i="4"/>
  <c r="EA130" i="4"/>
  <c r="EA126" i="4"/>
  <c r="I45" i="47"/>
  <c r="I101" i="47" s="1"/>
  <c r="DP133" i="4"/>
  <c r="I19" i="47"/>
  <c r="DP131" i="4"/>
  <c r="EA128" i="4"/>
  <c r="EA132" i="4"/>
  <c r="P58" i="47"/>
  <c r="P102" i="47" s="1"/>
  <c r="DV134" i="4"/>
  <c r="P32" i="47"/>
  <c r="P100" i="47" s="1"/>
  <c r="DV132" i="4"/>
  <c r="DV130" i="4"/>
  <c r="DP130" i="4"/>
  <c r="DP128" i="4"/>
  <c r="DP126" i="4"/>
  <c r="EA129" i="4"/>
  <c r="EA127" i="4"/>
  <c r="I58" i="47"/>
  <c r="I102" i="47" s="1"/>
  <c r="DP134" i="4"/>
  <c r="I32" i="47"/>
  <c r="I100" i="47" s="1"/>
  <c r="DP132" i="4"/>
  <c r="EA133" i="4"/>
  <c r="EA131" i="4"/>
  <c r="P45" i="47"/>
  <c r="P101" i="47" s="1"/>
  <c r="DV133" i="4"/>
  <c r="P19" i="47"/>
  <c r="P99" i="47" s="1"/>
  <c r="DV131" i="4"/>
  <c r="G59" i="47"/>
  <c r="C59" i="47" s="1"/>
  <c r="P30" i="36"/>
  <c r="P30" i="47"/>
  <c r="K59" i="47"/>
  <c r="N59" i="47" s="1"/>
  <c r="H59" i="47"/>
  <c r="I30" i="36"/>
  <c r="I30" i="47"/>
  <c r="P50" i="36"/>
  <c r="P41" i="36"/>
  <c r="P33" i="36"/>
  <c r="P24" i="36"/>
  <c r="I36" i="36"/>
  <c r="I27" i="36"/>
  <c r="I35" i="36"/>
  <c r="P48" i="36"/>
  <c r="P39" i="36"/>
  <c r="P22" i="36"/>
  <c r="I34" i="36"/>
  <c r="I25" i="36"/>
  <c r="P47" i="36"/>
  <c r="P38" i="36"/>
  <c r="P29" i="36"/>
  <c r="P21" i="36"/>
  <c r="I33" i="36"/>
  <c r="I24" i="36"/>
  <c r="P54" i="36"/>
  <c r="P46" i="36"/>
  <c r="P37" i="36"/>
  <c r="P28" i="36"/>
  <c r="P20" i="36"/>
  <c r="I23" i="36"/>
  <c r="P53" i="36"/>
  <c r="P36" i="36"/>
  <c r="P27" i="36"/>
  <c r="I22" i="36"/>
  <c r="P40" i="36"/>
  <c r="P23" i="36"/>
  <c r="P52" i="36"/>
  <c r="P43" i="36"/>
  <c r="P35" i="36"/>
  <c r="P26" i="36"/>
  <c r="I29" i="36"/>
  <c r="I21" i="36"/>
  <c r="P49" i="36"/>
  <c r="I26" i="36"/>
  <c r="P51" i="36"/>
  <c r="P42" i="36"/>
  <c r="P34" i="36"/>
  <c r="P25" i="36"/>
  <c r="I37" i="36"/>
  <c r="I28" i="36"/>
  <c r="I20" i="36"/>
  <c r="P32" i="36"/>
  <c r="I58" i="36"/>
  <c r="I32" i="36"/>
  <c r="P45" i="36"/>
  <c r="P55" i="36"/>
  <c r="P56" i="36"/>
  <c r="P58" i="36"/>
  <c r="P102" i="36" s="1"/>
  <c r="DX101" i="4"/>
  <c r="H59" i="36"/>
  <c r="I51" i="36"/>
  <c r="I42" i="36"/>
  <c r="I52" i="36"/>
  <c r="I50" i="36"/>
  <c r="I41" i="36"/>
  <c r="M59" i="36"/>
  <c r="I46" i="36"/>
  <c r="I43" i="36"/>
  <c r="O59" i="36"/>
  <c r="R59" i="36" s="1"/>
  <c r="I49" i="36"/>
  <c r="I40" i="36"/>
  <c r="J59" i="36"/>
  <c r="I54" i="36"/>
  <c r="K59" i="36"/>
  <c r="N60" i="36" s="1"/>
  <c r="S60" i="36" s="1"/>
  <c r="Y60" i="36" s="1"/>
  <c r="I45" i="36"/>
  <c r="I56" i="36"/>
  <c r="I48" i="36"/>
  <c r="I39" i="36"/>
  <c r="I53" i="36"/>
  <c r="I55" i="36"/>
  <c r="I47" i="36"/>
  <c r="I38" i="36"/>
  <c r="I59" i="36"/>
  <c r="DZ101" i="4"/>
  <c r="DG4" i="4"/>
  <c r="DG5" i="4"/>
  <c r="DG6" i="4"/>
  <c r="DG7" i="4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130" i="4" s="1"/>
  <c r="DG64" i="4"/>
  <c r="DG65" i="4"/>
  <c r="DG66" i="4"/>
  <c r="DG67" i="4"/>
  <c r="DG68" i="4"/>
  <c r="DG69" i="4"/>
  <c r="DG70" i="4"/>
  <c r="DG71" i="4"/>
  <c r="DG72" i="4"/>
  <c r="DG73" i="4"/>
  <c r="DG74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I99" i="47" l="1"/>
  <c r="I98" i="47"/>
  <c r="I98" i="36"/>
  <c r="I102" i="36"/>
  <c r="P101" i="36"/>
  <c r="I100" i="36"/>
  <c r="I101" i="36"/>
  <c r="I99" i="36"/>
  <c r="P99" i="36"/>
  <c r="P100" i="36"/>
  <c r="DG129" i="4"/>
  <c r="DG127" i="4"/>
  <c r="DH129" i="4"/>
  <c r="DH127" i="4"/>
  <c r="DH133" i="4"/>
  <c r="DH131" i="4"/>
  <c r="DG128" i="4"/>
  <c r="DG126" i="4"/>
  <c r="DH130" i="4"/>
  <c r="DH128" i="4"/>
  <c r="DH126" i="4"/>
  <c r="DH134" i="4"/>
  <c r="DH132" i="4"/>
  <c r="S59" i="47"/>
  <c r="Y59" i="47" s="1"/>
  <c r="DG134" i="4"/>
  <c r="DG133" i="4"/>
  <c r="DG132" i="4"/>
  <c r="C59" i="36"/>
  <c r="DI101" i="4"/>
  <c r="EC101" i="4" s="1"/>
  <c r="C158" i="36" l="1"/>
  <c r="DI100" i="4"/>
  <c r="DI134" i="4" s="1"/>
  <c r="DK100" i="4"/>
  <c r="DL134" i="4"/>
  <c r="DM100" i="4"/>
  <c r="DM134" i="4" s="1"/>
  <c r="DN100" i="4"/>
  <c r="DN134" i="4" s="1"/>
  <c r="DO100" i="4"/>
  <c r="DO134" i="4" s="1"/>
  <c r="DR100" i="4"/>
  <c r="DS100" i="4"/>
  <c r="DT100" i="4"/>
  <c r="DT134" i="4" s="1"/>
  <c r="DU100" i="4"/>
  <c r="DK134" i="4" l="1"/>
  <c r="G58" i="36"/>
  <c r="O58" i="47"/>
  <c r="DU134" i="4"/>
  <c r="M58" i="47"/>
  <c r="M102" i="47" s="1"/>
  <c r="DS134" i="4"/>
  <c r="J58" i="47"/>
  <c r="J102" i="47" s="1"/>
  <c r="DR134" i="4"/>
  <c r="K58" i="47"/>
  <c r="K102" i="47" s="1"/>
  <c r="G58" i="47"/>
  <c r="G102" i="47" s="1"/>
  <c r="H58" i="47"/>
  <c r="H102" i="47" s="1"/>
  <c r="H58" i="36"/>
  <c r="H102" i="36" s="1"/>
  <c r="G102" i="36"/>
  <c r="O58" i="36"/>
  <c r="M58" i="36"/>
  <c r="M102" i="36" s="1"/>
  <c r="J58" i="36"/>
  <c r="J102" i="36" s="1"/>
  <c r="K58" i="36"/>
  <c r="K102" i="36" s="1"/>
  <c r="DZ100" i="4"/>
  <c r="DZ134" i="4" s="1"/>
  <c r="DX100" i="4"/>
  <c r="DX134" i="4" s="1"/>
  <c r="EC100" i="4"/>
  <c r="EC134" i="4" s="1"/>
  <c r="R58" i="47" l="1"/>
  <c r="R102" i="47" s="1"/>
  <c r="O102" i="47"/>
  <c r="R58" i="36"/>
  <c r="R102" i="36" s="1"/>
  <c r="O102" i="36"/>
  <c r="N59" i="36"/>
  <c r="S59" i="36" s="1"/>
  <c r="Y59" i="36" s="1"/>
  <c r="N58" i="47"/>
  <c r="N102" i="47" s="1"/>
  <c r="C58" i="47"/>
  <c r="C102" i="47" s="1"/>
  <c r="N58" i="36"/>
  <c r="C58" i="36"/>
  <c r="S58" i="47" l="1"/>
  <c r="S102" i="47" s="1"/>
  <c r="N102" i="36"/>
  <c r="S58" i="36"/>
  <c r="S102" i="36" s="1"/>
  <c r="C102" i="36"/>
  <c r="C157" i="36"/>
  <c r="DI99" i="4"/>
  <c r="DK99" i="4"/>
  <c r="G56" i="36" s="1"/>
  <c r="DM99" i="4"/>
  <c r="DN99" i="4"/>
  <c r="DO99" i="4"/>
  <c r="DR99" i="4"/>
  <c r="J56" i="47" s="1"/>
  <c r="DS99" i="4"/>
  <c r="M56" i="47" s="1"/>
  <c r="DT99" i="4"/>
  <c r="DU99" i="4"/>
  <c r="O56" i="47" s="1"/>
  <c r="R56" i="47" s="1"/>
  <c r="Y58" i="47" l="1"/>
  <c r="Y102" i="47" s="1"/>
  <c r="K56" i="47"/>
  <c r="N56" i="47" s="1"/>
  <c r="H56" i="47"/>
  <c r="G56" i="47"/>
  <c r="C56" i="47" s="1"/>
  <c r="Y58" i="36"/>
  <c r="Y102" i="36" s="1"/>
  <c r="J56" i="36"/>
  <c r="M56" i="36"/>
  <c r="O56" i="36"/>
  <c r="R56" i="36" s="1"/>
  <c r="K56" i="36"/>
  <c r="H56" i="36"/>
  <c r="DX99" i="4"/>
  <c r="EC99" i="4"/>
  <c r="DZ99" i="4"/>
  <c r="S56" i="47" l="1"/>
  <c r="Y56" i="47" s="1"/>
  <c r="C56" i="36"/>
  <c r="C155" i="36" l="1"/>
  <c r="DI98" i="4"/>
  <c r="EC98" i="4" s="1"/>
  <c r="DK98" i="4"/>
  <c r="G55" i="36" s="1"/>
  <c r="DM98" i="4"/>
  <c r="DN98" i="4"/>
  <c r="DO98" i="4"/>
  <c r="DR98" i="4"/>
  <c r="J55" i="47" s="1"/>
  <c r="DS98" i="4"/>
  <c r="M55" i="47" s="1"/>
  <c r="DT98" i="4"/>
  <c r="DU98" i="4"/>
  <c r="O55" i="47" s="1"/>
  <c r="R55" i="47" s="1"/>
  <c r="K55" i="47" l="1"/>
  <c r="N55" i="47" s="1"/>
  <c r="H55" i="47"/>
  <c r="G55" i="47"/>
  <c r="J55" i="36"/>
  <c r="M55" i="36"/>
  <c r="O55" i="36"/>
  <c r="R55" i="36" s="1"/>
  <c r="K55" i="36"/>
  <c r="N56" i="36" s="1"/>
  <c r="S56" i="36" s="1"/>
  <c r="Y56" i="36" s="1"/>
  <c r="H55" i="36"/>
  <c r="DZ98" i="4"/>
  <c r="DX98" i="4"/>
  <c r="S55" i="47" l="1"/>
  <c r="Y55" i="47" s="1"/>
  <c r="C55" i="47"/>
  <c r="C55" i="36"/>
  <c r="C154" i="36" l="1"/>
  <c r="DI97" i="4"/>
  <c r="EC97" i="4" s="1"/>
  <c r="DK97" i="4"/>
  <c r="G54" i="36" s="1"/>
  <c r="DM97" i="4"/>
  <c r="DN97" i="4"/>
  <c r="DO97" i="4"/>
  <c r="DR97" i="4"/>
  <c r="J54" i="47" s="1"/>
  <c r="DS97" i="4"/>
  <c r="M54" i="47" s="1"/>
  <c r="DT97" i="4"/>
  <c r="DU97" i="4"/>
  <c r="O54" i="47" s="1"/>
  <c r="R54" i="47" s="1"/>
  <c r="K54" i="47" l="1"/>
  <c r="N54" i="47" s="1"/>
  <c r="H54" i="47"/>
  <c r="G54" i="47"/>
  <c r="H54" i="36"/>
  <c r="O54" i="36"/>
  <c r="R54" i="36" s="1"/>
  <c r="M54" i="36"/>
  <c r="J54" i="36"/>
  <c r="K54" i="36"/>
  <c r="DX97" i="4"/>
  <c r="DZ97" i="4"/>
  <c r="N55" i="36" l="1"/>
  <c r="S55" i="36" s="1"/>
  <c r="Y55" i="36" s="1"/>
  <c r="C54" i="47"/>
  <c r="S54" i="47"/>
  <c r="Y54" i="47" s="1"/>
  <c r="C54" i="36"/>
  <c r="C153" i="36" l="1"/>
  <c r="DI96" i="4"/>
  <c r="EC96" i="4" s="1"/>
  <c r="DK96" i="4"/>
  <c r="G53" i="36" s="1"/>
  <c r="DM96" i="4"/>
  <c r="DN96" i="4"/>
  <c r="DO96" i="4"/>
  <c r="K53" i="47" s="1"/>
  <c r="DR96" i="4"/>
  <c r="J53" i="47" s="1"/>
  <c r="DS96" i="4"/>
  <c r="M53" i="47" s="1"/>
  <c r="DT96" i="4"/>
  <c r="DU96" i="4"/>
  <c r="O53" i="47" s="1"/>
  <c r="R53" i="47" s="1"/>
  <c r="H53" i="47" l="1"/>
  <c r="G53" i="47"/>
  <c r="C53" i="47" s="1"/>
  <c r="N53" i="47"/>
  <c r="H53" i="36"/>
  <c r="O53" i="36"/>
  <c r="R53" i="36" s="1"/>
  <c r="M53" i="36"/>
  <c r="J53" i="36"/>
  <c r="K53" i="36"/>
  <c r="DZ96" i="4"/>
  <c r="DX96" i="4"/>
  <c r="N54" i="36" l="1"/>
  <c r="S54" i="36" s="1"/>
  <c r="Y54" i="36" s="1"/>
  <c r="S53" i="47"/>
  <c r="Y53" i="47" s="1"/>
  <c r="C53" i="36"/>
  <c r="C152" i="36" l="1"/>
  <c r="DI95" i="4"/>
  <c r="EC95" i="4" s="1"/>
  <c r="DK95" i="4"/>
  <c r="G52" i="36" s="1"/>
  <c r="DM95" i="4"/>
  <c r="DN95" i="4"/>
  <c r="DO95" i="4"/>
  <c r="K52" i="47" s="1"/>
  <c r="DR95" i="4"/>
  <c r="J52" i="47" s="1"/>
  <c r="DS95" i="4"/>
  <c r="M52" i="47" s="1"/>
  <c r="DT95" i="4"/>
  <c r="DU95" i="4"/>
  <c r="O52" i="47" s="1"/>
  <c r="R52" i="47" s="1"/>
  <c r="H52" i="47" l="1"/>
  <c r="G52" i="47"/>
  <c r="C52" i="47" s="1"/>
  <c r="N52" i="47"/>
  <c r="O52" i="36"/>
  <c r="R52" i="36" s="1"/>
  <c r="H52" i="36"/>
  <c r="M52" i="36"/>
  <c r="J52" i="36"/>
  <c r="K52" i="36"/>
  <c r="DZ95" i="4"/>
  <c r="DX95" i="4"/>
  <c r="N53" i="36" l="1"/>
  <c r="S53" i="36" s="1"/>
  <c r="Y53" i="36" s="1"/>
  <c r="S52" i="47"/>
  <c r="Y52" i="47" s="1"/>
  <c r="C52" i="36"/>
  <c r="DI94" i="4"/>
  <c r="EC94" i="4" s="1"/>
  <c r="DK94" i="4"/>
  <c r="G51" i="36" s="1"/>
  <c r="DM94" i="4"/>
  <c r="DN94" i="4"/>
  <c r="DO94" i="4"/>
  <c r="DR94" i="4"/>
  <c r="J51" i="47" s="1"/>
  <c r="DS94" i="4"/>
  <c r="M51" i="47" s="1"/>
  <c r="DT94" i="4"/>
  <c r="DU94" i="4"/>
  <c r="O51" i="47" s="1"/>
  <c r="R51" i="47" s="1"/>
  <c r="H51" i="47" l="1"/>
  <c r="G51" i="47"/>
  <c r="C51" i="47" s="1"/>
  <c r="K51" i="47"/>
  <c r="N51" i="47" s="1"/>
  <c r="C151" i="36"/>
  <c r="J51" i="36"/>
  <c r="M51" i="36"/>
  <c r="K51" i="36"/>
  <c r="N52" i="36" s="1"/>
  <c r="S52" i="36" s="1"/>
  <c r="H51" i="36"/>
  <c r="O51" i="36"/>
  <c r="R51" i="36" s="1"/>
  <c r="DZ94" i="4"/>
  <c r="DX94" i="4"/>
  <c r="S51" i="47" l="1"/>
  <c r="Y51" i="47" s="1"/>
  <c r="C51" i="36"/>
  <c r="Y52" i="36"/>
  <c r="C150" i="36" l="1"/>
  <c r="DI93" i="4"/>
  <c r="DK93" i="4"/>
  <c r="G50" i="36" s="1"/>
  <c r="DM93" i="4"/>
  <c r="DN93" i="4"/>
  <c r="DO93" i="4"/>
  <c r="K50" i="47" s="1"/>
  <c r="DR93" i="4"/>
  <c r="J50" i="47" s="1"/>
  <c r="DS93" i="4"/>
  <c r="M50" i="47" s="1"/>
  <c r="DT93" i="4"/>
  <c r="DU93" i="4"/>
  <c r="O50" i="47" s="1"/>
  <c r="R50" i="47" s="1"/>
  <c r="H50" i="47" l="1"/>
  <c r="G50" i="47"/>
  <c r="N50" i="47"/>
  <c r="O50" i="36"/>
  <c r="R50" i="36" s="1"/>
  <c r="M50" i="36"/>
  <c r="H50" i="36"/>
  <c r="J50" i="36"/>
  <c r="K50" i="36"/>
  <c r="DZ93" i="4"/>
  <c r="EC93" i="4"/>
  <c r="DX93" i="4"/>
  <c r="N51" i="36" l="1"/>
  <c r="S51" i="36" s="1"/>
  <c r="Y51" i="36" s="1"/>
  <c r="C50" i="47"/>
  <c r="S50" i="47"/>
  <c r="Y50" i="47" s="1"/>
  <c r="C50" i="36"/>
  <c r="C149" i="36" l="1"/>
  <c r="DK92" i="4" l="1"/>
  <c r="G49" i="36" s="1"/>
  <c r="DM92" i="4"/>
  <c r="DN92" i="4"/>
  <c r="DO92" i="4"/>
  <c r="DR92" i="4"/>
  <c r="J49" i="47" s="1"/>
  <c r="DS92" i="4"/>
  <c r="M49" i="47" s="1"/>
  <c r="DT92" i="4"/>
  <c r="DU92" i="4"/>
  <c r="O49" i="47" s="1"/>
  <c r="R49" i="47" s="1"/>
  <c r="K49" i="47" l="1"/>
  <c r="N49" i="47" s="1"/>
  <c r="H49" i="47"/>
  <c r="G49" i="47"/>
  <c r="C49" i="47" s="1"/>
  <c r="H49" i="36"/>
  <c r="M49" i="36"/>
  <c r="J49" i="36"/>
  <c r="O49" i="36"/>
  <c r="R49" i="36" s="1"/>
  <c r="K49" i="36"/>
  <c r="DZ92" i="4"/>
  <c r="DX92" i="4"/>
  <c r="DI92" i="4"/>
  <c r="EC92" i="4" s="1"/>
  <c r="N50" i="36" l="1"/>
  <c r="S50" i="36" s="1"/>
  <c r="Y50" i="36" s="1"/>
  <c r="S49" i="47"/>
  <c r="Y49" i="47" s="1"/>
  <c r="C49" i="36"/>
  <c r="C148" i="36" l="1"/>
  <c r="DK91" i="4"/>
  <c r="G48" i="36" s="1"/>
  <c r="DM91" i="4"/>
  <c r="DN91" i="4"/>
  <c r="DO91" i="4"/>
  <c r="DR91" i="4"/>
  <c r="J48" i="47" s="1"/>
  <c r="DS91" i="4"/>
  <c r="M48" i="47" s="1"/>
  <c r="DT91" i="4"/>
  <c r="DU91" i="4"/>
  <c r="O48" i="47" s="1"/>
  <c r="R48" i="47" s="1"/>
  <c r="K48" i="47" l="1"/>
  <c r="N48" i="47" s="1"/>
  <c r="H48" i="47"/>
  <c r="G48" i="47"/>
  <c r="C48" i="47" s="1"/>
  <c r="O48" i="36"/>
  <c r="R48" i="36" s="1"/>
  <c r="K48" i="36"/>
  <c r="H48" i="36"/>
  <c r="M48" i="36"/>
  <c r="J48" i="36"/>
  <c r="DI91" i="4"/>
  <c r="EC91" i="4" s="1"/>
  <c r="DZ91" i="4"/>
  <c r="DX91" i="4"/>
  <c r="N49" i="36" l="1"/>
  <c r="S49" i="36" s="1"/>
  <c r="Y49" i="36" s="1"/>
  <c r="S48" i="47"/>
  <c r="Y48" i="47" s="1"/>
  <c r="C48" i="36"/>
  <c r="C147" i="36" l="1"/>
  <c r="DK90" i="4"/>
  <c r="G47" i="36" s="1"/>
  <c r="DM90" i="4"/>
  <c r="DN90" i="4"/>
  <c r="DO90" i="4"/>
  <c r="DR90" i="4"/>
  <c r="J47" i="47" s="1"/>
  <c r="DS90" i="4"/>
  <c r="M47" i="47" s="1"/>
  <c r="DT90" i="4"/>
  <c r="DU90" i="4"/>
  <c r="O47" i="47" s="1"/>
  <c r="R47" i="47" s="1"/>
  <c r="K47" i="47" l="1"/>
  <c r="N47" i="47" s="1"/>
  <c r="H47" i="47"/>
  <c r="G47" i="47"/>
  <c r="K47" i="36"/>
  <c r="O47" i="36"/>
  <c r="R47" i="36" s="1"/>
  <c r="M47" i="36"/>
  <c r="H47" i="36"/>
  <c r="J47" i="36"/>
  <c r="DI90" i="4"/>
  <c r="EC90" i="4" s="1"/>
  <c r="DZ90" i="4"/>
  <c r="DX90" i="4"/>
  <c r="N48" i="36" l="1"/>
  <c r="S48" i="36" s="1"/>
  <c r="Y48" i="36" s="1"/>
  <c r="C47" i="47"/>
  <c r="S47" i="47"/>
  <c r="Y47" i="47" s="1"/>
  <c r="C47" i="36"/>
  <c r="C146" i="36" l="1"/>
  <c r="DK89" i="4" l="1"/>
  <c r="G46" i="36" s="1"/>
  <c r="DM89" i="4"/>
  <c r="DN89" i="4"/>
  <c r="DO89" i="4"/>
  <c r="DR89" i="4"/>
  <c r="J46" i="47" s="1"/>
  <c r="DS89" i="4"/>
  <c r="M46" i="47" s="1"/>
  <c r="DT89" i="4"/>
  <c r="DU89" i="4"/>
  <c r="O46" i="47" s="1"/>
  <c r="R46" i="47" s="1"/>
  <c r="K46" i="47" l="1"/>
  <c r="N46" i="47" s="1"/>
  <c r="H46" i="47"/>
  <c r="G46" i="47"/>
  <c r="C46" i="47" s="1"/>
  <c r="M46" i="36"/>
  <c r="J46" i="36"/>
  <c r="K46" i="36"/>
  <c r="N47" i="36" s="1"/>
  <c r="S47" i="36" s="1"/>
  <c r="Y47" i="36" s="1"/>
  <c r="O46" i="36"/>
  <c r="R46" i="36" s="1"/>
  <c r="H46" i="36"/>
  <c r="DI89" i="4"/>
  <c r="EC89" i="4" s="1"/>
  <c r="DZ89" i="4"/>
  <c r="DX89" i="4"/>
  <c r="S46" i="47" l="1"/>
  <c r="Y46" i="47" s="1"/>
  <c r="C46" i="36"/>
  <c r="C145" i="36" l="1"/>
  <c r="DK88" i="4"/>
  <c r="DL133" i="4"/>
  <c r="DM88" i="4"/>
  <c r="DM133" i="4" s="1"/>
  <c r="DN88" i="4"/>
  <c r="DN133" i="4" s="1"/>
  <c r="DO88" i="4"/>
  <c r="DR88" i="4"/>
  <c r="DS88" i="4"/>
  <c r="DT88" i="4"/>
  <c r="DT133" i="4" s="1"/>
  <c r="DU88" i="4"/>
  <c r="DK133" i="4" l="1"/>
  <c r="G45" i="36"/>
  <c r="J45" i="47"/>
  <c r="J101" i="47" s="1"/>
  <c r="DR133" i="4"/>
  <c r="K45" i="47"/>
  <c r="K101" i="47" s="1"/>
  <c r="DO133" i="4"/>
  <c r="O45" i="47"/>
  <c r="DU133" i="4"/>
  <c r="M45" i="47"/>
  <c r="M101" i="47" s="1"/>
  <c r="DS133" i="4"/>
  <c r="H45" i="47"/>
  <c r="H101" i="47" s="1"/>
  <c r="G45" i="47"/>
  <c r="G101" i="47" s="1"/>
  <c r="H45" i="36"/>
  <c r="H101" i="36" s="1"/>
  <c r="G101" i="36"/>
  <c r="K45" i="36"/>
  <c r="K101" i="36" s="1"/>
  <c r="O45" i="36"/>
  <c r="M45" i="36"/>
  <c r="M101" i="36" s="1"/>
  <c r="J45" i="36"/>
  <c r="J101" i="36" s="1"/>
  <c r="DI88" i="4"/>
  <c r="DI133" i="4" s="1"/>
  <c r="DZ88" i="4"/>
  <c r="DZ133" i="4" s="1"/>
  <c r="DX88" i="4"/>
  <c r="DX133" i="4" s="1"/>
  <c r="R45" i="47" l="1"/>
  <c r="R101" i="47" s="1"/>
  <c r="O101" i="47"/>
  <c r="R45" i="36"/>
  <c r="R101" i="36" s="1"/>
  <c r="O101" i="36"/>
  <c r="N46" i="36"/>
  <c r="S46" i="36" s="1"/>
  <c r="Y46" i="36" s="1"/>
  <c r="N45" i="47"/>
  <c r="N101" i="47" s="1"/>
  <c r="C45" i="47"/>
  <c r="C101" i="47" s="1"/>
  <c r="N45" i="36"/>
  <c r="EC88" i="4"/>
  <c r="EC133" i="4" s="1"/>
  <c r="C45" i="36"/>
  <c r="S45" i="47" l="1"/>
  <c r="S101" i="47" s="1"/>
  <c r="N101" i="36"/>
  <c r="S45" i="36"/>
  <c r="S101" i="36" s="1"/>
  <c r="C101" i="36"/>
  <c r="C144" i="36"/>
  <c r="Y45" i="47" l="1"/>
  <c r="Y101" i="47" s="1"/>
  <c r="Y45" i="36"/>
  <c r="Y101" i="36" s="1"/>
  <c r="DK87" i="4"/>
  <c r="G43" i="36" s="1"/>
  <c r="DM87" i="4"/>
  <c r="DN87" i="4"/>
  <c r="DO87" i="4"/>
  <c r="K43" i="47" s="1"/>
  <c r="DR87" i="4"/>
  <c r="J43" i="47" s="1"/>
  <c r="DS87" i="4"/>
  <c r="M43" i="47" s="1"/>
  <c r="DT87" i="4"/>
  <c r="DU87" i="4"/>
  <c r="O43" i="47" s="1"/>
  <c r="R43" i="47" s="1"/>
  <c r="N43" i="47" l="1"/>
  <c r="G43" i="47"/>
  <c r="H43" i="47"/>
  <c r="J43" i="36"/>
  <c r="K43" i="36"/>
  <c r="O43" i="36"/>
  <c r="R43" i="36" s="1"/>
  <c r="H43" i="36"/>
  <c r="M43" i="36"/>
  <c r="DI87" i="4"/>
  <c r="EC87" i="4" s="1"/>
  <c r="DZ87" i="4"/>
  <c r="DX87" i="4"/>
  <c r="C43" i="47" l="1"/>
  <c r="S43" i="47"/>
  <c r="Y43" i="47" s="1"/>
  <c r="C43" i="36"/>
  <c r="C142" i="36" l="1"/>
  <c r="DK86" i="4" l="1"/>
  <c r="G42" i="36" s="1"/>
  <c r="DM86" i="4"/>
  <c r="DN86" i="4"/>
  <c r="DO86" i="4"/>
  <c r="DR86" i="4"/>
  <c r="J42" i="47" s="1"/>
  <c r="DS86" i="4"/>
  <c r="M42" i="47" s="1"/>
  <c r="DT86" i="4"/>
  <c r="DU86" i="4"/>
  <c r="O42" i="47" s="1"/>
  <c r="R42" i="47" s="1"/>
  <c r="K42" i="47" l="1"/>
  <c r="N42" i="47" s="1"/>
  <c r="H42" i="47"/>
  <c r="G42" i="47"/>
  <c r="H42" i="36"/>
  <c r="M42" i="36"/>
  <c r="O42" i="36"/>
  <c r="R42" i="36" s="1"/>
  <c r="J42" i="36"/>
  <c r="K42" i="36"/>
  <c r="DX86" i="4"/>
  <c r="DI86" i="4"/>
  <c r="EC86" i="4" s="1"/>
  <c r="DZ86" i="4"/>
  <c r="N43" i="36" l="1"/>
  <c r="S43" i="36" s="1"/>
  <c r="Y43" i="36" s="1"/>
  <c r="S42" i="47"/>
  <c r="Y42" i="47" s="1"/>
  <c r="C42" i="47"/>
  <c r="C42" i="36"/>
  <c r="C141" i="36" l="1"/>
  <c r="DI85" i="4"/>
  <c r="DK85" i="4"/>
  <c r="G41" i="36" s="1"/>
  <c r="DM85" i="4"/>
  <c r="DN85" i="4"/>
  <c r="DO85" i="4"/>
  <c r="DR85" i="4"/>
  <c r="J41" i="47" s="1"/>
  <c r="DS85" i="4"/>
  <c r="M41" i="47" s="1"/>
  <c r="DT85" i="4"/>
  <c r="DU85" i="4"/>
  <c r="O41" i="47" s="1"/>
  <c r="R41" i="47" s="1"/>
  <c r="K41" i="47" l="1"/>
  <c r="N41" i="47" s="1"/>
  <c r="G41" i="47"/>
  <c r="C41" i="47" s="1"/>
  <c r="H41" i="47"/>
  <c r="O41" i="36"/>
  <c r="R41" i="36" s="1"/>
  <c r="H41" i="36"/>
  <c r="K41" i="36"/>
  <c r="N42" i="36" s="1"/>
  <c r="S42" i="36" s="1"/>
  <c r="Y42" i="36" s="1"/>
  <c r="M41" i="36"/>
  <c r="J41" i="36"/>
  <c r="DZ85" i="4"/>
  <c r="EC85" i="4"/>
  <c r="DX85" i="4"/>
  <c r="S41" i="47" l="1"/>
  <c r="Y41" i="47" s="1"/>
  <c r="C41" i="36"/>
  <c r="C140" i="36" l="1"/>
  <c r="DI84" i="4"/>
  <c r="EC84" i="4" s="1"/>
  <c r="DK84" i="4"/>
  <c r="G40" i="36" s="1"/>
  <c r="DM84" i="4"/>
  <c r="DN84" i="4"/>
  <c r="DO84" i="4"/>
  <c r="K40" i="47" s="1"/>
  <c r="DR84" i="4"/>
  <c r="J40" i="47" s="1"/>
  <c r="DS84" i="4"/>
  <c r="M40" i="47" s="1"/>
  <c r="DT84" i="4"/>
  <c r="DU84" i="4"/>
  <c r="O40" i="47" s="1"/>
  <c r="R40" i="47" s="1"/>
  <c r="H40" i="47" l="1"/>
  <c r="N40" i="47"/>
  <c r="G40" i="47"/>
  <c r="M40" i="36"/>
  <c r="J40" i="36"/>
  <c r="O40" i="36"/>
  <c r="R40" i="36" s="1"/>
  <c r="H40" i="36"/>
  <c r="K40" i="36"/>
  <c r="N41" i="36" s="1"/>
  <c r="S41" i="36" s="1"/>
  <c r="Y41" i="36" s="1"/>
  <c r="DZ84" i="4"/>
  <c r="DX84" i="4"/>
  <c r="C40" i="47" l="1"/>
  <c r="S40" i="47"/>
  <c r="Y40" i="47" s="1"/>
  <c r="C40" i="36"/>
  <c r="C139" i="36" l="1"/>
  <c r="DK83" i="4"/>
  <c r="G39" i="36" s="1"/>
  <c r="DM83" i="4"/>
  <c r="DN83" i="4"/>
  <c r="DO83" i="4"/>
  <c r="DR83" i="4"/>
  <c r="J39" i="47" s="1"/>
  <c r="DS83" i="4"/>
  <c r="M39" i="47" s="1"/>
  <c r="DT83" i="4"/>
  <c r="DU83" i="4"/>
  <c r="O39" i="47" s="1"/>
  <c r="R39" i="47" s="1"/>
  <c r="K39" i="47" l="1"/>
  <c r="N39" i="47" s="1"/>
  <c r="H39" i="47"/>
  <c r="G39" i="47"/>
  <c r="H39" i="36"/>
  <c r="K39" i="36"/>
  <c r="N40" i="36" s="1"/>
  <c r="S40" i="36" s="1"/>
  <c r="Y40" i="36" s="1"/>
  <c r="J39" i="36"/>
  <c r="O39" i="36"/>
  <c r="R39" i="36" s="1"/>
  <c r="M39" i="36"/>
  <c r="DI83" i="4"/>
  <c r="EC83" i="4" s="1"/>
  <c r="DZ83" i="4"/>
  <c r="DX83" i="4"/>
  <c r="C39" i="47" l="1"/>
  <c r="S39" i="47"/>
  <c r="Y39" i="47" s="1"/>
  <c r="C39" i="36"/>
  <c r="DK82" i="4"/>
  <c r="G38" i="36" s="1"/>
  <c r="DM82" i="4"/>
  <c r="DN82" i="4"/>
  <c r="DO82" i="4"/>
  <c r="DR82" i="4"/>
  <c r="J38" i="47" s="1"/>
  <c r="DS82" i="4"/>
  <c r="M38" i="47" s="1"/>
  <c r="DT82" i="4"/>
  <c r="DU82" i="4"/>
  <c r="O38" i="47" s="1"/>
  <c r="R38" i="47" s="1"/>
  <c r="G38" i="47" l="1"/>
  <c r="C38" i="47" s="1"/>
  <c r="H38" i="47"/>
  <c r="K38" i="47"/>
  <c r="N38" i="47" s="1"/>
  <c r="C138" i="36"/>
  <c r="M38" i="36"/>
  <c r="J38" i="36"/>
  <c r="K38" i="36"/>
  <c r="N39" i="36" s="1"/>
  <c r="S39" i="36" s="1"/>
  <c r="O38" i="36"/>
  <c r="R38" i="36" s="1"/>
  <c r="H38" i="36"/>
  <c r="DZ82" i="4"/>
  <c r="DX82" i="4"/>
  <c r="DI82" i="4"/>
  <c r="EC82" i="4" s="1"/>
  <c r="S38" i="47" l="1"/>
  <c r="Y38" i="47" s="1"/>
  <c r="C38" i="36"/>
  <c r="Y39" i="36"/>
  <c r="C137" i="36" l="1"/>
  <c r="DK81" i="4" l="1"/>
  <c r="G37" i="36" s="1"/>
  <c r="DM81" i="4"/>
  <c r="DN81" i="4"/>
  <c r="DO81" i="4"/>
  <c r="DR81" i="4"/>
  <c r="J37" i="47" s="1"/>
  <c r="DS81" i="4"/>
  <c r="M37" i="47" s="1"/>
  <c r="DT81" i="4"/>
  <c r="DU81" i="4"/>
  <c r="O37" i="47" s="1"/>
  <c r="R37" i="47" s="1"/>
  <c r="K37" i="47" l="1"/>
  <c r="N37" i="47" s="1"/>
  <c r="H37" i="47"/>
  <c r="G37" i="47"/>
  <c r="C37" i="47" s="1"/>
  <c r="O37" i="36"/>
  <c r="R37" i="36" s="1"/>
  <c r="K37" i="36"/>
  <c r="N38" i="36" s="1"/>
  <c r="S38" i="36" s="1"/>
  <c r="Y38" i="36" s="1"/>
  <c r="H37" i="36"/>
  <c r="M37" i="36"/>
  <c r="J37" i="36"/>
  <c r="DI81" i="4"/>
  <c r="EC81" i="4" s="1"/>
  <c r="DX81" i="4"/>
  <c r="DZ81" i="4"/>
  <c r="S37" i="47" l="1"/>
  <c r="Y37" i="47" s="1"/>
  <c r="C37" i="36"/>
  <c r="C136" i="36" l="1"/>
  <c r="DI80" i="4"/>
  <c r="DK80" i="4"/>
  <c r="G36" i="36" s="1"/>
  <c r="DM80" i="4"/>
  <c r="DN80" i="4"/>
  <c r="DO80" i="4"/>
  <c r="K36" i="47" s="1"/>
  <c r="DR80" i="4"/>
  <c r="J36" i="47" s="1"/>
  <c r="DS80" i="4"/>
  <c r="M36" i="47" s="1"/>
  <c r="DT80" i="4"/>
  <c r="DU80" i="4"/>
  <c r="O36" i="47" s="1"/>
  <c r="R36" i="47" s="1"/>
  <c r="H36" i="47" l="1"/>
  <c r="N36" i="47"/>
  <c r="G36" i="47"/>
  <c r="O36" i="36"/>
  <c r="R36" i="36" s="1"/>
  <c r="K36" i="36"/>
  <c r="N37" i="36" s="1"/>
  <c r="S37" i="36" s="1"/>
  <c r="Y37" i="36" s="1"/>
  <c r="H36" i="36"/>
  <c r="M36" i="36"/>
  <c r="J36" i="36"/>
  <c r="EC80" i="4"/>
  <c r="DZ80" i="4"/>
  <c r="DX80" i="4"/>
  <c r="C36" i="47" l="1"/>
  <c r="S36" i="47"/>
  <c r="Y36" i="47" s="1"/>
  <c r="C36" i="36"/>
  <c r="C135" i="36" l="1"/>
  <c r="DI79" i="4"/>
  <c r="DK79" i="4"/>
  <c r="G35" i="36" s="1"/>
  <c r="DM79" i="4"/>
  <c r="DN79" i="4"/>
  <c r="DO79" i="4"/>
  <c r="DR79" i="4"/>
  <c r="J35" i="47" s="1"/>
  <c r="DS79" i="4"/>
  <c r="M35" i="47" s="1"/>
  <c r="DT79" i="4"/>
  <c r="DU79" i="4"/>
  <c r="O35" i="47" s="1"/>
  <c r="R35" i="47" s="1"/>
  <c r="K35" i="47" l="1"/>
  <c r="N35" i="47" s="1"/>
  <c r="G35" i="47"/>
  <c r="H35" i="47"/>
  <c r="H35" i="36"/>
  <c r="J35" i="36"/>
  <c r="O35" i="36"/>
  <c r="R35" i="36" s="1"/>
  <c r="M35" i="36"/>
  <c r="K35" i="36"/>
  <c r="N36" i="36" s="1"/>
  <c r="S36" i="36" s="1"/>
  <c r="Y36" i="36" s="1"/>
  <c r="EC79" i="4"/>
  <c r="DZ79" i="4"/>
  <c r="DX79" i="4"/>
  <c r="C35" i="47" l="1"/>
  <c r="S35" i="47"/>
  <c r="Y35" i="47" s="1"/>
  <c r="C35" i="36"/>
  <c r="C134" i="36" l="1"/>
  <c r="DK78" i="4"/>
  <c r="G34" i="36" s="1"/>
  <c r="DM78" i="4"/>
  <c r="DN78" i="4"/>
  <c r="DO78" i="4"/>
  <c r="DR78" i="4"/>
  <c r="J34" i="47" s="1"/>
  <c r="DS78" i="4"/>
  <c r="M34" i="47" s="1"/>
  <c r="DT78" i="4"/>
  <c r="DU78" i="4"/>
  <c r="O34" i="47" s="1"/>
  <c r="R34" i="47" s="1"/>
  <c r="K34" i="47" l="1"/>
  <c r="H34" i="47"/>
  <c r="N34" i="47"/>
  <c r="G34" i="47"/>
  <c r="C34" i="47" s="1"/>
  <c r="J34" i="36"/>
  <c r="O34" i="36"/>
  <c r="R34" i="36" s="1"/>
  <c r="M34" i="36"/>
  <c r="H34" i="36"/>
  <c r="K34" i="36"/>
  <c r="N35" i="36" s="1"/>
  <c r="S35" i="36" s="1"/>
  <c r="Y35" i="36" s="1"/>
  <c r="DI78" i="4"/>
  <c r="DZ78" i="4"/>
  <c r="DX78" i="4"/>
  <c r="S34" i="47" l="1"/>
  <c r="Y34" i="47" s="1"/>
  <c r="C34" i="36"/>
  <c r="EC78" i="4"/>
  <c r="C133" i="36" l="1"/>
  <c r="DK77" i="4" l="1"/>
  <c r="G33" i="36" s="1"/>
  <c r="DM77" i="4"/>
  <c r="DN77" i="4"/>
  <c r="DO77" i="4"/>
  <c r="DR77" i="4"/>
  <c r="J33" i="47" s="1"/>
  <c r="DS77" i="4"/>
  <c r="M33" i="47" s="1"/>
  <c r="DT77" i="4"/>
  <c r="DU77" i="4"/>
  <c r="O33" i="47" s="1"/>
  <c r="R33" i="47" s="1"/>
  <c r="K33" i="47" l="1"/>
  <c r="N33" i="47" s="1"/>
  <c r="H33" i="47"/>
  <c r="G33" i="47"/>
  <c r="C33" i="47" s="1"/>
  <c r="M33" i="36"/>
  <c r="O33" i="36"/>
  <c r="R33" i="36" s="1"/>
  <c r="H33" i="36"/>
  <c r="J33" i="36"/>
  <c r="K33" i="36"/>
  <c r="N34" i="36" s="1"/>
  <c r="S34" i="36" s="1"/>
  <c r="Y34" i="36" s="1"/>
  <c r="DI77" i="4"/>
  <c r="DZ77" i="4"/>
  <c r="DX77" i="4"/>
  <c r="S33" i="47" l="1"/>
  <c r="Y33" i="47" s="1"/>
  <c r="C33" i="36"/>
  <c r="EC77" i="4"/>
  <c r="C132" i="36" l="1"/>
  <c r="DK76" i="4"/>
  <c r="DL132" i="4"/>
  <c r="DM76" i="4"/>
  <c r="DM132" i="4" s="1"/>
  <c r="DN76" i="4"/>
  <c r="DN132" i="4" s="1"/>
  <c r="DO76" i="4"/>
  <c r="DO132" i="4" s="1"/>
  <c r="DR76" i="4"/>
  <c r="DS76" i="4"/>
  <c r="DT76" i="4"/>
  <c r="DT132" i="4" s="1"/>
  <c r="DU76" i="4"/>
  <c r="DK132" i="4" l="1"/>
  <c r="G32" i="36"/>
  <c r="J32" i="47"/>
  <c r="J100" i="47" s="1"/>
  <c r="DR132" i="4"/>
  <c r="O32" i="47"/>
  <c r="O100" i="47" s="1"/>
  <c r="DU132" i="4"/>
  <c r="M32" i="47"/>
  <c r="M100" i="47" s="1"/>
  <c r="DS132" i="4"/>
  <c r="K32" i="47"/>
  <c r="K100" i="47" s="1"/>
  <c r="H32" i="47"/>
  <c r="H100" i="47" s="1"/>
  <c r="G32" i="47"/>
  <c r="G100" i="47" s="1"/>
  <c r="O32" i="36"/>
  <c r="O100" i="36" s="1"/>
  <c r="M32" i="36"/>
  <c r="M100" i="36" s="1"/>
  <c r="K32" i="36"/>
  <c r="K100" i="36" s="1"/>
  <c r="G100" i="36"/>
  <c r="H32" i="36"/>
  <c r="H100" i="36" s="1"/>
  <c r="J32" i="36"/>
  <c r="J100" i="36" s="1"/>
  <c r="DI76" i="4"/>
  <c r="DI132" i="4" s="1"/>
  <c r="DX76" i="4"/>
  <c r="DX132" i="4" s="1"/>
  <c r="DZ76" i="4"/>
  <c r="DZ132" i="4" s="1"/>
  <c r="N33" i="36" l="1"/>
  <c r="S33" i="36" s="1"/>
  <c r="Y33" i="36" s="1"/>
  <c r="R32" i="47"/>
  <c r="R100" i="47" s="1"/>
  <c r="N32" i="47"/>
  <c r="N100" i="47" s="1"/>
  <c r="C32" i="47"/>
  <c r="C100" i="47" s="1"/>
  <c r="R32" i="36"/>
  <c r="R100" i="36" s="1"/>
  <c r="N32" i="36"/>
  <c r="C32" i="36"/>
  <c r="C100" i="36" s="1"/>
  <c r="EC76" i="4"/>
  <c r="EC132" i="4" s="1"/>
  <c r="N100" i="36" l="1"/>
  <c r="S32" i="47"/>
  <c r="S100" i="47" s="1"/>
  <c r="Y32" i="47"/>
  <c r="Y100" i="47" s="1"/>
  <c r="S32" i="36"/>
  <c r="S100" i="36" s="1"/>
  <c r="C129" i="36"/>
  <c r="C131" i="36"/>
  <c r="Y32" i="36" l="1"/>
  <c r="Y100" i="36" s="1"/>
  <c r="DK75" i="4" l="1"/>
  <c r="G30" i="36" s="1"/>
  <c r="DM75" i="4"/>
  <c r="DN75" i="4"/>
  <c r="DO75" i="4"/>
  <c r="DR75" i="4"/>
  <c r="DS75" i="4"/>
  <c r="DT75" i="4"/>
  <c r="DU75" i="4"/>
  <c r="H30" i="47" l="1"/>
  <c r="J30" i="36"/>
  <c r="J30" i="47"/>
  <c r="G30" i="47"/>
  <c r="C30" i="47" s="1"/>
  <c r="M30" i="36"/>
  <c r="M30" i="47"/>
  <c r="K30" i="36"/>
  <c r="K30" i="47"/>
  <c r="O30" i="36"/>
  <c r="R30" i="36" s="1"/>
  <c r="O30" i="47"/>
  <c r="R30" i="47" s="1"/>
  <c r="H30" i="36"/>
  <c r="C30" i="36"/>
  <c r="DI75" i="4"/>
  <c r="EC75" i="4" s="1"/>
  <c r="DZ75" i="4"/>
  <c r="DX75" i="4"/>
  <c r="N30" i="47" l="1"/>
  <c r="S30" i="47" s="1"/>
  <c r="Y30" i="47" s="1"/>
  <c r="DK74" i="4"/>
  <c r="G29" i="36" s="1"/>
  <c r="DM74" i="4"/>
  <c r="DN74" i="4"/>
  <c r="DO74" i="4"/>
  <c r="K29" i="47" s="1"/>
  <c r="DR74" i="4"/>
  <c r="J29" i="47" s="1"/>
  <c r="DS74" i="4"/>
  <c r="M29" i="47" s="1"/>
  <c r="DT74" i="4"/>
  <c r="DU74" i="4"/>
  <c r="O29" i="47" s="1"/>
  <c r="R29" i="47" s="1"/>
  <c r="H29" i="47" l="1"/>
  <c r="G29" i="47"/>
  <c r="C29" i="47" s="1"/>
  <c r="N29" i="47"/>
  <c r="J29" i="36"/>
  <c r="O29" i="36"/>
  <c r="R29" i="36" s="1"/>
  <c r="K29" i="36"/>
  <c r="N30" i="36" s="1"/>
  <c r="S30" i="36" s="1"/>
  <c r="Y30" i="36" s="1"/>
  <c r="H29" i="36"/>
  <c r="M29" i="36"/>
  <c r="DI74" i="4"/>
  <c r="EC74" i="4" s="1"/>
  <c r="DZ74" i="4"/>
  <c r="DX74" i="4"/>
  <c r="S29" i="47" l="1"/>
  <c r="Y29" i="47" s="1"/>
  <c r="C29" i="36"/>
  <c r="C128" i="36" s="1"/>
  <c r="DK73" i="4" l="1"/>
  <c r="G28" i="36" s="1"/>
  <c r="DM73" i="4"/>
  <c r="DN73" i="4"/>
  <c r="DO73" i="4"/>
  <c r="DR73" i="4"/>
  <c r="J28" i="47" s="1"/>
  <c r="DS73" i="4"/>
  <c r="M28" i="47" s="1"/>
  <c r="DT73" i="4"/>
  <c r="DU73" i="4"/>
  <c r="O28" i="47" s="1"/>
  <c r="R28" i="47" s="1"/>
  <c r="K28" i="47" l="1"/>
  <c r="H28" i="47"/>
  <c r="N28" i="47"/>
  <c r="G28" i="47"/>
  <c r="C28" i="47" s="1"/>
  <c r="J28" i="36"/>
  <c r="O28" i="36"/>
  <c r="R28" i="36" s="1"/>
  <c r="H28" i="36"/>
  <c r="M28" i="36"/>
  <c r="K28" i="36"/>
  <c r="DI73" i="4"/>
  <c r="EC73" i="4" s="1"/>
  <c r="DZ73" i="4"/>
  <c r="DX73" i="4"/>
  <c r="N29" i="36" l="1"/>
  <c r="S29" i="36" s="1"/>
  <c r="Y29" i="36" s="1"/>
  <c r="S28" i="47"/>
  <c r="Y28" i="47" s="1"/>
  <c r="C28" i="36"/>
  <c r="C127" i="36" s="1"/>
  <c r="DK72" i="4" l="1"/>
  <c r="G27" i="36" s="1"/>
  <c r="DM72" i="4"/>
  <c r="DN72" i="4"/>
  <c r="DO72" i="4"/>
  <c r="DR72" i="4"/>
  <c r="J27" i="47" s="1"/>
  <c r="DS72" i="4"/>
  <c r="M27" i="47" s="1"/>
  <c r="DT72" i="4"/>
  <c r="DU72" i="4"/>
  <c r="O27" i="47" s="1"/>
  <c r="R27" i="47" s="1"/>
  <c r="K27" i="47" l="1"/>
  <c r="N27" i="47" s="1"/>
  <c r="H27" i="47"/>
  <c r="G27" i="47"/>
  <c r="C27" i="47" s="1"/>
  <c r="J27" i="36"/>
  <c r="O27" i="36"/>
  <c r="R27" i="36" s="1"/>
  <c r="H27" i="36"/>
  <c r="M27" i="36"/>
  <c r="K27" i="36"/>
  <c r="N28" i="36" s="1"/>
  <c r="S28" i="36" s="1"/>
  <c r="Y28" i="36" s="1"/>
  <c r="DI72" i="4"/>
  <c r="EC72" i="4" s="1"/>
  <c r="DZ72" i="4"/>
  <c r="DX72" i="4"/>
  <c r="S27" i="47" l="1"/>
  <c r="Y27" i="47" s="1"/>
  <c r="C27" i="36"/>
  <c r="C126" i="36" s="1"/>
  <c r="DK71" i="4" l="1"/>
  <c r="G26" i="36" s="1"/>
  <c r="DM71" i="4"/>
  <c r="DN71" i="4"/>
  <c r="DO71" i="4"/>
  <c r="DR71" i="4"/>
  <c r="J26" i="47" s="1"/>
  <c r="DS71" i="4"/>
  <c r="M26" i="47" s="1"/>
  <c r="DT71" i="4"/>
  <c r="DU71" i="4"/>
  <c r="O26" i="47" s="1"/>
  <c r="R26" i="47" s="1"/>
  <c r="K26" i="47" l="1"/>
  <c r="N26" i="47" s="1"/>
  <c r="H26" i="47"/>
  <c r="G26" i="47"/>
  <c r="C26" i="47" s="1"/>
  <c r="J26" i="36"/>
  <c r="O26" i="36"/>
  <c r="R26" i="36" s="1"/>
  <c r="K26" i="36"/>
  <c r="N27" i="36" s="1"/>
  <c r="S27" i="36" s="1"/>
  <c r="Y27" i="36" s="1"/>
  <c r="H26" i="36"/>
  <c r="M26" i="36"/>
  <c r="DI71" i="4"/>
  <c r="EC71" i="4" s="1"/>
  <c r="DX71" i="4"/>
  <c r="DZ71" i="4"/>
  <c r="S26" i="47" l="1"/>
  <c r="Y26" i="47" s="1"/>
  <c r="C26" i="36"/>
  <c r="C125" i="36" s="1"/>
  <c r="DK70" i="4" l="1"/>
  <c r="G25" i="36" s="1"/>
  <c r="DM70" i="4"/>
  <c r="DN70" i="4"/>
  <c r="DO70" i="4"/>
  <c r="DR70" i="4"/>
  <c r="J25" i="47" s="1"/>
  <c r="DS70" i="4"/>
  <c r="M25" i="47" s="1"/>
  <c r="DT70" i="4"/>
  <c r="DU70" i="4"/>
  <c r="O25" i="47" s="1"/>
  <c r="R25" i="47" s="1"/>
  <c r="K25" i="47" l="1"/>
  <c r="N25" i="47" s="1"/>
  <c r="H25" i="47"/>
  <c r="G25" i="47"/>
  <c r="C25" i="47" s="1"/>
  <c r="J25" i="36"/>
  <c r="O25" i="36"/>
  <c r="R25" i="36" s="1"/>
  <c r="H25" i="36"/>
  <c r="K25" i="36"/>
  <c r="M25" i="36"/>
  <c r="DX70" i="4"/>
  <c r="DI70" i="4"/>
  <c r="EC70" i="4" s="1"/>
  <c r="DZ70" i="4"/>
  <c r="N26" i="36" l="1"/>
  <c r="S26" i="36" s="1"/>
  <c r="Y26" i="36" s="1"/>
  <c r="S25" i="47"/>
  <c r="Y25" i="47" s="1"/>
  <c r="C25" i="36"/>
  <c r="C124" i="36" s="1"/>
  <c r="DK69" i="4" l="1"/>
  <c r="G24" i="36" s="1"/>
  <c r="DM69" i="4"/>
  <c r="DN69" i="4"/>
  <c r="DO69" i="4"/>
  <c r="DR69" i="4"/>
  <c r="J24" i="47" s="1"/>
  <c r="DS69" i="4"/>
  <c r="M24" i="47" s="1"/>
  <c r="DT69" i="4"/>
  <c r="DU69" i="4"/>
  <c r="O24" i="47" s="1"/>
  <c r="R24" i="47" s="1"/>
  <c r="K24" i="47" l="1"/>
  <c r="N24" i="47" s="1"/>
  <c r="H24" i="47"/>
  <c r="G24" i="47"/>
  <c r="C24" i="47" s="1"/>
  <c r="M24" i="36"/>
  <c r="J24" i="36"/>
  <c r="K24" i="36"/>
  <c r="N25" i="36" s="1"/>
  <c r="S25" i="36" s="1"/>
  <c r="Y25" i="36" s="1"/>
  <c r="H24" i="36"/>
  <c r="O24" i="36"/>
  <c r="R24" i="36" s="1"/>
  <c r="DI69" i="4"/>
  <c r="EC69" i="4" s="1"/>
  <c r="DZ69" i="4"/>
  <c r="DX69" i="4"/>
  <c r="DU68" i="4"/>
  <c r="O23" i="47" s="1"/>
  <c r="R23" i="47" s="1"/>
  <c r="DT68" i="4"/>
  <c r="DS68" i="4"/>
  <c r="M23" i="47" s="1"/>
  <c r="DR68" i="4"/>
  <c r="J23" i="47" s="1"/>
  <c r="DO68" i="4"/>
  <c r="DN68" i="4"/>
  <c r="DM68" i="4"/>
  <c r="DK68" i="4"/>
  <c r="G23" i="36" s="1"/>
  <c r="DK67" i="4"/>
  <c r="G22" i="36" s="1"/>
  <c r="DM67" i="4"/>
  <c r="DN67" i="4"/>
  <c r="DO67" i="4"/>
  <c r="DR67" i="4"/>
  <c r="J22" i="47" s="1"/>
  <c r="DS67" i="4"/>
  <c r="M22" i="47" s="1"/>
  <c r="DT67" i="4"/>
  <c r="DU67" i="4"/>
  <c r="O22" i="47" s="1"/>
  <c r="R22" i="47" s="1"/>
  <c r="DK66" i="4"/>
  <c r="G21" i="36" s="1"/>
  <c r="DM66" i="4"/>
  <c r="DN66" i="4"/>
  <c r="DO66" i="4"/>
  <c r="DR66" i="4"/>
  <c r="J21" i="47" s="1"/>
  <c r="DS66" i="4"/>
  <c r="M21" i="47" s="1"/>
  <c r="DT66" i="4"/>
  <c r="DU66" i="4"/>
  <c r="O21" i="47" s="1"/>
  <c r="R21" i="47" s="1"/>
  <c r="DK65" i="4"/>
  <c r="G20" i="36" s="1"/>
  <c r="DM65" i="4"/>
  <c r="DN65" i="4"/>
  <c r="DO65" i="4"/>
  <c r="DR65" i="4"/>
  <c r="J20" i="47" s="1"/>
  <c r="DS65" i="4"/>
  <c r="M20" i="47" s="1"/>
  <c r="DT65" i="4"/>
  <c r="DU65" i="4"/>
  <c r="O20" i="47" s="1"/>
  <c r="R20" i="47" s="1"/>
  <c r="DK64" i="4"/>
  <c r="G19" i="36" s="1"/>
  <c r="DM64" i="4"/>
  <c r="DN64" i="4"/>
  <c r="DN131" i="4" s="1"/>
  <c r="DO64" i="4"/>
  <c r="DR64" i="4"/>
  <c r="J19" i="36" s="1"/>
  <c r="DS64" i="4"/>
  <c r="M19" i="36" s="1"/>
  <c r="DT64" i="4"/>
  <c r="DU64" i="4"/>
  <c r="O19" i="36" s="1"/>
  <c r="R19" i="36" s="1"/>
  <c r="DK63" i="4"/>
  <c r="DM63" i="4"/>
  <c r="DN63" i="4"/>
  <c r="DO63" i="4"/>
  <c r="DR63" i="4"/>
  <c r="DS63" i="4"/>
  <c r="DT63" i="4"/>
  <c r="DU63" i="4"/>
  <c r="DK62" i="4"/>
  <c r="DM62" i="4"/>
  <c r="DN62" i="4"/>
  <c r="DO62" i="4"/>
  <c r="DR62" i="4"/>
  <c r="DS62" i="4"/>
  <c r="DT62" i="4"/>
  <c r="DU62" i="4"/>
  <c r="DK61" i="4"/>
  <c r="DM61" i="4"/>
  <c r="DN61" i="4"/>
  <c r="DO61" i="4"/>
  <c r="DR61" i="4"/>
  <c r="DS61" i="4"/>
  <c r="DT61" i="4"/>
  <c r="DU61" i="4"/>
  <c r="DK60" i="4"/>
  <c r="DM60" i="4"/>
  <c r="DN60" i="4"/>
  <c r="DO60" i="4"/>
  <c r="DR60" i="4"/>
  <c r="DS60" i="4"/>
  <c r="DT60" i="4"/>
  <c r="DU60" i="4"/>
  <c r="DK59" i="4"/>
  <c r="DM59" i="4"/>
  <c r="DN59" i="4"/>
  <c r="DO59" i="4"/>
  <c r="DR59" i="4"/>
  <c r="DS59" i="4"/>
  <c r="DT59" i="4"/>
  <c r="DU59" i="4"/>
  <c r="DU58" i="4"/>
  <c r="DK58" i="4"/>
  <c r="DM58" i="4"/>
  <c r="DN58" i="4"/>
  <c r="DO58" i="4"/>
  <c r="DR58" i="4"/>
  <c r="DS58" i="4"/>
  <c r="DT58" i="4"/>
  <c r="DK57" i="4"/>
  <c r="DM57" i="4"/>
  <c r="DN57" i="4"/>
  <c r="DO57" i="4"/>
  <c r="DR57" i="4"/>
  <c r="DS57" i="4"/>
  <c r="DT57" i="4"/>
  <c r="DK55" i="4"/>
  <c r="DM55" i="4"/>
  <c r="DN55" i="4"/>
  <c r="DO55" i="4"/>
  <c r="DR55" i="4"/>
  <c r="DS55" i="4"/>
  <c r="DT55" i="4"/>
  <c r="DK54" i="4"/>
  <c r="DM54" i="4"/>
  <c r="DN54" i="4"/>
  <c r="DO54" i="4"/>
  <c r="DR54" i="4"/>
  <c r="DS54" i="4"/>
  <c r="DT54" i="4"/>
  <c r="DO28" i="4"/>
  <c r="B129" i="4"/>
  <c r="DK53" i="4"/>
  <c r="DM53" i="4"/>
  <c r="DN53" i="4"/>
  <c r="DO53" i="4"/>
  <c r="DR53" i="4"/>
  <c r="DS53" i="4"/>
  <c r="DT53" i="4"/>
  <c r="DK52" i="4"/>
  <c r="DM52" i="4"/>
  <c r="DN52" i="4"/>
  <c r="DO52" i="4"/>
  <c r="DR52" i="4"/>
  <c r="DS52" i="4"/>
  <c r="DT52" i="4"/>
  <c r="DK51" i="4"/>
  <c r="DM51" i="4"/>
  <c r="DN51" i="4"/>
  <c r="DO51" i="4"/>
  <c r="DR51" i="4"/>
  <c r="DS51" i="4"/>
  <c r="DT51" i="4"/>
  <c r="DK50" i="4"/>
  <c r="DM50" i="4"/>
  <c r="DN50" i="4"/>
  <c r="DO50" i="4"/>
  <c r="DR50" i="4"/>
  <c r="DS50" i="4"/>
  <c r="DT50" i="4"/>
  <c r="DK49" i="4"/>
  <c r="DM49" i="4"/>
  <c r="DN49" i="4"/>
  <c r="DO49" i="4"/>
  <c r="DR49" i="4"/>
  <c r="DS49" i="4"/>
  <c r="DT49" i="4"/>
  <c r="DK48" i="4"/>
  <c r="DM48" i="4"/>
  <c r="DN48" i="4"/>
  <c r="DO48" i="4"/>
  <c r="DR48" i="4"/>
  <c r="DS48" i="4"/>
  <c r="DT48" i="4"/>
  <c r="DK47" i="4"/>
  <c r="DM47" i="4"/>
  <c r="DN47" i="4"/>
  <c r="DO47" i="4"/>
  <c r="DR47" i="4"/>
  <c r="DS47" i="4"/>
  <c r="DT47" i="4"/>
  <c r="DK46" i="4"/>
  <c r="DM46" i="4"/>
  <c r="DN46" i="4"/>
  <c r="DO46" i="4"/>
  <c r="DR46" i="4"/>
  <c r="DS46" i="4"/>
  <c r="DT46" i="4"/>
  <c r="DK45" i="4"/>
  <c r="DM45" i="4"/>
  <c r="DN45" i="4"/>
  <c r="DO45" i="4"/>
  <c r="DR45" i="4"/>
  <c r="DS45" i="4"/>
  <c r="DT45" i="4"/>
  <c r="DK44" i="4"/>
  <c r="DM44" i="4"/>
  <c r="DN44" i="4"/>
  <c r="DO44" i="4"/>
  <c r="DR44" i="4"/>
  <c r="DS44" i="4"/>
  <c r="DT44" i="4"/>
  <c r="DK43" i="4"/>
  <c r="DM43" i="4"/>
  <c r="DN43" i="4"/>
  <c r="DO43" i="4"/>
  <c r="DR43" i="4"/>
  <c r="DS43" i="4"/>
  <c r="DT43" i="4"/>
  <c r="B127" i="4"/>
  <c r="DK42" i="4"/>
  <c r="DM42" i="4"/>
  <c r="DN42" i="4"/>
  <c r="DO42" i="4"/>
  <c r="DR42" i="4"/>
  <c r="DS42" i="4"/>
  <c r="DT42" i="4"/>
  <c r="DK41" i="4"/>
  <c r="DM41" i="4"/>
  <c r="DN41" i="4"/>
  <c r="DO41" i="4"/>
  <c r="DR41" i="4"/>
  <c r="DS41" i="4"/>
  <c r="DT41" i="4"/>
  <c r="DK40" i="4"/>
  <c r="DM40" i="4"/>
  <c r="DN40" i="4"/>
  <c r="DO40" i="4"/>
  <c r="DR40" i="4"/>
  <c r="DS40" i="4"/>
  <c r="DT40" i="4"/>
  <c r="DK39" i="4"/>
  <c r="DM39" i="4"/>
  <c r="DN39" i="4"/>
  <c r="DO39" i="4"/>
  <c r="DR39" i="4"/>
  <c r="DS39" i="4"/>
  <c r="DT39" i="4"/>
  <c r="DK37" i="4"/>
  <c r="DK36" i="4"/>
  <c r="DK35" i="4"/>
  <c r="DK34" i="4"/>
  <c r="DK33" i="4"/>
  <c r="DK32" i="4"/>
  <c r="DK31" i="4"/>
  <c r="DK30" i="4"/>
  <c r="DK29" i="4"/>
  <c r="DK28" i="4"/>
  <c r="DK27" i="4"/>
  <c r="DK26" i="4"/>
  <c r="DK25" i="4"/>
  <c r="DK24" i="4"/>
  <c r="DK23" i="4"/>
  <c r="DK22" i="4"/>
  <c r="DK21" i="4"/>
  <c r="DK20" i="4"/>
  <c r="DK19" i="4"/>
  <c r="DK18" i="4"/>
  <c r="DK17" i="4"/>
  <c r="DK16" i="4"/>
  <c r="DK15" i="4"/>
  <c r="DK14" i="4"/>
  <c r="DK13" i="4"/>
  <c r="DK12" i="4"/>
  <c r="DK11" i="4"/>
  <c r="DK10" i="4"/>
  <c r="DK9" i="4"/>
  <c r="DK8" i="4"/>
  <c r="DK7" i="4"/>
  <c r="DK6" i="4"/>
  <c r="DK5" i="4"/>
  <c r="DK4" i="4"/>
  <c r="DK38" i="4"/>
  <c r="DM38" i="4"/>
  <c r="DN38" i="4"/>
  <c r="DO38" i="4"/>
  <c r="DR38" i="4"/>
  <c r="DS38" i="4"/>
  <c r="DT38" i="4"/>
  <c r="DM37" i="4"/>
  <c r="DN37" i="4"/>
  <c r="DO37" i="4"/>
  <c r="DR37" i="4"/>
  <c r="DS37" i="4"/>
  <c r="DT37" i="4"/>
  <c r="DM36" i="4"/>
  <c r="DN36" i="4"/>
  <c r="DO36" i="4"/>
  <c r="DR36" i="4"/>
  <c r="DS36" i="4"/>
  <c r="DT36" i="4"/>
  <c r="DM35" i="4"/>
  <c r="DN35" i="4"/>
  <c r="DO35" i="4"/>
  <c r="DR35" i="4"/>
  <c r="DS35" i="4"/>
  <c r="DT35" i="4"/>
  <c r="DM34" i="4"/>
  <c r="DN34" i="4"/>
  <c r="DO34" i="4"/>
  <c r="DR34" i="4"/>
  <c r="DS34" i="4"/>
  <c r="DT34" i="4"/>
  <c r="DM33" i="4"/>
  <c r="DN33" i="4"/>
  <c r="DO33" i="4"/>
  <c r="DR33" i="4"/>
  <c r="DS33" i="4"/>
  <c r="DT33" i="4"/>
  <c r="DM32" i="4"/>
  <c r="DN32" i="4"/>
  <c r="DO32" i="4"/>
  <c r="DR32" i="4"/>
  <c r="DS32" i="4"/>
  <c r="DT32" i="4"/>
  <c r="DM31" i="4"/>
  <c r="DN31" i="4"/>
  <c r="DO31" i="4"/>
  <c r="DR31" i="4"/>
  <c r="DS31" i="4"/>
  <c r="DT31" i="4"/>
  <c r="DI30" i="4"/>
  <c r="DM30" i="4"/>
  <c r="DN30" i="4"/>
  <c r="DO30" i="4"/>
  <c r="DR30" i="4"/>
  <c r="DS30" i="4"/>
  <c r="DT30" i="4"/>
  <c r="DI29" i="4"/>
  <c r="DM29" i="4"/>
  <c r="DN29" i="4"/>
  <c r="DO29" i="4"/>
  <c r="DR29" i="4"/>
  <c r="DS29" i="4"/>
  <c r="DT29" i="4"/>
  <c r="DM28" i="4"/>
  <c r="DN28" i="4"/>
  <c r="DR28" i="4"/>
  <c r="DS28" i="4"/>
  <c r="DT28" i="4"/>
  <c r="DM27" i="4"/>
  <c r="DN27" i="4"/>
  <c r="DO27" i="4"/>
  <c r="DR27" i="4"/>
  <c r="DS27" i="4"/>
  <c r="DT27" i="4"/>
  <c r="DM26" i="4"/>
  <c r="DN26" i="4"/>
  <c r="DO26" i="4"/>
  <c r="DR26" i="4"/>
  <c r="DS26" i="4"/>
  <c r="DT26" i="4"/>
  <c r="DM25" i="4"/>
  <c r="DN25" i="4"/>
  <c r="DO25" i="4"/>
  <c r="DR25" i="4"/>
  <c r="DS25" i="4"/>
  <c r="DT25" i="4"/>
  <c r="DM24" i="4"/>
  <c r="DN24" i="4"/>
  <c r="DO24" i="4"/>
  <c r="DR24" i="4"/>
  <c r="DS24" i="4"/>
  <c r="DT24" i="4"/>
  <c r="DM23" i="4"/>
  <c r="DN23" i="4"/>
  <c r="DO23" i="4"/>
  <c r="DR23" i="4"/>
  <c r="DS23" i="4"/>
  <c r="DT23" i="4"/>
  <c r="DM22" i="4"/>
  <c r="DN22" i="4"/>
  <c r="DO22" i="4"/>
  <c r="DR22" i="4"/>
  <c r="DS22" i="4"/>
  <c r="DT22" i="4"/>
  <c r="DM21" i="4"/>
  <c r="DN21" i="4"/>
  <c r="DO21" i="4"/>
  <c r="DR21" i="4"/>
  <c r="DS21" i="4"/>
  <c r="DT21" i="4"/>
  <c r="DM20" i="4"/>
  <c r="DN20" i="4"/>
  <c r="DO20" i="4"/>
  <c r="DR20" i="4"/>
  <c r="DS20" i="4"/>
  <c r="DT20" i="4"/>
  <c r="DM19" i="4"/>
  <c r="DN19" i="4"/>
  <c r="DO19" i="4"/>
  <c r="DR19" i="4"/>
  <c r="DS19" i="4"/>
  <c r="DT19" i="4"/>
  <c r="DM18" i="4"/>
  <c r="DN18" i="4"/>
  <c r="DO18" i="4"/>
  <c r="DR18" i="4"/>
  <c r="DS18" i="4"/>
  <c r="DT18" i="4"/>
  <c r="DM17" i="4"/>
  <c r="DN17" i="4"/>
  <c r="DO17" i="4"/>
  <c r="DR17" i="4"/>
  <c r="DS17" i="4"/>
  <c r="DT17" i="4"/>
  <c r="DM16" i="4"/>
  <c r="DN16" i="4"/>
  <c r="DO16" i="4"/>
  <c r="DR16" i="4"/>
  <c r="DS16" i="4"/>
  <c r="DT16" i="4"/>
  <c r="DM15" i="4"/>
  <c r="DN15" i="4"/>
  <c r="DO15" i="4"/>
  <c r="DR15" i="4"/>
  <c r="DS15" i="4"/>
  <c r="DT15" i="4"/>
  <c r="DM14" i="4"/>
  <c r="DN14" i="4"/>
  <c r="DO14" i="4"/>
  <c r="DR14" i="4"/>
  <c r="DS14" i="4"/>
  <c r="DT14" i="4"/>
  <c r="DM13" i="4"/>
  <c r="DN13" i="4"/>
  <c r="DO13" i="4"/>
  <c r="DR13" i="4"/>
  <c r="DS13" i="4"/>
  <c r="DT13" i="4"/>
  <c r="DM12" i="4"/>
  <c r="DN12" i="4"/>
  <c r="DO12" i="4"/>
  <c r="DR12" i="4"/>
  <c r="DS12" i="4"/>
  <c r="DT12" i="4"/>
  <c r="DM11" i="4"/>
  <c r="DN11" i="4"/>
  <c r="DO11" i="4"/>
  <c r="DR11" i="4"/>
  <c r="DS11" i="4"/>
  <c r="DT11" i="4"/>
  <c r="DM10" i="4"/>
  <c r="DN10" i="4"/>
  <c r="DO10" i="4"/>
  <c r="DR10" i="4"/>
  <c r="DS10" i="4"/>
  <c r="DT10" i="4"/>
  <c r="DR9" i="4"/>
  <c r="DO9" i="4"/>
  <c r="DM9" i="4"/>
  <c r="DN9" i="4"/>
  <c r="DS9" i="4"/>
  <c r="DT9" i="4"/>
  <c r="DM8" i="4"/>
  <c r="DN8" i="4"/>
  <c r="DO8" i="4"/>
  <c r="DR8" i="4"/>
  <c r="DS8" i="4"/>
  <c r="DT8" i="4"/>
  <c r="DM7" i="4"/>
  <c r="DN7" i="4"/>
  <c r="DO7" i="4"/>
  <c r="DR7" i="4"/>
  <c r="DS7" i="4"/>
  <c r="DT7" i="4"/>
  <c r="DM6" i="4"/>
  <c r="DN6" i="4"/>
  <c r="DO6" i="4"/>
  <c r="DR6" i="4"/>
  <c r="DS6" i="4"/>
  <c r="DT6" i="4"/>
  <c r="DM5" i="4"/>
  <c r="DN5" i="4"/>
  <c r="DO5" i="4"/>
  <c r="DR5" i="4"/>
  <c r="DS5" i="4"/>
  <c r="DT5" i="4"/>
  <c r="DL4" i="4"/>
  <c r="DM4" i="4"/>
  <c r="DN4" i="4"/>
  <c r="DO4" i="4"/>
  <c r="DR4" i="4"/>
  <c r="DS4" i="4"/>
  <c r="DT4" i="4"/>
  <c r="M8" i="47" l="1"/>
  <c r="M8" i="36"/>
  <c r="M7" i="47"/>
  <c r="M7" i="36"/>
  <c r="M9" i="36"/>
  <c r="M9" i="47"/>
  <c r="J11" i="47"/>
  <c r="J11" i="36"/>
  <c r="K12" i="36"/>
  <c r="K12" i="47"/>
  <c r="J13" i="47"/>
  <c r="J13" i="36"/>
  <c r="J14" i="36"/>
  <c r="J14" i="47"/>
  <c r="J15" i="47"/>
  <c r="J15" i="36"/>
  <c r="J16" i="36"/>
  <c r="J16" i="47"/>
  <c r="J17" i="36"/>
  <c r="J17" i="47"/>
  <c r="K13" i="36"/>
  <c r="K13" i="47"/>
  <c r="J6" i="36"/>
  <c r="J6" i="47"/>
  <c r="K7" i="47"/>
  <c r="K7" i="36"/>
  <c r="J8" i="36"/>
  <c r="J8" i="47"/>
  <c r="K9" i="36"/>
  <c r="K9" i="47"/>
  <c r="H12" i="47"/>
  <c r="H12" i="36"/>
  <c r="K11" i="36"/>
  <c r="K11" i="47"/>
  <c r="K15" i="47"/>
  <c r="K15" i="36"/>
  <c r="DT129" i="4"/>
  <c r="K6" i="47"/>
  <c r="K98" i="47" s="1"/>
  <c r="K6" i="36"/>
  <c r="K8" i="47"/>
  <c r="K8" i="36"/>
  <c r="H11" i="47"/>
  <c r="H11" i="36"/>
  <c r="G12" i="36"/>
  <c r="G12" i="47"/>
  <c r="C12" i="47" s="1"/>
  <c r="H13" i="47"/>
  <c r="H13" i="36"/>
  <c r="H14" i="47"/>
  <c r="H14" i="36"/>
  <c r="H15" i="36"/>
  <c r="H15" i="47"/>
  <c r="H16" i="36"/>
  <c r="H16" i="47"/>
  <c r="H17" i="36"/>
  <c r="H17" i="47"/>
  <c r="J9" i="36"/>
  <c r="J9" i="47"/>
  <c r="K16" i="47"/>
  <c r="K16" i="36"/>
  <c r="H7" i="36"/>
  <c r="H7" i="47"/>
  <c r="H9" i="47"/>
  <c r="H9" i="36"/>
  <c r="G11" i="36"/>
  <c r="G11" i="47"/>
  <c r="C11" i="47" s="1"/>
  <c r="O12" i="36"/>
  <c r="R12" i="36" s="1"/>
  <c r="O12" i="47"/>
  <c r="G13" i="47"/>
  <c r="G13" i="36"/>
  <c r="C13" i="36" s="1"/>
  <c r="C112" i="36" s="1"/>
  <c r="G14" i="47"/>
  <c r="G14" i="36"/>
  <c r="C14" i="36" s="1"/>
  <c r="C113" i="36" s="1"/>
  <c r="G15" i="36"/>
  <c r="G15" i="47"/>
  <c r="G16" i="47"/>
  <c r="G16" i="36"/>
  <c r="G17" i="36"/>
  <c r="G17" i="47"/>
  <c r="M6" i="47"/>
  <c r="M6" i="36"/>
  <c r="H6" i="36"/>
  <c r="H6" i="47"/>
  <c r="G7" i="47"/>
  <c r="G7" i="36"/>
  <c r="C7" i="36" s="1"/>
  <c r="C106" i="36" s="1"/>
  <c r="H8" i="36"/>
  <c r="H8" i="47"/>
  <c r="G9" i="47"/>
  <c r="G9" i="36"/>
  <c r="C9" i="36" s="1"/>
  <c r="C108" i="36" s="1"/>
  <c r="O13" i="47"/>
  <c r="R13" i="47" s="1"/>
  <c r="O13" i="36"/>
  <c r="R13" i="36" s="1"/>
  <c r="O14" i="47"/>
  <c r="R14" i="47" s="1"/>
  <c r="O14" i="36"/>
  <c r="R14" i="36" s="1"/>
  <c r="O15" i="47"/>
  <c r="R15" i="47" s="1"/>
  <c r="O15" i="36"/>
  <c r="R15" i="36" s="1"/>
  <c r="O16" i="36"/>
  <c r="R16" i="36" s="1"/>
  <c r="O16" i="47"/>
  <c r="R16" i="47" s="1"/>
  <c r="O17" i="36"/>
  <c r="R17" i="36" s="1"/>
  <c r="O17" i="47"/>
  <c r="R17" i="47" s="1"/>
  <c r="J7" i="36"/>
  <c r="J7" i="47"/>
  <c r="N7" i="47" s="1"/>
  <c r="K17" i="47"/>
  <c r="K17" i="36"/>
  <c r="G6" i="36"/>
  <c r="C6" i="36" s="1"/>
  <c r="G6" i="47"/>
  <c r="G98" i="47" s="1"/>
  <c r="G8" i="47"/>
  <c r="G8" i="36"/>
  <c r="C8" i="36" s="1"/>
  <c r="C107" i="36" s="1"/>
  <c r="M12" i="36"/>
  <c r="M12" i="47"/>
  <c r="K14" i="36"/>
  <c r="K14" i="47"/>
  <c r="M11" i="36"/>
  <c r="M11" i="47"/>
  <c r="J12" i="47"/>
  <c r="J12" i="36"/>
  <c r="M13" i="36"/>
  <c r="M13" i="47"/>
  <c r="M14" i="36"/>
  <c r="M14" i="47"/>
  <c r="M15" i="47"/>
  <c r="M15" i="36"/>
  <c r="M16" i="47"/>
  <c r="M16" i="36"/>
  <c r="N16" i="36" s="1"/>
  <c r="M17" i="36"/>
  <c r="M17" i="47"/>
  <c r="N8" i="36"/>
  <c r="N10" i="36"/>
  <c r="S10" i="36" s="1"/>
  <c r="Y10" i="36" s="1"/>
  <c r="DT126" i="4"/>
  <c r="DN127" i="4"/>
  <c r="K19" i="36"/>
  <c r="N19" i="36" s="1"/>
  <c r="DK129" i="4"/>
  <c r="H19" i="36"/>
  <c r="DS129" i="4"/>
  <c r="C19" i="36"/>
  <c r="C118" i="36" s="1"/>
  <c r="C10" i="36"/>
  <c r="C109" i="36" s="1"/>
  <c r="C12" i="36"/>
  <c r="C111" i="36" s="1"/>
  <c r="DM128" i="4"/>
  <c r="DO129" i="4"/>
  <c r="DU130" i="4"/>
  <c r="DM129" i="4"/>
  <c r="DO131" i="4"/>
  <c r="DM131" i="4"/>
  <c r="DN129" i="4"/>
  <c r="DL129" i="4"/>
  <c r="DR130" i="4"/>
  <c r="DM127" i="4"/>
  <c r="DL128" i="4"/>
  <c r="DO130" i="4"/>
  <c r="J19" i="47"/>
  <c r="J99" i="47" s="1"/>
  <c r="DR131" i="4"/>
  <c r="DR126" i="4"/>
  <c r="DL127" i="4"/>
  <c r="DN130" i="4"/>
  <c r="M19" i="47"/>
  <c r="M99" i="47" s="1"/>
  <c r="DS131" i="4"/>
  <c r="DO126" i="4"/>
  <c r="DK126" i="4"/>
  <c r="DK128" i="4"/>
  <c r="DM130" i="4"/>
  <c r="DT127" i="4"/>
  <c r="DT128" i="4"/>
  <c r="DL130" i="4"/>
  <c r="DN126" i="4"/>
  <c r="DM126" i="4"/>
  <c r="DS127" i="4"/>
  <c r="DS128" i="4"/>
  <c r="DK130" i="4"/>
  <c r="DL131" i="4"/>
  <c r="DS126" i="4"/>
  <c r="DL126" i="4"/>
  <c r="DR127" i="4"/>
  <c r="DR128" i="4"/>
  <c r="DT130" i="4"/>
  <c r="O19" i="47"/>
  <c r="O99" i="47" s="1"/>
  <c r="DU131" i="4"/>
  <c r="DK131" i="4"/>
  <c r="DO127" i="4"/>
  <c r="DN128" i="4"/>
  <c r="DK127" i="4"/>
  <c r="DR129" i="4"/>
  <c r="DS130" i="4"/>
  <c r="DO128" i="4"/>
  <c r="DT131" i="4"/>
  <c r="G21" i="47"/>
  <c r="C21" i="47" s="1"/>
  <c r="G19" i="47"/>
  <c r="H21" i="47"/>
  <c r="H23" i="47"/>
  <c r="K19" i="47"/>
  <c r="S24" i="47"/>
  <c r="Y24" i="47" s="1"/>
  <c r="G22" i="47"/>
  <c r="C22" i="47" s="1"/>
  <c r="G23" i="47"/>
  <c r="C23" i="47" s="1"/>
  <c r="K20" i="47"/>
  <c r="N20" i="47" s="1"/>
  <c r="H19" i="47"/>
  <c r="H99" i="47" s="1"/>
  <c r="K21" i="47"/>
  <c r="N21" i="47" s="1"/>
  <c r="H20" i="47"/>
  <c r="K22" i="47"/>
  <c r="N22" i="47" s="1"/>
  <c r="K23" i="47"/>
  <c r="N23" i="47" s="1"/>
  <c r="G20" i="47"/>
  <c r="H22" i="47"/>
  <c r="J20" i="36"/>
  <c r="O22" i="36"/>
  <c r="R22" i="36" s="1"/>
  <c r="J21" i="36"/>
  <c r="O23" i="36"/>
  <c r="R23" i="36" s="1"/>
  <c r="J22" i="36"/>
  <c r="M21" i="36"/>
  <c r="O20" i="36"/>
  <c r="J23" i="36"/>
  <c r="O21" i="36"/>
  <c r="R21" i="36" s="1"/>
  <c r="M23" i="36"/>
  <c r="C24" i="36"/>
  <c r="C123" i="36" s="1"/>
  <c r="H23" i="36"/>
  <c r="H20" i="36"/>
  <c r="K21" i="36"/>
  <c r="K22" i="36"/>
  <c r="M20" i="36"/>
  <c r="H22" i="36"/>
  <c r="K23" i="36"/>
  <c r="N24" i="36" s="1"/>
  <c r="S24" i="36" s="1"/>
  <c r="H21" i="36"/>
  <c r="K20" i="36"/>
  <c r="M22" i="36"/>
  <c r="DZ29" i="4"/>
  <c r="DG131" i="4"/>
  <c r="DI50" i="4"/>
  <c r="EC50" i="4" s="1"/>
  <c r="DI45" i="4"/>
  <c r="EC45" i="4" s="1"/>
  <c r="DZ33" i="4"/>
  <c r="DZ32" i="4"/>
  <c r="DZ53" i="4"/>
  <c r="DI63" i="4"/>
  <c r="EC63" i="4" s="1"/>
  <c r="DZ66" i="4"/>
  <c r="DI4" i="4"/>
  <c r="DI12" i="4"/>
  <c r="EC12" i="4" s="1"/>
  <c r="DI13" i="4"/>
  <c r="EC13" i="4" s="1"/>
  <c r="DZ28" i="4"/>
  <c r="DZ24" i="4"/>
  <c r="DZ31" i="4"/>
  <c r="DZ36" i="4"/>
  <c r="DI32" i="4"/>
  <c r="EC32" i="4" s="1"/>
  <c r="DI44" i="4"/>
  <c r="EC44" i="4" s="1"/>
  <c r="DI66" i="4"/>
  <c r="EC66" i="4" s="1"/>
  <c r="DI46" i="4"/>
  <c r="EC46" i="4" s="1"/>
  <c r="DI53" i="4"/>
  <c r="DI33" i="4"/>
  <c r="EC33" i="4" s="1"/>
  <c r="DZ25" i="4"/>
  <c r="DX66" i="4"/>
  <c r="DX67" i="4"/>
  <c r="DI7" i="4"/>
  <c r="EC7" i="4" s="1"/>
  <c r="DI39" i="4"/>
  <c r="EC39" i="4" s="1"/>
  <c r="DI40" i="4"/>
  <c r="DI65" i="4"/>
  <c r="EC65" i="4" s="1"/>
  <c r="DI16" i="4"/>
  <c r="DI8" i="4"/>
  <c r="EC8" i="4" s="1"/>
  <c r="DI11" i="4"/>
  <c r="EC11" i="4" s="1"/>
  <c r="DI5" i="4"/>
  <c r="EC5" i="4" s="1"/>
  <c r="DI9" i="4"/>
  <c r="EC9" i="4" s="1"/>
  <c r="DI17" i="4"/>
  <c r="EC17" i="4" s="1"/>
  <c r="DI21" i="4"/>
  <c r="EC21" i="4" s="1"/>
  <c r="DI22" i="4"/>
  <c r="EC22" i="4" s="1"/>
  <c r="DI18" i="4"/>
  <c r="EC18" i="4" s="1"/>
  <c r="DZ11" i="4"/>
  <c r="DI14" i="4"/>
  <c r="EC14" i="4" s="1"/>
  <c r="DI6" i="4"/>
  <c r="EC6" i="4" s="1"/>
  <c r="DI10" i="4"/>
  <c r="EC10" i="4" s="1"/>
  <c r="DI20" i="4"/>
  <c r="EC20" i="4" s="1"/>
  <c r="DI15" i="4"/>
  <c r="DZ38" i="4"/>
  <c r="DX53" i="4"/>
  <c r="DZ8" i="4"/>
  <c r="DI19" i="4"/>
  <c r="EC19" i="4" s="1"/>
  <c r="DZ18" i="4"/>
  <c r="DX22" i="4"/>
  <c r="DZ41" i="4"/>
  <c r="DZ44" i="4"/>
  <c r="DI47" i="4"/>
  <c r="EC47" i="4" s="1"/>
  <c r="DZ49" i="4"/>
  <c r="DI51" i="4"/>
  <c r="EC51" i="4" s="1"/>
  <c r="DI54" i="4"/>
  <c r="EC54" i="4" s="1"/>
  <c r="DI68" i="4"/>
  <c r="EC68" i="4" s="1"/>
  <c r="DZ67" i="4"/>
  <c r="DZ43" i="4"/>
  <c r="DI52" i="4"/>
  <c r="DI67" i="4"/>
  <c r="EC67" i="4" s="1"/>
  <c r="DX21" i="4"/>
  <c r="DZ26" i="4"/>
  <c r="EC29" i="4"/>
  <c r="DI35" i="4"/>
  <c r="EC35" i="4" s="1"/>
  <c r="DI37" i="4"/>
  <c r="EC37" i="4" s="1"/>
  <c r="DI38" i="4"/>
  <c r="EC38" i="4" s="1"/>
  <c r="DZ21" i="4"/>
  <c r="DI23" i="4"/>
  <c r="EC23" i="4" s="1"/>
  <c r="DX8" i="4"/>
  <c r="DZ15" i="4"/>
  <c r="DZ30" i="4"/>
  <c r="EC30" i="4"/>
  <c r="DI31" i="4"/>
  <c r="EC31" i="4" s="1"/>
  <c r="DI42" i="4"/>
  <c r="EC42" i="4" s="1"/>
  <c r="DI43" i="4"/>
  <c r="EC43" i="4" s="1"/>
  <c r="DZ48" i="4"/>
  <c r="DX54" i="4"/>
  <c r="DI59" i="4"/>
  <c r="EC59" i="4" s="1"/>
  <c r="DI60" i="4"/>
  <c r="EC60" i="4" s="1"/>
  <c r="DI41" i="4"/>
  <c r="EC41" i="4" s="1"/>
  <c r="DI49" i="4"/>
  <c r="EC49" i="4" s="1"/>
  <c r="DZ50" i="4"/>
  <c r="DI55" i="4"/>
  <c r="EC55" i="4" s="1"/>
  <c r="DZ59" i="4"/>
  <c r="DZ61" i="4"/>
  <c r="DI48" i="4"/>
  <c r="EC48" i="4" s="1"/>
  <c r="DZ54" i="4"/>
  <c r="DI62" i="4"/>
  <c r="EC62" i="4" s="1"/>
  <c r="DX41" i="4"/>
  <c r="DI57" i="4"/>
  <c r="DX19" i="4"/>
  <c r="DX25" i="4"/>
  <c r="DZ22" i="4"/>
  <c r="DZ23" i="4"/>
  <c r="DX47" i="4"/>
  <c r="DX31" i="4"/>
  <c r="DZ17" i="4"/>
  <c r="DZ37" i="4"/>
  <c r="DX18" i="4"/>
  <c r="DZ19" i="4"/>
  <c r="DX55" i="4"/>
  <c r="DX6" i="4"/>
  <c r="DZ35" i="4"/>
  <c r="DZ42" i="4"/>
  <c r="DX45" i="4"/>
  <c r="DX46" i="4"/>
  <c r="DX49" i="4"/>
  <c r="DZ27" i="4"/>
  <c r="DI27" i="4"/>
  <c r="EC27" i="4" s="1"/>
  <c r="DX32" i="4"/>
  <c r="DZ6" i="4"/>
  <c r="DZ16" i="4"/>
  <c r="DX26" i="4"/>
  <c r="DX51" i="4"/>
  <c r="DX5" i="4"/>
  <c r="DX11" i="4"/>
  <c r="DZ20" i="4"/>
  <c r="DX28" i="4"/>
  <c r="DX50" i="4"/>
  <c r="DZ45" i="4"/>
  <c r="DZ62" i="4"/>
  <c r="DI24" i="4"/>
  <c r="EC24" i="4" s="1"/>
  <c r="DZ52" i="4"/>
  <c r="DX34" i="4"/>
  <c r="DX39" i="4"/>
  <c r="DZ46" i="4"/>
  <c r="DX48" i="4"/>
  <c r="DX58" i="4"/>
  <c r="DI58" i="4"/>
  <c r="EC58" i="4" s="1"/>
  <c r="DX64" i="4"/>
  <c r="DZ34" i="4"/>
  <c r="DX57" i="4"/>
  <c r="DZ58" i="4"/>
  <c r="DX40" i="4"/>
  <c r="DZ40" i="4"/>
  <c r="DX44" i="4"/>
  <c r="DZ57" i="4"/>
  <c r="DI64" i="4"/>
  <c r="DZ68" i="4"/>
  <c r="DX65" i="4"/>
  <c r="DZ39" i="4"/>
  <c r="DX52" i="4"/>
  <c r="DZ64" i="4"/>
  <c r="DZ47" i="4"/>
  <c r="DZ55" i="4"/>
  <c r="DZ63" i="4"/>
  <c r="DI34" i="4"/>
  <c r="EC34" i="4" s="1"/>
  <c r="DZ51" i="4"/>
  <c r="DZ60" i="4"/>
  <c r="DI61" i="4"/>
  <c r="EC61" i="4" s="1"/>
  <c r="DZ65" i="4"/>
  <c r="DX68" i="4"/>
  <c r="DX62" i="4"/>
  <c r="DX29" i="4"/>
  <c r="DZ7" i="4"/>
  <c r="DX13" i="4"/>
  <c r="DX20" i="4"/>
  <c r="DX24" i="4"/>
  <c r="DI28" i="4"/>
  <c r="DX27" i="4"/>
  <c r="DX23" i="4"/>
  <c r="DX38" i="4"/>
  <c r="DX4" i="4"/>
  <c r="DZ10" i="4"/>
  <c r="DZ12" i="4"/>
  <c r="DZ13" i="4"/>
  <c r="DX63" i="4"/>
  <c r="DX17" i="4"/>
  <c r="DI25" i="4"/>
  <c r="EC25" i="4" s="1"/>
  <c r="DX42" i="4"/>
  <c r="DX61" i="4"/>
  <c r="DI36" i="4"/>
  <c r="EC36" i="4" s="1"/>
  <c r="DI26" i="4"/>
  <c r="EC26" i="4" s="1"/>
  <c r="DX16" i="4"/>
  <c r="DZ9" i="4"/>
  <c r="DX9" i="4"/>
  <c r="DZ4" i="4"/>
  <c r="DZ5" i="4"/>
  <c r="DX7" i="4"/>
  <c r="DX10" i="4"/>
  <c r="DZ14" i="4"/>
  <c r="DX12" i="4"/>
  <c r="DX14" i="4"/>
  <c r="DX15" i="4"/>
  <c r="DX36" i="4"/>
  <c r="DX37" i="4"/>
  <c r="DX43" i="4"/>
  <c r="DX30" i="4"/>
  <c r="DX33" i="4"/>
  <c r="DX35" i="4"/>
  <c r="DX60" i="4"/>
  <c r="DX59" i="4"/>
  <c r="J98" i="47" l="1"/>
  <c r="O98" i="47"/>
  <c r="K99" i="47"/>
  <c r="C19" i="47"/>
  <c r="G99" i="47"/>
  <c r="M98" i="47"/>
  <c r="H98" i="47"/>
  <c r="N13" i="36"/>
  <c r="S13" i="36" s="1"/>
  <c r="Y13" i="36" s="1"/>
  <c r="N9" i="36"/>
  <c r="N7" i="36"/>
  <c r="N12" i="36"/>
  <c r="S12" i="36" s="1"/>
  <c r="Y12" i="36" s="1"/>
  <c r="N15" i="36"/>
  <c r="S15" i="36" s="1"/>
  <c r="Y15" i="36" s="1"/>
  <c r="M98" i="36"/>
  <c r="J98" i="36"/>
  <c r="N15" i="47"/>
  <c r="S15" i="47" s="1"/>
  <c r="Y15" i="47" s="1"/>
  <c r="N11" i="47"/>
  <c r="S11" i="47" s="1"/>
  <c r="Y11" i="47" s="1"/>
  <c r="N14" i="36"/>
  <c r="S14" i="36" s="1"/>
  <c r="Y14" i="36" s="1"/>
  <c r="S7" i="36"/>
  <c r="Y7" i="36" s="1"/>
  <c r="O98" i="36"/>
  <c r="N17" i="36"/>
  <c r="S17" i="36" s="1"/>
  <c r="Y17" i="36" s="1"/>
  <c r="N14" i="47"/>
  <c r="S14" i="47" s="1"/>
  <c r="Y14" i="47" s="1"/>
  <c r="N6" i="36"/>
  <c r="S6" i="36" s="1"/>
  <c r="Y6" i="36" s="1"/>
  <c r="C11" i="36"/>
  <c r="C110" i="36" s="1"/>
  <c r="N6" i="47"/>
  <c r="N11" i="36"/>
  <c r="S11" i="36" s="1"/>
  <c r="Y11" i="36" s="1"/>
  <c r="C9" i="47"/>
  <c r="C14" i="47"/>
  <c r="R98" i="36"/>
  <c r="C17" i="47"/>
  <c r="S9" i="36"/>
  <c r="Y9" i="36" s="1"/>
  <c r="N12" i="47"/>
  <c r="S12" i="47" s="1"/>
  <c r="Y12" i="47" s="1"/>
  <c r="C8" i="47"/>
  <c r="C13" i="47"/>
  <c r="N8" i="47"/>
  <c r="S8" i="47" s="1"/>
  <c r="Y8" i="47" s="1"/>
  <c r="N17" i="47"/>
  <c r="S17" i="47" s="1"/>
  <c r="Y17" i="47" s="1"/>
  <c r="C6" i="47"/>
  <c r="R12" i="47"/>
  <c r="R98" i="47" s="1"/>
  <c r="N13" i="47"/>
  <c r="S13" i="47" s="1"/>
  <c r="Y13" i="47" s="1"/>
  <c r="C7" i="47"/>
  <c r="S7" i="47"/>
  <c r="Y7" i="47" s="1"/>
  <c r="C16" i="47"/>
  <c r="N16" i="47"/>
  <c r="S16" i="47" s="1"/>
  <c r="Y16" i="47" s="1"/>
  <c r="C15" i="47"/>
  <c r="N9" i="47"/>
  <c r="S9" i="47" s="1"/>
  <c r="Y9" i="47" s="1"/>
  <c r="S8" i="36"/>
  <c r="Y8" i="36" s="1"/>
  <c r="K98" i="36"/>
  <c r="S19" i="36"/>
  <c r="Y19" i="36" s="1"/>
  <c r="C15" i="36"/>
  <c r="C114" i="36" s="1"/>
  <c r="G98" i="36"/>
  <c r="S16" i="36"/>
  <c r="Y16" i="36" s="1"/>
  <c r="C16" i="36"/>
  <c r="C115" i="36" s="1"/>
  <c r="C105" i="36"/>
  <c r="H98" i="36"/>
  <c r="C17" i="36"/>
  <c r="C116" i="36" s="1"/>
  <c r="K99" i="36"/>
  <c r="M99" i="36"/>
  <c r="G99" i="36"/>
  <c r="H99" i="36"/>
  <c r="O99" i="36"/>
  <c r="J99" i="36"/>
  <c r="R20" i="36"/>
  <c r="R99" i="36" s="1"/>
  <c r="N19" i="47"/>
  <c r="N99" i="47" s="1"/>
  <c r="R19" i="47"/>
  <c r="R99" i="47" s="1"/>
  <c r="DI131" i="4"/>
  <c r="DX131" i="4"/>
  <c r="DX126" i="4"/>
  <c r="DZ130" i="4"/>
  <c r="EC52" i="4"/>
  <c r="DI130" i="4"/>
  <c r="DI129" i="4"/>
  <c r="EC4" i="4"/>
  <c r="DI126" i="4"/>
  <c r="DZ127" i="4"/>
  <c r="DI128" i="4"/>
  <c r="DZ131" i="4"/>
  <c r="DZ129" i="4"/>
  <c r="DX130" i="4"/>
  <c r="DZ126" i="4"/>
  <c r="DX129" i="4"/>
  <c r="DI127" i="4"/>
  <c r="DX127" i="4"/>
  <c r="DX128" i="4"/>
  <c r="DZ128" i="4"/>
  <c r="S21" i="47"/>
  <c r="Y21" i="47" s="1"/>
  <c r="S23" i="47"/>
  <c r="Y23" i="47" s="1"/>
  <c r="S22" i="47"/>
  <c r="Y22" i="47" s="1"/>
  <c r="C20" i="47"/>
  <c r="S20" i="47"/>
  <c r="Y20" i="47" s="1"/>
  <c r="N23" i="36"/>
  <c r="S23" i="36" s="1"/>
  <c r="N21" i="36"/>
  <c r="S21" i="36" s="1"/>
  <c r="N20" i="36"/>
  <c r="N22" i="36"/>
  <c r="S22" i="36" s="1"/>
  <c r="EC40" i="4"/>
  <c r="EC129" i="4" s="1"/>
  <c r="EC28" i="4"/>
  <c r="EC128" i="4" s="1"/>
  <c r="EC16" i="4"/>
  <c r="EC127" i="4" s="1"/>
  <c r="EC53" i="4"/>
  <c r="C21" i="36"/>
  <c r="C120" i="36" s="1"/>
  <c r="C22" i="36"/>
  <c r="C121" i="36" s="1"/>
  <c r="C20" i="36"/>
  <c r="C119" i="36" s="1"/>
  <c r="C23" i="36"/>
  <c r="C122" i="36" s="1"/>
  <c r="EC57" i="4"/>
  <c r="EC64" i="4"/>
  <c r="EC131" i="4" s="1"/>
  <c r="EC15" i="4"/>
  <c r="N98" i="47" l="1"/>
  <c r="C99" i="47"/>
  <c r="C98" i="47"/>
  <c r="N98" i="36"/>
  <c r="S6" i="47"/>
  <c r="S98" i="47" s="1"/>
  <c r="S98" i="36"/>
  <c r="Y98" i="36"/>
  <c r="C98" i="36"/>
  <c r="S19" i="47"/>
  <c r="S99" i="47" s="1"/>
  <c r="C99" i="36"/>
  <c r="N99" i="36"/>
  <c r="S20" i="36"/>
  <c r="S99" i="36" s="1"/>
  <c r="EC130" i="4"/>
  <c r="EC126" i="4"/>
  <c r="Y24" i="36"/>
  <c r="Y6" i="47" l="1"/>
  <c r="Y98" i="47" s="1"/>
  <c r="Y19" i="47"/>
  <c r="Y99" i="47" s="1"/>
  <c r="Y21" i="36"/>
  <c r="Y22" i="36"/>
  <c r="Y23" i="36"/>
  <c r="Y20" i="36"/>
  <c r="Y99" i="36" l="1"/>
  <c r="Y175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imadmin</author>
  </authors>
  <commentList>
    <comment ref="DK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11 21 22 29 18 28 23</t>
        </r>
      </text>
    </comment>
    <comment ref="DL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31 51 41 61 40 60 42 62 39 49 38 58 48 68 43 63</t>
        </r>
      </text>
    </comment>
    <comment ref="DM2" authorId="1" shapeId="0" xr:uid="{00000000-0006-0000-0000-000003000000}">
      <text>
        <r>
          <rPr>
            <sz val="8"/>
            <color indexed="81"/>
            <rFont val="Tahoma"/>
            <family val="2"/>
          </rPr>
          <t>023</t>
        </r>
      </text>
    </comment>
    <comment ref="DN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
43 63 53 55 56 57
</t>
        </r>
      </text>
    </comment>
  </commentList>
</comments>
</file>

<file path=xl/sharedStrings.xml><?xml version="1.0" encoding="utf-8"?>
<sst xmlns="http://schemas.openxmlformats.org/spreadsheetml/2006/main" count="590" uniqueCount="385">
  <si>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</si>
  <si>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</si>
  <si>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</si>
  <si>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</si>
  <si>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</si>
  <si>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</si>
  <si>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</si>
  <si>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</si>
  <si>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</si>
  <si>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</si>
  <si>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</si>
  <si>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012</t>
  </si>
  <si>
    <t>018</t>
  </si>
  <si>
    <t>020</t>
  </si>
  <si>
    <t>021</t>
  </si>
  <si>
    <t>022</t>
  </si>
  <si>
    <t>023</t>
  </si>
  <si>
    <t>028</t>
  </si>
  <si>
    <t>029</t>
  </si>
  <si>
    <t>031</t>
  </si>
  <si>
    <t>032</t>
  </si>
  <si>
    <t>038</t>
  </si>
  <si>
    <t>039</t>
  </si>
  <si>
    <t>040</t>
  </si>
  <si>
    <t>041</t>
  </si>
  <si>
    <t>042</t>
  </si>
  <si>
    <t>043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</si>
  <si>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</si>
  <si>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</si>
  <si>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</si>
  <si>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</si>
  <si>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</si>
  <si>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</si>
  <si>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</si>
  <si>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</si>
  <si>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</si>
  <si>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</si>
  <si>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</si>
  <si>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</si>
  <si>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</si>
  <si>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</si>
  <si>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</si>
  <si>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066</t>
  </si>
  <si>
    <t>068</t>
  </si>
  <si>
    <t>071A</t>
  </si>
  <si>
    <t>071C</t>
  </si>
  <si>
    <t>072</t>
  </si>
  <si>
    <t>073A</t>
  </si>
  <si>
    <t>073C</t>
  </si>
  <si>
    <t>074</t>
  </si>
  <si>
    <t>075</t>
  </si>
  <si>
    <t>076</t>
  </si>
  <si>
    <t>078</t>
  </si>
  <si>
    <t>079</t>
  </si>
  <si>
    <t>080</t>
  </si>
  <si>
    <t>081A</t>
  </si>
  <si>
    <t>081C</t>
  </si>
  <si>
    <t>082</t>
  </si>
  <si>
    <t>083A</t>
  </si>
  <si>
    <t>083C</t>
  </si>
  <si>
    <t>085</t>
  </si>
  <si>
    <t>086</t>
  </si>
  <si>
    <t>088</t>
  </si>
  <si>
    <t>089</t>
  </si>
  <si>
    <t>090</t>
  </si>
  <si>
    <t>091A</t>
  </si>
  <si>
    <t>091C</t>
  </si>
  <si>
    <t>092</t>
  </si>
  <si>
    <t>093</t>
  </si>
  <si>
    <t>094</t>
  </si>
  <si>
    <t>096</t>
  </si>
  <si>
    <t>097</t>
  </si>
  <si>
    <t>098</t>
  </si>
  <si>
    <t>099</t>
  </si>
  <si>
    <t>214</t>
  </si>
  <si>
    <t>215</t>
  </si>
  <si>
    <t>216</t>
  </si>
  <si>
    <t>401</t>
  </si>
  <si>
    <t>919</t>
  </si>
  <si>
    <t>404</t>
  </si>
  <si>
    <t>Aged, Blind &amp; Disabled</t>
  </si>
  <si>
    <t>Medicaid Population (incl Medicaid Exp PD94)</t>
  </si>
  <si>
    <t>PW</t>
  </si>
  <si>
    <t>FAMIS</t>
  </si>
  <si>
    <t>Aged</t>
  </si>
  <si>
    <t>B&amp;D</t>
  </si>
  <si>
    <t>Low-Income Children</t>
  </si>
  <si>
    <t>Low-Income Adults</t>
  </si>
  <si>
    <t>Pregnant Women</t>
  </si>
  <si>
    <t>Foster Care Children</t>
  </si>
  <si>
    <t>Medicaid Population (Title XIX only)</t>
  </si>
  <si>
    <t>31-68</t>
  </si>
  <si>
    <t>11-29</t>
  </si>
  <si>
    <t>FC</t>
  </si>
  <si>
    <t>TOTAL</t>
  </si>
  <si>
    <t>FP Waiver</t>
  </si>
  <si>
    <t>Adults</t>
  </si>
  <si>
    <t>Total Enrollment</t>
  </si>
  <si>
    <t>Children</t>
  </si>
  <si>
    <t>Title XXI - CHIP Population</t>
  </si>
  <si>
    <t>Title XIX &amp; XXI</t>
  </si>
  <si>
    <t>TDO</t>
  </si>
  <si>
    <t>Low-Income Adults and Children</t>
  </si>
  <si>
    <t>Annual Average Monthly Enrollment</t>
  </si>
  <si>
    <t>QMBs
(Limited Benefit)</t>
  </si>
  <si>
    <t>Current MCO Enrollment Percentage</t>
  </si>
  <si>
    <t>Caretaker Adults</t>
  </si>
  <si>
    <t>QMBs - B&amp;D</t>
  </si>
  <si>
    <t>QMBs - Aged</t>
  </si>
  <si>
    <t>SFY2015</t>
  </si>
  <si>
    <t>024</t>
  </si>
  <si>
    <t>025</t>
  </si>
  <si>
    <t>044</t>
  </si>
  <si>
    <t>045</t>
  </si>
  <si>
    <t>010</t>
  </si>
  <si>
    <t>LTC: Waiver</t>
  </si>
  <si>
    <t>LTC: PACE</t>
  </si>
  <si>
    <t>LTC &amp; Non-LTC</t>
  </si>
  <si>
    <t>Aged, Blind, and Disabled</t>
  </si>
  <si>
    <t>035</t>
  </si>
  <si>
    <t>064</t>
  </si>
  <si>
    <t>065</t>
  </si>
  <si>
    <t>067</t>
  </si>
  <si>
    <t>070</t>
  </si>
  <si>
    <t>077</t>
  </si>
  <si>
    <t>35, 91a, 97</t>
  </si>
  <si>
    <t>084</t>
  </si>
  <si>
    <t>80,84</t>
  </si>
  <si>
    <t>72, 74, 76, 77, 86</t>
  </si>
  <si>
    <t>FAMM</t>
  </si>
  <si>
    <t>FAMK</t>
  </si>
  <si>
    <t>AGED</t>
  </si>
  <si>
    <t>QMBA</t>
  </si>
  <si>
    <t>BD</t>
  </si>
  <si>
    <t>QMBD</t>
  </si>
  <si>
    <t>QIs</t>
  </si>
  <si>
    <t>LICh</t>
  </si>
  <si>
    <t>LICA</t>
  </si>
  <si>
    <t>REFG</t>
  </si>
  <si>
    <t>FAMP</t>
  </si>
  <si>
    <t>Family Planning 
(Limited Benefit)</t>
  </si>
  <si>
    <t>014</t>
  </si>
  <si>
    <t>087</t>
  </si>
  <si>
    <t>109C</t>
  </si>
  <si>
    <t>109A</t>
  </si>
  <si>
    <t>SFY2016</t>
  </si>
  <si>
    <t>Medicaid Crossover 
(Age 6-19 
109-143% FPL)</t>
  </si>
  <si>
    <t>FAMIS 
(Age 0-19 
143-200% FPL)</t>
  </si>
  <si>
    <t>SFY2017</t>
  </si>
  <si>
    <t>SFY2018</t>
  </si>
  <si>
    <t>100</t>
  </si>
  <si>
    <t>101</t>
  </si>
  <si>
    <t>102</t>
  </si>
  <si>
    <t>103</t>
  </si>
  <si>
    <t>106</t>
  </si>
  <si>
    <t>108</t>
  </si>
  <si>
    <t>Adults (non-disabled) &amp; Children</t>
  </si>
  <si>
    <t>ACA-Expansion Childless Adults</t>
  </si>
  <si>
    <t>ACA-Expansion Caretaker Adults</t>
  </si>
  <si>
    <t>ACA Expansion</t>
  </si>
  <si>
    <t>Childless Adults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</si>
  <si>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</si>
  <si>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</si>
  <si>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</si>
  <si>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</si>
  <si>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</si>
  <si>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</si>
  <si>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</si>
  <si>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</si>
  <si>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</si>
  <si>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</si>
  <si>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</si>
  <si>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</si>
  <si>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SFY20</t>
  </si>
  <si>
    <t>Jul 2020</t>
  </si>
  <si>
    <t>Aug 2020</t>
  </si>
  <si>
    <t>SFY2019</t>
  </si>
  <si>
    <t>SFY2020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</si>
  <si>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</si>
  <si>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</si>
  <si>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</si>
  <si>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</si>
  <si>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</si>
  <si>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</si>
  <si>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</si>
  <si>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</si>
  <si>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</si>
  <si>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</si>
  <si>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SFY21</t>
  </si>
  <si>
    <t>SFY22</t>
  </si>
  <si>
    <t>Jul 2021</t>
  </si>
  <si>
    <t>Aug 2021</t>
  </si>
  <si>
    <t>SFY2021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</si>
  <si>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</si>
  <si>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</si>
  <si>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</si>
  <si>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</si>
  <si>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</si>
  <si>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</si>
  <si>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</si>
  <si>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</si>
  <si>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</si>
  <si>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</si>
  <si>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</si>
  <si>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110</t>
  </si>
  <si>
    <t>111</t>
  </si>
  <si>
    <t>112A</t>
  </si>
  <si>
    <t>112C</t>
  </si>
  <si>
    <t>113A</t>
  </si>
  <si>
    <t>113C</t>
  </si>
  <si>
    <t>Aug 2022</t>
  </si>
  <si>
    <t>SFY2022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</si>
  <si>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</si>
  <si>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</si>
  <si>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</si>
  <si>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</si>
  <si>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</si>
  <si>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</si>
  <si>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</si>
  <si>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</si>
  <si>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</si>
  <si>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</si>
  <si>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</si>
  <si>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SFY23</t>
  </si>
  <si>
    <t>Aug 2023</t>
  </si>
  <si>
    <t>SFY2023</t>
  </si>
  <si>
    <t>Sep 2023</t>
  </si>
  <si>
    <t>SFY2024</t>
  </si>
  <si>
    <t>Oct 2023</t>
  </si>
  <si>
    <t>Nov 2023</t>
  </si>
  <si>
    <t>Limited Benefit DOC and Emer Services</t>
  </si>
  <si>
    <t>100, 101</t>
  </si>
  <si>
    <t xml:space="preserve">Pre-Natal Coverage    </t>
  </si>
  <si>
    <t xml:space="preserve">FAMIS      MOMS           </t>
  </si>
  <si>
    <t>Dec 2023</t>
  </si>
  <si>
    <t>Jan 2024</t>
  </si>
  <si>
    <t>Feb 2024</t>
  </si>
  <si>
    <t>MCHIP</t>
  </si>
  <si>
    <t>Feb 2025</t>
  </si>
  <si>
    <t>Mar 2024</t>
  </si>
  <si>
    <t>PRENATAL</t>
  </si>
  <si>
    <t>FAMIS Moms Pregnant Woman, Income &gt; 133% FPL &amp; &lt;= 166% FPL</t>
  </si>
  <si>
    <t>FAMIS Child under age 6, income &gt;150% poverty and &lt;=200% poverty.</t>
  </si>
  <si>
    <t>FAMIS Child 6-19 years old, income &gt;150% poverty and &lt;=200% poverty.</t>
  </si>
  <si>
    <t>FAMIS Child under age 6, income&gt;133% poverty and &lt;=150% poverty.</t>
  </si>
  <si>
    <t>FAMIS Child 6-19 years old, income&gt;133% poverty and &lt;=150% poverty</t>
  </si>
  <si>
    <t>FAMIS Deemed Newborn &lt;1 year old</t>
  </si>
  <si>
    <t>Aged SSI Recipient - Includes Dually Eligible QMB</t>
  </si>
  <si>
    <t>Aged AG Recipient - Includes Dually Eligible QMB</t>
  </si>
  <si>
    <t>MN Aged; December 1973 Individual ; Not Also QMB</t>
  </si>
  <si>
    <t xml:space="preserve">FAMIS DEEMED NEWBORN ABOVE 150% FPL   </t>
  </si>
  <si>
    <t>Aged - Protected Covered individual; Former Money Payment Recipient - August 1972; Former SSI/AG Recipient; Protected Widow(er); Qualified Severely Disabled Individual; Protected Adult Disabled Child.</t>
  </si>
  <si>
    <t>Aged - QMB Only</t>
  </si>
  <si>
    <t>M/N-Aged SLMB Plus</t>
  </si>
  <si>
    <t>300% SSI Aged SLMB Plus</t>
  </si>
  <si>
    <t>MN Aged Individual - December 1973 Individual; Dually Eligible QMB</t>
  </si>
  <si>
    <t>Aged, 80% FPL Group. Includes Dually Eligible QMB.</t>
  </si>
  <si>
    <t>Blind SSI Recipient - Includes Dually Eligible QMB.</t>
  </si>
  <si>
    <t>Blind AG Recipient - Includes Dually Eligible QMB.</t>
  </si>
  <si>
    <t>Presumptive Eligibility Adult (Pregnant). Age range 19 but less than 57</t>
  </si>
  <si>
    <t>MN Blind Individual; December 1873 Individual; Not also QMB.</t>
  </si>
  <si>
    <t>Blind, 80% FPL Group. Includes Dually Eligible QMB.</t>
  </si>
  <si>
    <t>Blind - Individual in Medical Institution or WS with income &lt;=300% SSI; Hospice Recipient; Not also QMB</t>
  </si>
  <si>
    <t>Blind - Protected Covered Individual; Former Money Pymt Recipient - August 1972; Former SSI/AG recipient; Protected Widow(er); Qualified Severely Disabled Individual; Protected Adult Disabled Child.</t>
  </si>
  <si>
    <t>Blind - Individual in Medical Institution or receiving Wavered Services with Income &lt;=300% SSI; Hospice Recipient in Medical Facility. Includes Dually Eligible QMB.</t>
  </si>
  <si>
    <t>Blind - QMB only.</t>
  </si>
  <si>
    <t>M/N-Blind/Disabled SLMB Plus</t>
  </si>
  <si>
    <t>300% SSI Blind/Disabled SLMB Plus</t>
  </si>
  <si>
    <t>MN Blind - Blind Individual; December 1973 Individual; Dually Eligible QMB.</t>
  </si>
  <si>
    <t>Disabled, 80% FPL Group. Includes Dually Eligible QMB.</t>
  </si>
  <si>
    <t>Disabled SSI Recipient. Includes Dually Eligible QMB.</t>
  </si>
  <si>
    <t>Disabled AG Recipient. Includes Dually Eligible QMB.</t>
  </si>
  <si>
    <t>Hospice Individual.</t>
  </si>
  <si>
    <t>Special Low Income Medicare Beneficiary (SLMB).</t>
  </si>
  <si>
    <t>Qualified Disabled Working Individual (QDWI).</t>
  </si>
  <si>
    <t>Qualified Individual (QI1).</t>
  </si>
  <si>
    <t>MN Disabled Individual; December 1973 Individual; Not also QMB.</t>
  </si>
  <si>
    <t>AC 059 - MEDICAID WORKS, Disabled, 138% FPL Group. Includes Dually Eligible QMB.</t>
  </si>
  <si>
    <t>Disabled - protected Covered Individual; Former Money Payment Recipient--August 1972; Protected Widow(er); Qualified Severely Disabled Individual; Protected Adult Disabled Child. Includes Dually Elig</t>
  </si>
  <si>
    <t>Disabled - QMB Only</t>
  </si>
  <si>
    <t>Disabled - Individual in Medical Institution or receiving Waiver Services with Income.  &lt;=300% SSI; Hospice Recipient. Includes Dually Eligible QMB.</t>
  </si>
  <si>
    <t>Disabled - Individual in Medical Institution or receiving Waiver Services with income. &lt;=300%SSI; Hospice Recipient in Medical Facility.  Not also QMB</t>
  </si>
  <si>
    <t>Presumptive Eligibility (PE) Child. Age less than 19</t>
  </si>
  <si>
    <t>Presumptive Eligibility (PE) Parent/Caretaker Relative</t>
  </si>
  <si>
    <t>Breast or Cervical Cancer Group</t>
  </si>
  <si>
    <t>PE Breast or Cervical Cancer Group</t>
  </si>
  <si>
    <t>MN Disabled Individual; December 1973 Individual; Dually Eligible QMB.</t>
  </si>
  <si>
    <t>Former Foster Care. Age 19&lt;26</t>
  </si>
  <si>
    <t>Non-IVE Adoption-assistance Child; special Medical Needs Adoption-assistance Individual. Includes Dually-eligible QMB.</t>
  </si>
  <si>
    <t>Non-IVE Foster Care Child. Includes Dually Eligible QMB.</t>
  </si>
  <si>
    <t>PE FORMER FOSTER CARE.</t>
  </si>
  <si>
    <t>Plan First. [family planning services only]</t>
  </si>
  <si>
    <t>Individual Under Age 21 in ICF or ICF-MR. Includes Dually-eligible QMB.</t>
  </si>
  <si>
    <t>PE PLAN FIRST</t>
  </si>
  <si>
    <r>
      <t xml:space="preserve">Former Money Payment Recipient--August 1972; Low-Income Family with Child(ren). -Unemployed Parent (LIFC-UP) Individual; 4-month or 12-month extended Medicaid Recipient. </t>
    </r>
    <r>
      <rPr>
        <b/>
        <sz val="11"/>
        <rFont val="Arial"/>
        <family val="2"/>
      </rPr>
      <t>CHILD</t>
    </r>
  </si>
  <si>
    <r>
      <t xml:space="preserve">Former Money Payment Recipient--August 1972; Low-Income Family with Child(ren) -Unemployed Parent (LIFC-UP) Individual; 4-month or 12-month extended Medicaid Recipient. </t>
    </r>
    <r>
      <rPr>
        <b/>
        <sz val="11"/>
        <rFont val="Arial"/>
        <family val="2"/>
      </rPr>
      <t>ADULT</t>
    </r>
  </si>
  <si>
    <t>MN Individual Under age 21; Juvenile Justice Department Child. Includes Dually- Eligible QMB.</t>
  </si>
  <si>
    <t>MN Individual under age 21; Non-IVE Foster-care Child or Non-IVE Adoption- assistance Child; Special Needs Adoption Assistance Child. Includes Dually-Eligible QMB.</t>
  </si>
  <si>
    <t>MN Child Under Age 18. Includes Dually-Eligible QMB</t>
  </si>
  <si>
    <t>Child Under Age 6 with income between 100% and 133% of poverty. Includes Dually- Eligible QMB.</t>
  </si>
  <si>
    <r>
      <t xml:space="preserve">Pregnant Woman; Child under age 6 with income &lt;=100% of poverty. Includes Dually-Eligible QMB. </t>
    </r>
    <r>
      <rPr>
        <b/>
        <sz val="11"/>
        <rFont val="Arial"/>
        <family val="2"/>
      </rPr>
      <t>ADULT</t>
    </r>
  </si>
  <si>
    <r>
      <t xml:space="preserve">Pregnant Woman; Child under age 6 with income &lt;=100% of poverty. Includes Dually-Eligible QMB. </t>
    </r>
    <r>
      <rPr>
        <b/>
        <sz val="11"/>
        <rFont val="Arial"/>
        <family val="2"/>
      </rPr>
      <t>CHILD</t>
    </r>
  </si>
  <si>
    <t>Child Age 6 to 19 with income &lt;= 100% poverty (insured or uninsured); Child age 6 to 19 with income &gt; 100% and &lt;=133% poverty (insured). Includes Dually-Eligible QMB.</t>
  </si>
  <si>
    <t>Newborn Child Under Age 1. Includes Dually Eligible QMB.</t>
  </si>
  <si>
    <t>Child Age 6 to 19. Income &gt; 100% poverty and &lt;= 133% poverty (uninsured).  FAMIS funded Medicaid Expansion</t>
  </si>
  <si>
    <t>MN Pregnant Woman. Includes Dually Eligible QMB.</t>
  </si>
  <si>
    <t>MN Individual Under Age 21 in a Nursing Facility. Includes Dually-Eligible QMB.</t>
  </si>
  <si>
    <t>MN Newborn Child UNDER Age 1. Includes Dually-Eligible QMB.</t>
  </si>
  <si>
    <t>Expansion ACA</t>
  </si>
  <si>
    <t>Caretaker Adult, age 19 to 65 , LE 100% FPL</t>
  </si>
  <si>
    <t>Caretaker Adult, age 19 to 65 , GT 100% FPL</t>
  </si>
  <si>
    <t>Adults, age 19 to 65 , LE 100% FPL</t>
  </si>
  <si>
    <t>Adults, age 19 to 65 , GT 100% FPL</t>
  </si>
  <si>
    <t>PE Adults, age 19 to 65, LE 133% FPL.  Emergency Services</t>
  </si>
  <si>
    <t>DOC Adults, age 19 to 65</t>
  </si>
  <si>
    <t>DOC FC/ABD - CHILD</t>
  </si>
  <si>
    <t>DOC FC/ABD - ADULT</t>
  </si>
  <si>
    <t>FAMIS Prenatal Coverage Group, Income LE 148% poverty</t>
  </si>
  <si>
    <t>FAMIS Prenatal Coverage Group, Income GE 149% poverty</t>
  </si>
  <si>
    <t>Emergency Services MAGI - ADULT</t>
  </si>
  <si>
    <t>Emergency Services MAGI - CHILD</t>
  </si>
  <si>
    <t>Emergency Services non-MAGI - ADULT</t>
  </si>
  <si>
    <t>Emergency Services non-MAGI - CHILD</t>
  </si>
  <si>
    <t>TDO - General District Court</t>
  </si>
  <si>
    <t>TDO - Juvenile and Domestic Court</t>
  </si>
  <si>
    <t>TDO - Combined District Court</t>
  </si>
  <si>
    <t>Premium Payment - COBRA</t>
  </si>
  <si>
    <t>Premium Payment - Individual</t>
  </si>
  <si>
    <t>Aged - Individual in Medical Institution or receiving Wavered Services with income. &lt;=300% SSI; Hospice Recipient; Not also QMB.</t>
  </si>
  <si>
    <t xml:space="preserve">AGED   </t>
  </si>
  <si>
    <t>Aged - Individuals in Medical Institution or receiving Wavered Services with Income.  &lt;=300% SSI; Hospice Recipient; Not also QMB.</t>
  </si>
  <si>
    <r>
      <t xml:space="preserve">Protected Covered Individual: Former Money payment Recipient--August 1972; Low- income Family with Child(ren) (LIFC) Individual; 4-month or 12 month-extended Medicaid Recipient. Includes Dually Eligible - </t>
    </r>
    <r>
      <rPr>
        <b/>
        <sz val="11"/>
        <rFont val="Arial"/>
        <family val="2"/>
      </rPr>
      <t>ADULT</t>
    </r>
  </si>
  <si>
    <r>
      <t xml:space="preserve">Protected Covered Individual: Former Money payment Recipient--August 1972; Low-income Family with Child(ren) (LIFC) Individual; 4-month or 12 month-extended Medicaid Recipient. Includes Dually Eligible - </t>
    </r>
    <r>
      <rPr>
        <b/>
        <sz val="11"/>
        <rFont val="Arial"/>
        <family val="2"/>
      </rPr>
      <t>CHILD</t>
    </r>
  </si>
  <si>
    <r>
      <t xml:space="preserve">Refugee Other or Refugee Medicaid Other. </t>
    </r>
    <r>
      <rPr>
        <b/>
        <sz val="11"/>
        <rFont val="Arial"/>
        <family val="2"/>
      </rPr>
      <t>ADULT</t>
    </r>
  </si>
  <si>
    <r>
      <t xml:space="preserve">Refugee Medicaid Unaccompanied Minor. </t>
    </r>
    <r>
      <rPr>
        <b/>
        <sz val="11"/>
        <rFont val="Arial"/>
        <family val="2"/>
      </rPr>
      <t>CHILD</t>
    </r>
  </si>
  <si>
    <r>
      <t xml:space="preserve">Juvenile Justice Department </t>
    </r>
    <r>
      <rPr>
        <b/>
        <sz val="11"/>
        <rFont val="Arial"/>
        <family val="2"/>
      </rPr>
      <t>Child</t>
    </r>
    <r>
      <rPr>
        <sz val="11"/>
        <rFont val="Arial"/>
        <family val="2"/>
      </rPr>
      <t>. Includes Dually Eligible QMB.</t>
    </r>
  </si>
  <si>
    <t>Month/AC</t>
  </si>
  <si>
    <t>Not Using: Ended 2005</t>
  </si>
  <si>
    <t xml:space="preserve">FAMIS  MOMS           </t>
  </si>
  <si>
    <t>SFY19</t>
  </si>
  <si>
    <t>Jul 2018</t>
  </si>
  <si>
    <t>Aug 2018</t>
  </si>
  <si>
    <t>Sep 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</si>
  <si>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</si>
  <si>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</si>
  <si>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</si>
  <si>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</si>
  <si>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</si>
  <si>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</si>
  <si>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</si>
  <si>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</si>
  <si>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</si>
  <si>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Apr 2024</t>
  </si>
  <si>
    <r>
      <t xml:space="preserve">SLH Foster Care:                </t>
    </r>
    <r>
      <rPr>
        <b/>
        <sz val="11"/>
        <color rgb="FFFF0000"/>
        <rFont val="Arial"/>
        <family val="2"/>
      </rPr>
      <t>Not Using (Ended 2009)</t>
    </r>
  </si>
  <si>
    <r>
      <t xml:space="preserve">SLH General Relief:  </t>
    </r>
    <r>
      <rPr>
        <b/>
        <sz val="11"/>
        <color rgb="FFFF0000"/>
        <rFont val="Arial"/>
        <family val="2"/>
      </rPr>
      <t>Not Using (Ended 2009)</t>
    </r>
  </si>
  <si>
    <r>
      <t xml:space="preserve">SLH Only:       </t>
    </r>
    <r>
      <rPr>
        <b/>
        <sz val="11"/>
        <color rgb="FFFF0000"/>
        <rFont val="Arial"/>
        <family val="2"/>
      </rPr>
      <t>Not Using (Ended 2009)</t>
    </r>
  </si>
  <si>
    <r>
      <t xml:space="preserve">SLH - Migrant    </t>
    </r>
    <r>
      <rPr>
        <b/>
        <sz val="11"/>
        <color rgb="FFFF0000"/>
        <rFont val="Arial"/>
        <family val="2"/>
      </rPr>
      <t>Not Using (Ended 2009)</t>
    </r>
  </si>
  <si>
    <t>Qualified Individual (QI2).           Not using: Ended 2002</t>
  </si>
  <si>
    <r>
      <t xml:space="preserve">TANF or Deemed TANF. Adult:  </t>
    </r>
    <r>
      <rPr>
        <b/>
        <sz val="11"/>
        <color rgb="FFFF0000"/>
        <rFont val="Arial"/>
        <family val="2"/>
      </rPr>
      <t>Not Using. Ended 2000</t>
    </r>
  </si>
  <si>
    <r>
      <rPr>
        <sz val="11"/>
        <color rgb="FF000000"/>
        <rFont val="Arial"/>
        <family val="2"/>
      </rPr>
      <t>TANF or Deemed TANF. Child:</t>
    </r>
    <r>
      <rPr>
        <b/>
        <sz val="11"/>
        <color indexed="8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>Not Using. Ended 2000</t>
    </r>
  </si>
  <si>
    <r>
      <rPr>
        <sz val="11"/>
        <color rgb="FF000000"/>
        <rFont val="Arial"/>
        <family val="2"/>
      </rPr>
      <t xml:space="preserve">TANF Up or Deemed TANF Up. Adult: 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Not Using. Ended 2000</t>
    </r>
  </si>
  <si>
    <r>
      <t xml:space="preserve">IV-E Foster Child or IV-E Adoption Assistance. </t>
    </r>
    <r>
      <rPr>
        <b/>
        <sz val="11"/>
        <color rgb="FFFF0000"/>
        <rFont val="Arial"/>
        <family val="2"/>
      </rPr>
      <t>Not Using. Ended 2013</t>
    </r>
  </si>
  <si>
    <r>
      <t xml:space="preserve">GAP            </t>
    </r>
    <r>
      <rPr>
        <b/>
        <sz val="11"/>
        <color rgb="FFFF0000"/>
        <rFont val="Arial"/>
        <family val="2"/>
      </rPr>
      <t xml:space="preserve">Not Using. </t>
    </r>
  </si>
  <si>
    <r>
      <rPr>
        <sz val="11"/>
        <color rgb="FF000000"/>
        <rFont val="Arial"/>
        <family val="2"/>
      </rPr>
      <t>Medically Needy Adult</t>
    </r>
    <r>
      <rPr>
        <b/>
        <sz val="11"/>
        <color indexed="8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>Not Using:  Ended 1999</t>
    </r>
  </si>
  <si>
    <r>
      <rPr>
        <sz val="11"/>
        <color rgb="FF000000"/>
        <rFont val="Arial"/>
        <family val="2"/>
      </rPr>
      <t>Medically Needy Adult/Child.</t>
    </r>
    <r>
      <rPr>
        <b/>
        <sz val="11"/>
        <color indexed="8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>Not Using:  Ended 1999</t>
    </r>
  </si>
  <si>
    <t>SLH</t>
  </si>
  <si>
    <t xml:space="preserve">SLH </t>
  </si>
  <si>
    <t>LIFC:A</t>
  </si>
  <si>
    <t>LIFC</t>
  </si>
  <si>
    <t>109 (DOC FC/ABD)/113 A, 113C</t>
  </si>
  <si>
    <t>Dept of Corrections/Emer Serv (Limited Benefit)</t>
  </si>
  <si>
    <t>MCO Total Enrollment</t>
  </si>
  <si>
    <t>Title XIX - Medicaid Population</t>
  </si>
  <si>
    <t xml:space="preserve">Dept of Corrections/Emergency Services (Limited Benefit)   </t>
  </si>
  <si>
    <t xml:space="preserve">GAP (Former) /Dept of Corrections/Emergency Services (Limited Benefit)   </t>
  </si>
  <si>
    <t xml:space="preserve"> 108, 112A, 112C</t>
  </si>
  <si>
    <t>102, 103, 106 (PE Adults, Full Cov - Limited Time)</t>
  </si>
  <si>
    <t>May 2024</t>
  </si>
  <si>
    <t>SFY2025</t>
  </si>
  <si>
    <t>SFY2026</t>
  </si>
  <si>
    <t>Jun 2024</t>
  </si>
  <si>
    <t>SFY24</t>
  </si>
  <si>
    <t>SFY25 YTD</t>
  </si>
  <si>
    <t xml:space="preserve">Non-Long Term Care (LTC)
</t>
  </si>
  <si>
    <t>LTC: 
NF/ICF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</si>
</sst>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10"/>
      <color theme="8" tint="-0.499984740745262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u/>
      <sz val="14"/>
      <color indexed="54"/>
      <name val="Arial"/>
      <family val="2"/>
    </font>
    <font>
      <sz val="14"/>
      <name val="Arial"/>
      <family val="2"/>
    </font>
    <font>
      <b/>
      <sz val="14"/>
      <color indexed="54"/>
      <name val="Arial"/>
      <family val="2"/>
    </font>
    <font>
      <sz val="8"/>
      <name val="Arial"/>
    </font>
  </fonts>
  <fills count="1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 style="double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double">
        <color indexed="23"/>
      </right>
      <top/>
      <bottom style="thin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54"/>
      </bottom>
      <diagonal/>
    </border>
    <border>
      <left style="thin">
        <color indexed="64"/>
      </left>
      <right style="double">
        <color indexed="23"/>
      </right>
      <top style="thin">
        <color indexed="64"/>
      </top>
      <bottom/>
      <diagonal/>
    </border>
    <border>
      <left style="thin">
        <color indexed="64"/>
      </left>
      <right style="double">
        <color indexed="23"/>
      </right>
      <top/>
      <bottom style="thin">
        <color indexed="23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double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23"/>
      </left>
      <right/>
      <top style="thin">
        <color indexed="23"/>
      </top>
      <bottom style="thin">
        <color indexed="23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23"/>
      </bottom>
      <diagonal/>
    </border>
    <border>
      <left style="thin">
        <color indexed="23"/>
      </left>
      <right style="double">
        <color auto="1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double">
        <color indexed="23"/>
      </right>
      <top/>
      <bottom/>
      <diagonal/>
    </border>
    <border>
      <left style="thin">
        <color indexed="64"/>
      </left>
      <right/>
      <top/>
      <bottom style="thin">
        <color indexed="5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/>
      <bottom/>
      <diagonal/>
    </border>
  </borders>
  <cellStyleXfs count="33">
    <xf numFmtId="0" fontId="0" fillId="0" borderId="0"/>
    <xf numFmtId="43" fontId="17" fillId="0" borderId="0" applyFont="0" applyFill="0" applyBorder="0" applyAlignment="0" applyProtection="0"/>
    <xf numFmtId="0" fontId="19" fillId="0" borderId="0"/>
    <xf numFmtId="9" fontId="17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0" fontId="30" fillId="0" borderId="0"/>
    <xf numFmtId="0" fontId="16" fillId="0" borderId="0"/>
    <xf numFmtId="0" fontId="31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5">
    <xf numFmtId="0" fontId="0" fillId="0" borderId="0" xfId="0"/>
    <xf numFmtId="165" fontId="0" fillId="0" borderId="0" xfId="1" applyNumberFormat="1" applyFont="1"/>
    <xf numFmtId="3" fontId="0" fillId="0" borderId="0" xfId="0" applyNumberFormat="1"/>
    <xf numFmtId="0" fontId="19" fillId="3" borderId="3" xfId="2" applyFill="1" applyBorder="1" applyAlignment="1">
      <alignment horizontal="center"/>
    </xf>
    <xf numFmtId="0" fontId="19" fillId="0" borderId="0" xfId="2" applyAlignment="1">
      <alignment horizontal="center"/>
    </xf>
    <xf numFmtId="0" fontId="0" fillId="0" borderId="0" xfId="0" applyAlignment="1">
      <alignment horizontal="center"/>
    </xf>
    <xf numFmtId="9" fontId="0" fillId="0" borderId="0" xfId="3" applyFont="1"/>
    <xf numFmtId="164" fontId="0" fillId="0" borderId="0" xfId="3" applyNumberFormat="1" applyFont="1"/>
    <xf numFmtId="0" fontId="19" fillId="3" borderId="6" xfId="2" applyFill="1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quotePrefix="1" applyNumberFormat="1" applyAlignment="1">
      <alignment horizontal="right"/>
    </xf>
    <xf numFmtId="3" fontId="0" fillId="3" borderId="6" xfId="0" applyNumberFormat="1" applyFill="1" applyBorder="1"/>
    <xf numFmtId="0" fontId="0" fillId="3" borderId="6" xfId="0" applyFill="1" applyBorder="1"/>
    <xf numFmtId="14" fontId="0" fillId="0" borderId="0" xfId="0" applyNumberFormat="1"/>
    <xf numFmtId="165" fontId="17" fillId="0" borderId="0" xfId="1" applyNumberFormat="1"/>
    <xf numFmtId="0" fontId="0" fillId="5" borderId="6" xfId="0" applyFill="1" applyBorder="1" applyAlignment="1">
      <alignment horizontal="center"/>
    </xf>
    <xf numFmtId="164" fontId="17" fillId="0" borderId="0" xfId="3" applyNumberFormat="1"/>
    <xf numFmtId="14" fontId="19" fillId="0" borderId="0" xfId="2" applyNumberFormat="1" applyAlignment="1">
      <alignment horizontal="right" wrapText="1"/>
    </xf>
    <xf numFmtId="3" fontId="17" fillId="0" borderId="0" xfId="1" applyNumberFormat="1" applyBorder="1" applyAlignment="1">
      <alignment horizontal="center"/>
    </xf>
    <xf numFmtId="165" fontId="26" fillId="0" borderId="0" xfId="1" applyNumberFormat="1" applyFont="1" applyFill="1" applyBorder="1"/>
    <xf numFmtId="3" fontId="17" fillId="0" borderId="0" xfId="1" applyNumberFormat="1" applyFont="1" applyBorder="1" applyAlignment="1">
      <alignment horizontal="center"/>
    </xf>
    <xf numFmtId="3" fontId="17" fillId="0" borderId="0" xfId="1" applyNumberFormat="1" applyFill="1" applyBorder="1" applyAlignment="1">
      <alignment horizontal="center"/>
    </xf>
    <xf numFmtId="9" fontId="0" fillId="0" borderId="0" xfId="3" applyFont="1" applyBorder="1" applyAlignment="1">
      <alignment horizontal="right"/>
    </xf>
    <xf numFmtId="9" fontId="0" fillId="0" borderId="0" xfId="3" applyFont="1" applyAlignment="1"/>
    <xf numFmtId="165" fontId="0" fillId="0" borderId="0" xfId="1" applyNumberFormat="1" applyFont="1" applyFill="1"/>
    <xf numFmtId="0" fontId="19" fillId="0" borderId="0" xfId="2" applyAlignment="1">
      <alignment horizontal="right" wrapText="1"/>
    </xf>
    <xf numFmtId="3" fontId="17" fillId="0" borderId="0" xfId="1" applyNumberFormat="1" applyFont="1" applyFill="1" applyBorder="1" applyAlignment="1">
      <alignment horizontal="center"/>
    </xf>
    <xf numFmtId="0" fontId="17" fillId="0" borderId="0" xfId="0" applyFont="1"/>
    <xf numFmtId="165" fontId="26" fillId="0" borderId="0" xfId="1" quotePrefix="1" applyNumberFormat="1" applyFont="1" applyFill="1" applyBorder="1" applyAlignment="1"/>
    <xf numFmtId="165" fontId="26" fillId="0" borderId="0" xfId="1" quotePrefix="1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165" fontId="17" fillId="0" borderId="0" xfId="1" applyNumberFormat="1" applyFont="1" applyFill="1"/>
    <xf numFmtId="0" fontId="17" fillId="0" borderId="0" xfId="17"/>
    <xf numFmtId="0" fontId="17" fillId="0" borderId="0" xfId="17" applyAlignment="1">
      <alignment horizontal="right"/>
    </xf>
    <xf numFmtId="9" fontId="17" fillId="0" borderId="0" xfId="17" applyNumberFormat="1"/>
    <xf numFmtId="3" fontId="17" fillId="0" borderId="0" xfId="17" applyNumberFormat="1"/>
    <xf numFmtId="165" fontId="17" fillId="0" borderId="0" xfId="17" applyNumberFormat="1"/>
    <xf numFmtId="164" fontId="17" fillId="0" borderId="0" xfId="17" applyNumberFormat="1"/>
    <xf numFmtId="165" fontId="17" fillId="0" borderId="0" xfId="1" applyNumberFormat="1" applyFont="1" applyFill="1" applyAlignment="1">
      <alignment horizontal="center"/>
    </xf>
    <xf numFmtId="0" fontId="23" fillId="0" borderId="0" xfId="17" applyFont="1"/>
    <xf numFmtId="0" fontId="27" fillId="0" borderId="0" xfId="17" applyFont="1" applyAlignment="1">
      <alignment horizontal="left"/>
    </xf>
    <xf numFmtId="0" fontId="20" fillId="6" borderId="0" xfId="17" applyFont="1" applyFill="1" applyAlignment="1">
      <alignment horizontal="left"/>
    </xf>
    <xf numFmtId="3" fontId="20" fillId="6" borderId="10" xfId="17" applyNumberFormat="1" applyFont="1" applyFill="1" applyBorder="1" applyAlignment="1">
      <alignment horizontal="center"/>
    </xf>
    <xf numFmtId="165" fontId="27" fillId="0" borderId="0" xfId="17" applyNumberFormat="1" applyFont="1"/>
    <xf numFmtId="0" fontId="24" fillId="0" borderId="0" xfId="17" applyFont="1" applyAlignment="1">
      <alignment wrapText="1"/>
    </xf>
    <xf numFmtId="0" fontId="24" fillId="0" borderId="0" xfId="17" applyFont="1" applyAlignment="1">
      <alignment horizontal="right" wrapText="1"/>
    </xf>
    <xf numFmtId="0" fontId="24" fillId="0" borderId="0" xfId="17" applyFont="1"/>
    <xf numFmtId="0" fontId="24" fillId="0" borderId="0" xfId="17" applyFont="1" applyAlignment="1">
      <alignment horizontal="right"/>
    </xf>
    <xf numFmtId="0" fontId="25" fillId="0" borderId="0" xfId="17" applyFont="1"/>
    <xf numFmtId="0" fontId="25" fillId="0" borderId="0" xfId="17" applyFont="1" applyAlignment="1">
      <alignment horizontal="right"/>
    </xf>
    <xf numFmtId="0" fontId="19" fillId="3" borderId="3" xfId="2" applyFill="1" applyBorder="1" applyAlignment="1">
      <alignment horizontal="center" wrapText="1"/>
    </xf>
    <xf numFmtId="3" fontId="17" fillId="0" borderId="0" xfId="0" applyNumberFormat="1" applyFont="1"/>
    <xf numFmtId="3" fontId="17" fillId="11" borderId="0" xfId="1" applyNumberFormat="1" applyFill="1" applyBorder="1" applyAlignment="1">
      <alignment horizontal="center"/>
    </xf>
    <xf numFmtId="0" fontId="15" fillId="0" borderId="0" xfId="18"/>
    <xf numFmtId="14" fontId="15" fillId="0" borderId="0" xfId="18" applyNumberFormat="1"/>
    <xf numFmtId="0" fontId="13" fillId="0" borderId="0" xfId="20"/>
    <xf numFmtId="14" fontId="13" fillId="0" borderId="0" xfId="20" applyNumberFormat="1"/>
    <xf numFmtId="0" fontId="12" fillId="0" borderId="0" xfId="21"/>
    <xf numFmtId="14" fontId="12" fillId="0" borderId="0" xfId="21" applyNumberFormat="1"/>
    <xf numFmtId="0" fontId="11" fillId="0" borderId="0" xfId="22"/>
    <xf numFmtId="14" fontId="11" fillId="0" borderId="0" xfId="22" applyNumberFormat="1"/>
    <xf numFmtId="14" fontId="9" fillId="0" borderId="0" xfId="24" applyNumberFormat="1"/>
    <xf numFmtId="0" fontId="9" fillId="0" borderId="0" xfId="24"/>
    <xf numFmtId="9" fontId="27" fillId="0" borderId="9" xfId="3" applyFont="1" applyFill="1" applyBorder="1" applyAlignment="1">
      <alignment horizontal="center"/>
    </xf>
    <xf numFmtId="3" fontId="17" fillId="0" borderId="15" xfId="1" applyNumberFormat="1" applyFill="1" applyBorder="1" applyAlignment="1">
      <alignment horizontal="center"/>
    </xf>
    <xf numFmtId="3" fontId="23" fillId="0" borderId="15" xfId="1" applyNumberFormat="1" applyFont="1" applyBorder="1" applyAlignment="1">
      <alignment horizontal="center"/>
    </xf>
    <xf numFmtId="165" fontId="27" fillId="0" borderId="0" xfId="1" quotePrefix="1" applyNumberFormat="1" applyFont="1" applyFill="1" applyBorder="1" applyAlignment="1"/>
    <xf numFmtId="0" fontId="19" fillId="12" borderId="3" xfId="2" applyFill="1" applyBorder="1" applyAlignment="1">
      <alignment horizontal="center"/>
    </xf>
    <xf numFmtId="0" fontId="19" fillId="12" borderId="3" xfId="2" applyFill="1" applyBorder="1" applyAlignment="1">
      <alignment horizontal="center" wrapText="1"/>
    </xf>
    <xf numFmtId="3" fontId="17" fillId="0" borderId="25" xfId="1" applyNumberFormat="1" applyBorder="1" applyAlignment="1">
      <alignment horizontal="center"/>
    </xf>
    <xf numFmtId="3" fontId="17" fillId="0" borderId="25" xfId="1" applyNumberFormat="1" applyFill="1" applyBorder="1" applyAlignment="1">
      <alignment horizontal="center"/>
    </xf>
    <xf numFmtId="165" fontId="27" fillId="0" borderId="26" xfId="17" applyNumberFormat="1" applyFont="1" applyBorder="1"/>
    <xf numFmtId="3" fontId="17" fillId="0" borderId="15" xfId="1" applyNumberFormat="1" applyBorder="1" applyAlignment="1">
      <alignment horizontal="center"/>
    </xf>
    <xf numFmtId="3" fontId="23" fillId="0" borderId="15" xfId="1" applyNumberFormat="1" applyFont="1" applyFill="1" applyBorder="1" applyAlignment="1">
      <alignment horizontal="center"/>
    </xf>
    <xf numFmtId="3" fontId="17" fillId="0" borderId="4" xfId="1" applyNumberFormat="1" applyBorder="1" applyAlignment="1">
      <alignment horizontal="center"/>
    </xf>
    <xf numFmtId="3" fontId="17" fillId="0" borderId="4" xfId="1" applyNumberFormat="1" applyFill="1" applyBorder="1" applyAlignment="1">
      <alignment horizontal="center"/>
    </xf>
    <xf numFmtId="3" fontId="23" fillId="0" borderId="4" xfId="1" applyNumberFormat="1" applyFont="1" applyBorder="1" applyAlignment="1">
      <alignment horizontal="center"/>
    </xf>
    <xf numFmtId="3" fontId="23" fillId="0" borderId="4" xfId="1" applyNumberFormat="1" applyFont="1" applyFill="1" applyBorder="1" applyAlignment="1">
      <alignment horizontal="center"/>
    </xf>
    <xf numFmtId="3" fontId="23" fillId="0" borderId="35" xfId="1" applyNumberFormat="1" applyFont="1" applyBorder="1" applyAlignment="1">
      <alignment horizontal="center"/>
    </xf>
    <xf numFmtId="3" fontId="23" fillId="0" borderId="35" xfId="1" applyNumberFormat="1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7" fillId="0" borderId="0" xfId="26"/>
    <xf numFmtId="14" fontId="7" fillId="0" borderId="0" xfId="26" applyNumberFormat="1"/>
    <xf numFmtId="14" fontId="27" fillId="7" borderId="0" xfId="17" applyNumberFormat="1" applyFont="1" applyFill="1" applyAlignment="1">
      <alignment horizontal="left"/>
    </xf>
    <xf numFmtId="0" fontId="17" fillId="14" borderId="0" xfId="0" applyFont="1" applyFill="1"/>
    <xf numFmtId="0" fontId="19" fillId="3" borderId="6" xfId="2" applyFill="1" applyBorder="1" applyAlignment="1">
      <alignment horizontal="center" wrapText="1"/>
    </xf>
    <xf numFmtId="0" fontId="6" fillId="0" borderId="0" xfId="27"/>
    <xf numFmtId="14" fontId="6" fillId="0" borderId="0" xfId="27" applyNumberFormat="1"/>
    <xf numFmtId="0" fontId="0" fillId="11" borderId="0" xfId="0" applyFill="1"/>
    <xf numFmtId="3" fontId="0" fillId="12" borderId="6" xfId="0" applyNumberFormat="1" applyFill="1" applyBorder="1"/>
    <xf numFmtId="0" fontId="34" fillId="6" borderId="0" xfId="17" applyFont="1" applyFill="1" applyAlignment="1">
      <alignment horizontal="center"/>
    </xf>
    <xf numFmtId="0" fontId="17" fillId="3" borderId="28" xfId="2" applyFont="1" applyFill="1" applyBorder="1" applyAlignment="1">
      <alignment horizontal="center"/>
    </xf>
    <xf numFmtId="0" fontId="17" fillId="3" borderId="5" xfId="2" applyFont="1" applyFill="1" applyBorder="1" applyAlignment="1">
      <alignment horizontal="center"/>
    </xf>
    <xf numFmtId="0" fontId="17" fillId="3" borderId="0" xfId="2" applyFont="1" applyFill="1" applyAlignment="1">
      <alignment horizontal="center" vertical="center" wrapText="1"/>
    </xf>
    <xf numFmtId="0" fontId="17" fillId="12" borderId="0" xfId="2" applyFont="1" applyFill="1" applyAlignment="1">
      <alignment horizontal="center" vertical="center" wrapText="1"/>
    </xf>
    <xf numFmtId="0" fontId="17" fillId="3" borderId="30" xfId="2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0" fontId="35" fillId="3" borderId="34" xfId="2" applyFont="1" applyFill="1" applyBorder="1" applyAlignment="1">
      <alignment horizontal="center" vertical="center" wrapText="1"/>
    </xf>
    <xf numFmtId="0" fontId="4" fillId="0" borderId="0" xfId="29"/>
    <xf numFmtId="14" fontId="4" fillId="0" borderId="0" xfId="29" applyNumberFormat="1"/>
    <xf numFmtId="165" fontId="27" fillId="0" borderId="26" xfId="1" applyNumberFormat="1" applyFont="1" applyFill="1" applyBorder="1"/>
    <xf numFmtId="165" fontId="23" fillId="0" borderId="37" xfId="1" applyNumberFormat="1" applyFont="1" applyFill="1" applyBorder="1"/>
    <xf numFmtId="165" fontId="23" fillId="0" borderId="0" xfId="1" applyNumberFormat="1" applyFont="1"/>
    <xf numFmtId="165" fontId="37" fillId="0" borderId="0" xfId="1" applyNumberFormat="1" applyFont="1" applyAlignment="1"/>
    <xf numFmtId="165" fontId="23" fillId="0" borderId="0" xfId="1" applyNumberFormat="1" applyFont="1" applyFill="1" applyAlignment="1">
      <alignment horizontal="center"/>
    </xf>
    <xf numFmtId="165" fontId="38" fillId="0" borderId="0" xfId="1" applyNumberFormat="1" applyFont="1"/>
    <xf numFmtId="165" fontId="23" fillId="0" borderId="0" xfId="1" applyNumberFormat="1" applyFont="1" applyFill="1"/>
    <xf numFmtId="0" fontId="36" fillId="12" borderId="0" xfId="2" applyFont="1" applyFill="1" applyAlignment="1">
      <alignment horizontal="center" vertical="center" wrapText="1"/>
    </xf>
    <xf numFmtId="3" fontId="17" fillId="11" borderId="15" xfId="1" applyNumberFormat="1" applyFill="1" applyBorder="1" applyAlignment="1">
      <alignment horizontal="center"/>
    </xf>
    <xf numFmtId="165" fontId="17" fillId="11" borderId="0" xfId="1" applyNumberFormat="1" applyFont="1" applyFill="1"/>
    <xf numFmtId="165" fontId="0" fillId="11" borderId="0" xfId="1" applyNumberFormat="1" applyFont="1" applyFill="1"/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/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4" fillId="16" borderId="0" xfId="0" applyFont="1" applyFill="1" applyAlignment="1">
      <alignment vertical="center" wrapText="1"/>
    </xf>
    <xf numFmtId="0" fontId="40" fillId="10" borderId="0" xfId="0" applyFont="1" applyFill="1" applyAlignment="1">
      <alignment vertical="center" wrapText="1"/>
    </xf>
    <xf numFmtId="0" fontId="42" fillId="3" borderId="2" xfId="2" applyFont="1" applyFill="1" applyBorder="1" applyAlignment="1">
      <alignment horizontal="center"/>
    </xf>
    <xf numFmtId="0" fontId="44" fillId="9" borderId="2" xfId="10" applyFont="1" applyFill="1" applyBorder="1" applyAlignment="1">
      <alignment horizontal="center"/>
    </xf>
    <xf numFmtId="0" fontId="45" fillId="9" borderId="2" xfId="10" applyFont="1" applyFill="1" applyBorder="1" applyAlignment="1">
      <alignment horizontal="center"/>
    </xf>
    <xf numFmtId="0" fontId="44" fillId="9" borderId="2" xfId="10" quotePrefix="1" applyFont="1" applyFill="1" applyBorder="1" applyAlignment="1">
      <alignment horizontal="center"/>
    </xf>
    <xf numFmtId="0" fontId="39" fillId="17" borderId="0" xfId="0" applyFont="1" applyFill="1" applyAlignment="1">
      <alignment vertical="center" wrapText="1"/>
    </xf>
    <xf numFmtId="10" fontId="0" fillId="0" borderId="0" xfId="3" applyNumberFormat="1" applyFont="1"/>
    <xf numFmtId="0" fontId="44" fillId="15" borderId="2" xfId="10" quotePrefix="1" applyFont="1" applyFill="1" applyBorder="1" applyAlignment="1">
      <alignment horizontal="center"/>
    </xf>
    <xf numFmtId="49" fontId="44" fillId="9" borderId="2" xfId="10" applyNumberFormat="1" applyFont="1" applyFill="1" applyBorder="1" applyAlignment="1">
      <alignment horizontal="center"/>
    </xf>
    <xf numFmtId="0" fontId="39" fillId="13" borderId="0" xfId="0" applyFont="1" applyFill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6" fontId="43" fillId="11" borderId="14" xfId="0" quotePrefix="1" applyNumberFormat="1" applyFont="1" applyFill="1" applyBorder="1" applyAlignment="1">
      <alignment horizontal="center" vertical="center" wrapText="1"/>
    </xf>
    <xf numFmtId="166" fontId="43" fillId="0" borderId="14" xfId="0" applyNumberFormat="1" applyFont="1" applyBorder="1" applyAlignment="1">
      <alignment horizontal="center" vertical="center" wrapText="1"/>
    </xf>
    <xf numFmtId="166" fontId="43" fillId="0" borderId="14" xfId="0" quotePrefix="1" applyNumberFormat="1" applyFont="1" applyBorder="1" applyAlignment="1">
      <alignment horizontal="center" vertical="center" wrapText="1"/>
    </xf>
    <xf numFmtId="14" fontId="0" fillId="11" borderId="0" xfId="0" applyNumberFormat="1" applyFill="1"/>
    <xf numFmtId="166" fontId="47" fillId="0" borderId="14" xfId="0" applyNumberFormat="1" applyFont="1" applyBorder="1" applyAlignment="1">
      <alignment horizontal="center" vertical="center" wrapText="1"/>
    </xf>
    <xf numFmtId="0" fontId="19" fillId="11" borderId="0" xfId="2" applyFill="1" applyAlignment="1">
      <alignment horizontal="center" wrapText="1"/>
    </xf>
    <xf numFmtId="14" fontId="19" fillId="11" borderId="0" xfId="2" applyNumberFormat="1" applyFill="1" applyAlignment="1">
      <alignment horizontal="right" wrapText="1"/>
    </xf>
    <xf numFmtId="3" fontId="23" fillId="11" borderId="35" xfId="1" applyNumberFormat="1" applyFont="1" applyFill="1" applyBorder="1" applyAlignment="1">
      <alignment horizontal="center"/>
    </xf>
    <xf numFmtId="3" fontId="23" fillId="11" borderId="15" xfId="1" applyNumberFormat="1" applyFont="1" applyFill="1" applyBorder="1" applyAlignment="1">
      <alignment horizontal="center"/>
    </xf>
    <xf numFmtId="3" fontId="17" fillId="11" borderId="25" xfId="1" applyNumberFormat="1" applyFill="1" applyBorder="1" applyAlignment="1">
      <alignment horizontal="center"/>
    </xf>
    <xf numFmtId="3" fontId="23" fillId="11" borderId="4" xfId="1" applyNumberFormat="1" applyFont="1" applyFill="1" applyBorder="1" applyAlignment="1">
      <alignment horizontal="center"/>
    </xf>
    <xf numFmtId="3" fontId="17" fillId="11" borderId="4" xfId="1" applyNumberFormat="1" applyFill="1" applyBorder="1" applyAlignment="1">
      <alignment horizontal="center"/>
    </xf>
    <xf numFmtId="165" fontId="27" fillId="11" borderId="26" xfId="1" applyNumberFormat="1" applyFont="1" applyFill="1" applyBorder="1"/>
    <xf numFmtId="3" fontId="17" fillId="11" borderId="0" xfId="1" applyNumberFormat="1" applyFont="1" applyFill="1" applyBorder="1" applyAlignment="1">
      <alignment horizontal="center"/>
    </xf>
    <xf numFmtId="165" fontId="26" fillId="11" borderId="0" xfId="1" applyNumberFormat="1" applyFont="1" applyFill="1" applyBorder="1"/>
    <xf numFmtId="165" fontId="23" fillId="11" borderId="37" xfId="1" applyNumberFormat="1" applyFont="1" applyFill="1" applyBorder="1"/>
    <xf numFmtId="165" fontId="27" fillId="11" borderId="26" xfId="17" applyNumberFormat="1" applyFont="1" applyFill="1" applyBorder="1"/>
    <xf numFmtId="0" fontId="17" fillId="11" borderId="0" xfId="17" applyFill="1"/>
    <xf numFmtId="0" fontId="48" fillId="0" borderId="0" xfId="17" applyFont="1" applyAlignment="1">
      <alignment horizontal="left" vertical="top"/>
    </xf>
    <xf numFmtId="9" fontId="49" fillId="0" borderId="0" xfId="3" applyFont="1" applyBorder="1" applyAlignment="1">
      <alignment horizontal="right" vertical="top"/>
    </xf>
    <xf numFmtId="9" fontId="49" fillId="0" borderId="0" xfId="3" applyFont="1" applyAlignment="1">
      <alignment vertical="top"/>
    </xf>
    <xf numFmtId="0" fontId="50" fillId="0" borderId="0" xfId="17" applyFont="1" applyAlignment="1">
      <alignment horizontal="left" vertical="top"/>
    </xf>
    <xf numFmtId="0" fontId="33" fillId="0" borderId="0" xfId="17" applyFont="1" applyAlignment="1">
      <alignment vertical="top"/>
    </xf>
    <xf numFmtId="14" fontId="19" fillId="0" borderId="6" xfId="2" applyNumberFormat="1" applyBorder="1" applyAlignment="1">
      <alignment horizontal="right" wrapText="1"/>
    </xf>
    <xf numFmtId="9" fontId="27" fillId="0" borderId="6" xfId="3" applyFont="1" applyFill="1" applyBorder="1" applyAlignment="1">
      <alignment horizontal="center"/>
    </xf>
    <xf numFmtId="165" fontId="37" fillId="0" borderId="39" xfId="1" applyNumberFormat="1" applyFont="1" applyBorder="1" applyAlignment="1"/>
    <xf numFmtId="165" fontId="0" fillId="0" borderId="39" xfId="1" applyNumberFormat="1" applyFont="1" applyBorder="1" applyAlignment="1"/>
    <xf numFmtId="165" fontId="26" fillId="0" borderId="25" xfId="1" quotePrefix="1" applyNumberFormat="1" applyFont="1" applyFill="1" applyBorder="1" applyAlignment="1"/>
    <xf numFmtId="165" fontId="27" fillId="0" borderId="25" xfId="1" quotePrefix="1" applyNumberFormat="1" applyFont="1" applyFill="1" applyBorder="1" applyAlignment="1"/>
    <xf numFmtId="0" fontId="17" fillId="0" borderId="0" xfId="0" applyFont="1" applyAlignment="1">
      <alignment horizontal="center" wrapText="1"/>
    </xf>
    <xf numFmtId="0" fontId="2" fillId="0" borderId="0" xfId="31"/>
    <xf numFmtId="14" fontId="2" fillId="0" borderId="0" xfId="31" applyNumberFormat="1"/>
    <xf numFmtId="0" fontId="1" fillId="0" borderId="0" xfId="32"/>
    <xf numFmtId="0" fontId="0" fillId="0" borderId="6" xfId="0" applyBorder="1"/>
    <xf numFmtId="0" fontId="0" fillId="11" borderId="6" xfId="0" applyFill="1" applyBorder="1"/>
    <xf numFmtId="3" fontId="20" fillId="6" borderId="0" xfId="17" applyNumberFormat="1" applyFont="1" applyFill="1" applyAlignment="1">
      <alignment horizontal="center"/>
    </xf>
    <xf numFmtId="0" fontId="33" fillId="5" borderId="0" xfId="17" applyFont="1" applyFill="1" applyAlignment="1">
      <alignment horizontal="center"/>
    </xf>
    <xf numFmtId="0" fontId="39" fillId="6" borderId="0" xfId="17" applyFont="1" applyFill="1" applyAlignment="1">
      <alignment horizontal="center"/>
    </xf>
    <xf numFmtId="0" fontId="35" fillId="5" borderId="38" xfId="2" applyFont="1" applyFill="1" applyBorder="1" applyAlignment="1">
      <alignment horizontal="center" vertical="center" wrapText="1"/>
    </xf>
    <xf numFmtId="0" fontId="17" fillId="3" borderId="28" xfId="2" applyFont="1" applyFill="1" applyBorder="1" applyAlignment="1">
      <alignment horizontal="center"/>
    </xf>
    <xf numFmtId="0" fontId="17" fillId="3" borderId="21" xfId="2" applyFont="1" applyFill="1" applyBorder="1" applyAlignment="1">
      <alignment horizontal="center"/>
    </xf>
    <xf numFmtId="0" fontId="17" fillId="3" borderId="33" xfId="2" applyFont="1" applyFill="1" applyBorder="1" applyAlignment="1">
      <alignment horizontal="center"/>
    </xf>
    <xf numFmtId="0" fontId="17" fillId="3" borderId="31" xfId="2" applyFont="1" applyFill="1" applyBorder="1" applyAlignment="1">
      <alignment horizontal="center"/>
    </xf>
    <xf numFmtId="0" fontId="17" fillId="3" borderId="5" xfId="2" applyFont="1" applyFill="1" applyBorder="1" applyAlignment="1">
      <alignment horizontal="center"/>
    </xf>
    <xf numFmtId="0" fontId="17" fillId="3" borderId="19" xfId="2" applyFont="1" applyFill="1" applyBorder="1" applyAlignment="1">
      <alignment horizontal="center"/>
    </xf>
    <xf numFmtId="0" fontId="17" fillId="12" borderId="17" xfId="2" applyFont="1" applyFill="1" applyBorder="1" applyAlignment="1">
      <alignment horizontal="center"/>
    </xf>
    <xf numFmtId="0" fontId="17" fillId="12" borderId="7" xfId="2" applyFont="1" applyFill="1" applyBorder="1" applyAlignment="1">
      <alignment horizontal="center"/>
    </xf>
    <xf numFmtId="0" fontId="17" fillId="12" borderId="18" xfId="2" applyFont="1" applyFill="1" applyBorder="1" applyAlignment="1">
      <alignment horizontal="center"/>
    </xf>
    <xf numFmtId="0" fontId="33" fillId="6" borderId="0" xfId="2" applyFont="1" applyFill="1" applyAlignment="1">
      <alignment horizontal="center" vertical="center"/>
    </xf>
    <xf numFmtId="0" fontId="33" fillId="6" borderId="22" xfId="2" applyFont="1" applyFill="1" applyBorder="1" applyAlignment="1">
      <alignment horizontal="center" vertical="center"/>
    </xf>
    <xf numFmtId="0" fontId="17" fillId="3" borderId="27" xfId="2" applyFont="1" applyFill="1" applyBorder="1" applyAlignment="1">
      <alignment horizontal="center"/>
    </xf>
    <xf numFmtId="0" fontId="17" fillId="3" borderId="20" xfId="2" applyFont="1" applyFill="1" applyBorder="1" applyAlignment="1">
      <alignment horizontal="center"/>
    </xf>
    <xf numFmtId="0" fontId="33" fillId="6" borderId="4" xfId="2" applyFont="1" applyFill="1" applyBorder="1" applyAlignment="1">
      <alignment horizontal="center" vertical="center"/>
    </xf>
    <xf numFmtId="0" fontId="33" fillId="6" borderId="36" xfId="2" applyFont="1" applyFill="1" applyBorder="1" applyAlignment="1">
      <alignment horizontal="center" vertical="center"/>
    </xf>
    <xf numFmtId="0" fontId="17" fillId="3" borderId="15" xfId="2" applyFont="1" applyFill="1" applyBorder="1" applyAlignment="1">
      <alignment horizontal="center"/>
    </xf>
    <xf numFmtId="0" fontId="17" fillId="3" borderId="0" xfId="2" applyFont="1" applyFill="1" applyAlignment="1">
      <alignment horizontal="center"/>
    </xf>
    <xf numFmtId="0" fontId="23" fillId="12" borderId="15" xfId="2" applyFont="1" applyFill="1" applyBorder="1" applyAlignment="1">
      <alignment horizontal="center" vertical="center" wrapText="1"/>
    </xf>
    <xf numFmtId="0" fontId="23" fillId="12" borderId="12" xfId="2" applyFont="1" applyFill="1" applyBorder="1" applyAlignment="1">
      <alignment horizontal="center" vertical="center" wrapText="1"/>
    </xf>
    <xf numFmtId="0" fontId="17" fillId="12" borderId="25" xfId="2" applyFont="1" applyFill="1" applyBorder="1" applyAlignment="1">
      <alignment horizontal="center" vertical="center" wrapText="1"/>
    </xf>
    <xf numFmtId="0" fontId="17" fillId="12" borderId="32" xfId="2" applyFont="1" applyFill="1" applyBorder="1" applyAlignment="1">
      <alignment horizontal="center" vertical="center" wrapText="1"/>
    </xf>
    <xf numFmtId="0" fontId="39" fillId="6" borderId="0" xfId="17" applyFont="1" applyFill="1" applyAlignment="1">
      <alignment horizontal="center" vertical="center"/>
    </xf>
    <xf numFmtId="0" fontId="17" fillId="3" borderId="0" xfId="2" applyFont="1" applyFill="1" applyAlignment="1">
      <alignment horizontal="center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17" fillId="3" borderId="11" xfId="2" applyFont="1" applyFill="1" applyBorder="1" applyAlignment="1">
      <alignment horizontal="center" vertical="center" wrapText="1"/>
    </xf>
    <xf numFmtId="0" fontId="17" fillId="3" borderId="16" xfId="2" applyFont="1" applyFill="1" applyBorder="1" applyAlignment="1">
      <alignment horizontal="center" vertical="center" wrapText="1"/>
    </xf>
    <xf numFmtId="0" fontId="35" fillId="3" borderId="23" xfId="2" applyFont="1" applyFill="1" applyBorder="1" applyAlignment="1">
      <alignment horizontal="center" vertical="center" wrapText="1"/>
    </xf>
    <xf numFmtId="0" fontId="35" fillId="3" borderId="24" xfId="2" applyFont="1" applyFill="1" applyBorder="1" applyAlignment="1">
      <alignment horizontal="center" vertical="center" wrapText="1"/>
    </xf>
    <xf numFmtId="0" fontId="17" fillId="12" borderId="15" xfId="2" applyFont="1" applyFill="1" applyBorder="1" applyAlignment="1">
      <alignment horizontal="center" vertical="center" wrapText="1"/>
    </xf>
    <xf numFmtId="0" fontId="17" fillId="12" borderId="12" xfId="2" applyFont="1" applyFill="1" applyBorder="1" applyAlignment="1">
      <alignment horizontal="center" vertical="center" wrapText="1"/>
    </xf>
    <xf numFmtId="0" fontId="17" fillId="12" borderId="0" xfId="2" applyFont="1" applyFill="1" applyAlignment="1">
      <alignment horizontal="center" vertical="center" wrapText="1"/>
    </xf>
    <xf numFmtId="0" fontId="17" fillId="12" borderId="13" xfId="2" applyFont="1" applyFill="1" applyBorder="1" applyAlignment="1">
      <alignment horizontal="center" vertical="center" wrapText="1"/>
    </xf>
    <xf numFmtId="0" fontId="35" fillId="12" borderId="23" xfId="2" applyFont="1" applyFill="1" applyBorder="1" applyAlignment="1">
      <alignment horizontal="center" vertical="center" wrapText="1"/>
    </xf>
    <xf numFmtId="0" fontId="35" fillId="12" borderId="24" xfId="2" applyFont="1" applyFill="1" applyBorder="1" applyAlignment="1">
      <alignment horizontal="center" vertical="center" wrapText="1"/>
    </xf>
    <xf numFmtId="0" fontId="33" fillId="5" borderId="39" xfId="17" applyFont="1" applyFill="1" applyBorder="1" applyAlignment="1">
      <alignment horizontal="center"/>
    </xf>
    <xf numFmtId="0" fontId="35" fillId="5" borderId="29" xfId="2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</cellXfs>
  <cellStyles count="33">
    <cellStyle name="Comma" xfId="1" builtinId="3"/>
    <cellStyle name="Comma 2" xfId="13" xr:uid="{00000000-0005-0000-0000-000002000000}"/>
    <cellStyle name="Comma 3" xfId="16" xr:uid="{00000000-0005-0000-0000-000003000000}"/>
    <cellStyle name="Currency 2" xfId="14" xr:uid="{00000000-0005-0000-0000-000005000000}"/>
    <cellStyle name="Normal" xfId="0" builtinId="0"/>
    <cellStyle name="Normal 10" xfId="23" xr:uid="{93E2354C-CCBA-41CD-8137-CE72677079A0}"/>
    <cellStyle name="Normal 11" xfId="24" xr:uid="{79307BBE-5EFC-4960-A057-130DBB1C73FE}"/>
    <cellStyle name="Normal 12" xfId="26" xr:uid="{8685F872-76F4-47CA-8B3A-2D76E629EEA2}"/>
    <cellStyle name="Normal 13" xfId="27" xr:uid="{068BA5E9-E70F-47EA-96F3-28D61770B854}"/>
    <cellStyle name="Normal 14" xfId="29" xr:uid="{2EF23AA6-3033-4D9B-987F-1B4E3695C34B}"/>
    <cellStyle name="Normal 15" xfId="30" xr:uid="{C05FEC08-C6CD-4087-BC0C-004A908FC05F}"/>
    <cellStyle name="Normal 16" xfId="31" xr:uid="{DB38C8E3-F338-4880-8A4C-596AFDB6A587}"/>
    <cellStyle name="Normal 17" xfId="32" xr:uid="{E740D58C-6483-4CFF-8C0B-9FE9B226A495}"/>
    <cellStyle name="Normal 2" xfId="12" xr:uid="{00000000-0005-0000-0000-000008000000}"/>
    <cellStyle name="Normal 3" xfId="11" xr:uid="{00000000-0005-0000-0000-000009000000}"/>
    <cellStyle name="Normal 4" xfId="17" xr:uid="{00000000-0005-0000-0000-00000A000000}"/>
    <cellStyle name="Normal 5" xfId="18" xr:uid="{BCA0FA8C-64BD-4407-B24E-B67B90745F4A}"/>
    <cellStyle name="Normal 6" xfId="19" xr:uid="{B9C72B1C-7B99-405F-BAB2-7C38FC6FD211}"/>
    <cellStyle name="Normal 6 2" xfId="25" xr:uid="{B2FE6E1C-3BB7-49B6-AEDE-C2A6462929D2}"/>
    <cellStyle name="Normal 6 2 2" xfId="28" xr:uid="{8603CCAB-A538-44AF-9EBA-BF7613E9DD6D}"/>
    <cellStyle name="Normal 7" xfId="20" xr:uid="{EE8B3FF8-0CDB-47AA-8913-7F2DCEE50BA9}"/>
    <cellStyle name="Normal 8" xfId="21" xr:uid="{ECC63B17-C291-46E7-965E-33CB7766647A}"/>
    <cellStyle name="Normal 9" xfId="22" xr:uid="{8500048A-5FE3-4DA1-89E3-0EEBA4A09F00}"/>
    <cellStyle name="Normal_Population_2" xfId="10" xr:uid="{00000000-0005-0000-0000-00000F000000}"/>
    <cellStyle name="Normal_Sheet1" xfId="2" xr:uid="{00000000-0005-0000-0000-000011000000}"/>
    <cellStyle name="Percent" xfId="3" builtinId="5"/>
    <cellStyle name="Percent 2" xfId="15" xr:uid="{00000000-0005-0000-0000-000013000000}"/>
    <cellStyle name="PSChar" xfId="4" xr:uid="{00000000-0005-0000-0000-000014000000}"/>
    <cellStyle name="PSDate" xfId="5" xr:uid="{00000000-0005-0000-0000-000015000000}"/>
    <cellStyle name="PSDec" xfId="6" xr:uid="{00000000-0005-0000-0000-000016000000}"/>
    <cellStyle name="PSHeading" xfId="7" xr:uid="{00000000-0005-0000-0000-000017000000}"/>
    <cellStyle name="PSInt" xfId="8" xr:uid="{00000000-0005-0000-0000-000018000000}"/>
    <cellStyle name="PSSpacer" xfId="9" xr:uid="{00000000-0005-0000-0000-000019000000}"/>
  </cellStyles>
  <dxfs count="0"/>
  <tableStyles count="0" defaultTableStyle="TableStyleMedium9" defaultPivotStyle="PivotStyleLight16"/>
  <colors>
    <mruColors>
      <color rgb="FFFFFF99"/>
      <color rgb="FFFF9900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andegrift/Local%20Settings/Temporary%20Internet%20Files/OLK2E/2011-02%20mc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LOTUSDAT/08GA/Decision%20Packages/Stage%203%20DP%20Submit%20to%20SHHR/ALTC%20-%20Form%20N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bas/HC/Virginia/08PACE/Workpapers/Data%20Source/Mem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LOTUSDAT/Cost%20Effectiveness/ALTC/P1&amp;P2%20Final%20doc's%20With%20Richmond/Reference%20Docs%20used%20for%20initial%20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DICAID_BY_REGION (2)"/>
      <sheetName val="MC Flash"/>
      <sheetName val="FAMIS Flash"/>
      <sheetName val="MEDICAID_BY_REGION"/>
      <sheetName val="FAMIS_BY_REGION"/>
      <sheetName val="MEDICAID_BY_FIPS"/>
      <sheetName val="FAMIS_BY_FIPS"/>
      <sheetName val="Medallion II &amp; FAMIS MCO Totals"/>
      <sheetName val="MEDALLION_Children_BY_FIPS"/>
      <sheetName val="FFS_CHILDREN_BY_FIPS"/>
      <sheetName val="MEDALLION_II_Children_BY_FIPS"/>
      <sheetName val="Medicaid SSI Children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itionCalculator"/>
      <sheetName val="Instructions"/>
      <sheetName val="BenefitRates"/>
      <sheetName val="Lists"/>
    </sheetNames>
    <sheetDataSet>
      <sheetData sheetId="0" refreshError="1"/>
      <sheetData sheetId="1" refreshError="1"/>
      <sheetData sheetId="2">
        <row r="5">
          <cell r="F5" t="str">
            <v>Single Coverage</v>
          </cell>
        </row>
        <row r="6">
          <cell r="F6" t="str">
            <v>Employee + One</v>
          </cell>
        </row>
        <row r="7">
          <cell r="F7" t="str">
            <v>Family Coverage</v>
          </cell>
        </row>
        <row r="8">
          <cell r="F8" t="str">
            <v>Coverage Waived</v>
          </cell>
        </row>
      </sheetData>
      <sheetData sheetId="3">
        <row r="5">
          <cell r="D5" t="str">
            <v>Yes</v>
          </cell>
        </row>
        <row r="6">
          <cell r="D6" t="str">
            <v>No</v>
          </cell>
        </row>
        <row r="9">
          <cell r="D9" t="str">
            <v>VRS-Regular</v>
          </cell>
        </row>
        <row r="10">
          <cell r="D10" t="str">
            <v>VaLORS</v>
          </cell>
        </row>
        <row r="11">
          <cell r="D11" t="str">
            <v>SPORS</v>
          </cell>
        </row>
        <row r="12">
          <cell r="D12" t="str">
            <v>Judges</v>
          </cell>
        </row>
        <row r="13">
          <cell r="D13" t="str">
            <v>Defined Contrib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Mo"/>
      <sheetName val="MemMo For Trends"/>
      <sheetName val="Compare - Monthly Differ"/>
      <sheetName val="Compare - Annual Differ"/>
      <sheetName val="Compare - FY2005 Differ"/>
      <sheetName val="Compare1 - FY2005 Differ (Fix)"/>
      <sheetName val="Compare2 - FY2005 Differ (Fix)"/>
      <sheetName val="FY07 MemMo Data Source (Fix)"/>
      <sheetName val="FY08 MemMo Data Source"/>
      <sheetName val="elig_DESIG"/>
      <sheetName val="elig_MODxCHG"/>
      <sheetName val="elig_SPG"/>
      <sheetName val="elig_PGM"/>
      <sheetName val="elig_PROV"/>
      <sheetName val="MemMo E23For Tre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-Sal Direct Assump"/>
      <sheetName val="Ref-ALTC NP FORM"/>
      <sheetName val="Ref-ALTC Staffing"/>
    </sheetNames>
    <sheetDataSet>
      <sheetData sheetId="0" refreshError="1"/>
      <sheetData sheetId="1">
        <row r="4">
          <cell r="A4" t="str">
            <v>Prog Admin Spec II</v>
          </cell>
          <cell r="B4" t="str">
            <v>VRS-Regular</v>
          </cell>
          <cell r="C4" t="str">
            <v>Yes</v>
          </cell>
          <cell r="D4">
            <v>60922</v>
          </cell>
          <cell r="E4" t="str">
            <v>Family Coverage</v>
          </cell>
          <cell r="F4">
            <v>24</v>
          </cell>
          <cell r="G4">
            <v>24</v>
          </cell>
          <cell r="H4">
            <v>60922</v>
          </cell>
          <cell r="I4">
            <v>6793</v>
          </cell>
          <cell r="J4">
            <v>4661</v>
          </cell>
          <cell r="K4">
            <v>609</v>
          </cell>
          <cell r="L4">
            <v>12420</v>
          </cell>
          <cell r="M4">
            <v>731</v>
          </cell>
          <cell r="N4">
            <v>1218</v>
          </cell>
          <cell r="O4">
            <v>480</v>
          </cell>
          <cell r="P4">
            <v>87834</v>
          </cell>
          <cell r="Q4">
            <v>60922</v>
          </cell>
          <cell r="R4">
            <v>6793</v>
          </cell>
          <cell r="S4">
            <v>4661</v>
          </cell>
          <cell r="T4">
            <v>609</v>
          </cell>
          <cell r="U4">
            <v>12420</v>
          </cell>
          <cell r="V4">
            <v>731</v>
          </cell>
          <cell r="W4">
            <v>1218</v>
          </cell>
          <cell r="X4">
            <v>480</v>
          </cell>
          <cell r="Y4">
            <v>87834</v>
          </cell>
        </row>
        <row r="5">
          <cell r="A5" t="str">
            <v>Prog Admin Spec II</v>
          </cell>
          <cell r="B5" t="str">
            <v>VRS-Regular</v>
          </cell>
          <cell r="C5" t="str">
            <v>Yes</v>
          </cell>
          <cell r="D5">
            <v>60922</v>
          </cell>
          <cell r="E5" t="str">
            <v>Family Coverage</v>
          </cell>
          <cell r="F5">
            <v>24</v>
          </cell>
          <cell r="G5">
            <v>24</v>
          </cell>
          <cell r="H5">
            <v>60922</v>
          </cell>
          <cell r="I5">
            <v>6793</v>
          </cell>
          <cell r="J5">
            <v>4661</v>
          </cell>
          <cell r="K5">
            <v>609</v>
          </cell>
          <cell r="L5">
            <v>12420</v>
          </cell>
          <cell r="M5">
            <v>731</v>
          </cell>
          <cell r="N5">
            <v>1218</v>
          </cell>
          <cell r="O5">
            <v>480</v>
          </cell>
          <cell r="P5">
            <v>87834</v>
          </cell>
          <cell r="Q5">
            <v>60922</v>
          </cell>
          <cell r="R5">
            <v>6793</v>
          </cell>
          <cell r="S5">
            <v>4661</v>
          </cell>
          <cell r="T5">
            <v>609</v>
          </cell>
          <cell r="U5">
            <v>12420</v>
          </cell>
          <cell r="V5">
            <v>731</v>
          </cell>
          <cell r="W5">
            <v>1218</v>
          </cell>
          <cell r="X5">
            <v>480</v>
          </cell>
          <cell r="Y5">
            <v>87834</v>
          </cell>
        </row>
        <row r="6">
          <cell r="A6" t="str">
            <v>Prog Admin Spec II</v>
          </cell>
          <cell r="B6" t="str">
            <v>VRS-Regular</v>
          </cell>
          <cell r="C6" t="str">
            <v>Yes</v>
          </cell>
          <cell r="D6">
            <v>60922</v>
          </cell>
          <cell r="E6" t="str">
            <v>Family Coverage</v>
          </cell>
          <cell r="F6">
            <v>24</v>
          </cell>
          <cell r="G6">
            <v>24</v>
          </cell>
          <cell r="H6">
            <v>60922</v>
          </cell>
          <cell r="I6">
            <v>6793</v>
          </cell>
          <cell r="J6">
            <v>4661</v>
          </cell>
          <cell r="K6">
            <v>609</v>
          </cell>
          <cell r="L6">
            <v>12420</v>
          </cell>
          <cell r="M6">
            <v>731</v>
          </cell>
          <cell r="N6">
            <v>1218</v>
          </cell>
          <cell r="O6">
            <v>480</v>
          </cell>
          <cell r="P6">
            <v>87834</v>
          </cell>
          <cell r="Q6">
            <v>60922</v>
          </cell>
          <cell r="R6">
            <v>6793</v>
          </cell>
          <cell r="S6">
            <v>4661</v>
          </cell>
          <cell r="T6">
            <v>609</v>
          </cell>
          <cell r="U6">
            <v>12420</v>
          </cell>
          <cell r="V6">
            <v>731</v>
          </cell>
          <cell r="W6">
            <v>1218</v>
          </cell>
          <cell r="X6">
            <v>480</v>
          </cell>
          <cell r="Y6">
            <v>87834</v>
          </cell>
        </row>
        <row r="7">
          <cell r="A7" t="str">
            <v xml:space="preserve">Prog Admin Spec I </v>
          </cell>
          <cell r="B7" t="str">
            <v>VRS-Regular</v>
          </cell>
          <cell r="C7" t="str">
            <v>Yes</v>
          </cell>
          <cell r="D7">
            <v>43449</v>
          </cell>
          <cell r="E7" t="str">
            <v>Family Coverage</v>
          </cell>
          <cell r="F7">
            <v>24</v>
          </cell>
          <cell r="G7">
            <v>24</v>
          </cell>
          <cell r="H7">
            <v>43449</v>
          </cell>
          <cell r="I7">
            <v>4845</v>
          </cell>
          <cell r="J7">
            <v>3324</v>
          </cell>
          <cell r="K7">
            <v>434</v>
          </cell>
          <cell r="L7">
            <v>12420</v>
          </cell>
          <cell r="M7">
            <v>521</v>
          </cell>
          <cell r="N7">
            <v>869</v>
          </cell>
          <cell r="O7">
            <v>480</v>
          </cell>
          <cell r="P7">
            <v>66342</v>
          </cell>
          <cell r="Q7">
            <v>43449</v>
          </cell>
          <cell r="R7">
            <v>4845</v>
          </cell>
          <cell r="S7">
            <v>3324</v>
          </cell>
          <cell r="T7">
            <v>434</v>
          </cell>
          <cell r="U7">
            <v>12420</v>
          </cell>
          <cell r="V7">
            <v>521</v>
          </cell>
          <cell r="W7">
            <v>869</v>
          </cell>
          <cell r="X7">
            <v>480</v>
          </cell>
          <cell r="Y7">
            <v>66342</v>
          </cell>
        </row>
        <row r="8">
          <cell r="A8" t="str">
            <v>Prog Admin Spec I</v>
          </cell>
          <cell r="B8" t="str">
            <v>VRS-Regular</v>
          </cell>
          <cell r="C8" t="str">
            <v>Yes</v>
          </cell>
          <cell r="D8">
            <v>43449</v>
          </cell>
          <cell r="E8" t="str">
            <v>Family Coverage</v>
          </cell>
          <cell r="F8">
            <v>24</v>
          </cell>
          <cell r="G8">
            <v>24</v>
          </cell>
          <cell r="H8">
            <v>43449</v>
          </cell>
          <cell r="I8">
            <v>4845</v>
          </cell>
          <cell r="J8">
            <v>3324</v>
          </cell>
          <cell r="K8">
            <v>434</v>
          </cell>
          <cell r="L8">
            <v>12420</v>
          </cell>
          <cell r="M8">
            <v>521</v>
          </cell>
          <cell r="N8">
            <v>869</v>
          </cell>
          <cell r="O8">
            <v>480</v>
          </cell>
          <cell r="P8">
            <v>66342</v>
          </cell>
          <cell r="Q8">
            <v>43449</v>
          </cell>
          <cell r="R8">
            <v>4845</v>
          </cell>
          <cell r="S8">
            <v>3324</v>
          </cell>
          <cell r="T8">
            <v>434</v>
          </cell>
          <cell r="U8">
            <v>12420</v>
          </cell>
          <cell r="V8">
            <v>521</v>
          </cell>
          <cell r="W8">
            <v>869</v>
          </cell>
          <cell r="X8">
            <v>480</v>
          </cell>
          <cell r="Y8">
            <v>66342</v>
          </cell>
        </row>
        <row r="9">
          <cell r="A9" t="str">
            <v>Prog Admin Spec I</v>
          </cell>
          <cell r="B9" t="str">
            <v>VRS-Regular</v>
          </cell>
          <cell r="C9" t="str">
            <v>Yes</v>
          </cell>
          <cell r="D9">
            <v>43449</v>
          </cell>
          <cell r="E9" t="str">
            <v>Family Coverage</v>
          </cell>
          <cell r="F9">
            <v>24</v>
          </cell>
          <cell r="G9">
            <v>24</v>
          </cell>
          <cell r="H9">
            <v>43449</v>
          </cell>
          <cell r="I9">
            <v>4845</v>
          </cell>
          <cell r="J9">
            <v>3324</v>
          </cell>
          <cell r="K9">
            <v>434</v>
          </cell>
          <cell r="L9">
            <v>12420</v>
          </cell>
          <cell r="M9">
            <v>521</v>
          </cell>
          <cell r="N9">
            <v>869</v>
          </cell>
          <cell r="O9">
            <v>480</v>
          </cell>
          <cell r="P9">
            <v>66342</v>
          </cell>
          <cell r="Q9">
            <v>43449</v>
          </cell>
          <cell r="R9">
            <v>4845</v>
          </cell>
          <cell r="S9">
            <v>3324</v>
          </cell>
          <cell r="T9">
            <v>434</v>
          </cell>
          <cell r="U9">
            <v>12420</v>
          </cell>
          <cell r="V9">
            <v>521</v>
          </cell>
          <cell r="W9">
            <v>869</v>
          </cell>
          <cell r="X9">
            <v>480</v>
          </cell>
          <cell r="Y9">
            <v>66342</v>
          </cell>
        </row>
        <row r="10">
          <cell r="A10" t="str">
            <v>Admin Office Spec II</v>
          </cell>
          <cell r="B10" t="str">
            <v>VRS-Regular</v>
          </cell>
          <cell r="C10" t="str">
            <v>Yes</v>
          </cell>
          <cell r="D10">
            <v>31054</v>
          </cell>
          <cell r="E10" t="str">
            <v>Family Coverage</v>
          </cell>
          <cell r="F10">
            <v>24</v>
          </cell>
          <cell r="G10">
            <v>24</v>
          </cell>
          <cell r="H10">
            <v>31054</v>
          </cell>
          <cell r="I10">
            <v>3463</v>
          </cell>
          <cell r="J10">
            <v>2376</v>
          </cell>
          <cell r="K10">
            <v>311</v>
          </cell>
          <cell r="L10">
            <v>12420</v>
          </cell>
          <cell r="M10">
            <v>373</v>
          </cell>
          <cell r="N10">
            <v>621</v>
          </cell>
          <cell r="O10">
            <v>480</v>
          </cell>
          <cell r="P10">
            <v>51098</v>
          </cell>
          <cell r="Q10">
            <v>31054</v>
          </cell>
          <cell r="R10">
            <v>3463</v>
          </cell>
          <cell r="S10">
            <v>2376</v>
          </cell>
          <cell r="T10">
            <v>311</v>
          </cell>
          <cell r="U10">
            <v>12420</v>
          </cell>
          <cell r="V10">
            <v>373</v>
          </cell>
          <cell r="W10">
            <v>621</v>
          </cell>
          <cell r="X10">
            <v>480</v>
          </cell>
          <cell r="Y10">
            <v>51098</v>
          </cell>
        </row>
        <row r="11">
          <cell r="A11" t="str">
            <v>Policy Planning Spec II</v>
          </cell>
          <cell r="B11" t="str">
            <v>VRS-Regular</v>
          </cell>
          <cell r="C11" t="str">
            <v>Yes</v>
          </cell>
          <cell r="D11">
            <v>60922</v>
          </cell>
          <cell r="E11" t="str">
            <v>Family Coverage</v>
          </cell>
          <cell r="F11">
            <v>24</v>
          </cell>
          <cell r="G11">
            <v>24</v>
          </cell>
          <cell r="H11">
            <v>60922</v>
          </cell>
          <cell r="I11">
            <v>6793</v>
          </cell>
          <cell r="J11">
            <v>4661</v>
          </cell>
          <cell r="K11">
            <v>609</v>
          </cell>
          <cell r="L11">
            <v>12420</v>
          </cell>
          <cell r="M11">
            <v>731</v>
          </cell>
          <cell r="N11">
            <v>1218</v>
          </cell>
          <cell r="O11">
            <v>480</v>
          </cell>
          <cell r="P11">
            <v>87834</v>
          </cell>
          <cell r="Q11">
            <v>60922</v>
          </cell>
          <cell r="R11">
            <v>6793</v>
          </cell>
          <cell r="S11">
            <v>4661</v>
          </cell>
          <cell r="T11">
            <v>609</v>
          </cell>
          <cell r="U11">
            <v>12420</v>
          </cell>
          <cell r="V11">
            <v>731</v>
          </cell>
          <cell r="W11">
            <v>1218</v>
          </cell>
          <cell r="X11">
            <v>480</v>
          </cell>
          <cell r="Y11">
            <v>87834</v>
          </cell>
        </row>
        <row r="12">
          <cell r="A12" t="str">
            <v>Hlth Care Compl Spec II</v>
          </cell>
          <cell r="B12" t="str">
            <v>VRS-Regular</v>
          </cell>
          <cell r="C12" t="str">
            <v>Yes</v>
          </cell>
          <cell r="D12">
            <v>51816</v>
          </cell>
          <cell r="E12" t="str">
            <v>Family Coverage</v>
          </cell>
          <cell r="F12">
            <v>24</v>
          </cell>
          <cell r="G12">
            <v>24</v>
          </cell>
          <cell r="H12">
            <v>51816</v>
          </cell>
          <cell r="I12">
            <v>5777</v>
          </cell>
          <cell r="J12">
            <v>3964</v>
          </cell>
          <cell r="K12">
            <v>518</v>
          </cell>
          <cell r="L12">
            <v>12420</v>
          </cell>
          <cell r="M12">
            <v>622</v>
          </cell>
          <cell r="N12">
            <v>1036</v>
          </cell>
          <cell r="O12">
            <v>480</v>
          </cell>
          <cell r="P12">
            <v>76633</v>
          </cell>
          <cell r="Q12">
            <v>51816</v>
          </cell>
          <cell r="R12">
            <v>5777</v>
          </cell>
          <cell r="S12">
            <v>3964</v>
          </cell>
          <cell r="T12">
            <v>518</v>
          </cell>
          <cell r="U12">
            <v>12420</v>
          </cell>
          <cell r="V12">
            <v>622</v>
          </cell>
          <cell r="W12">
            <v>1036</v>
          </cell>
          <cell r="X12">
            <v>480</v>
          </cell>
          <cell r="Y12">
            <v>76633</v>
          </cell>
        </row>
        <row r="13">
          <cell r="A13" t="str">
            <v>Hlth Care Compl Spec II</v>
          </cell>
          <cell r="B13" t="str">
            <v>VRS-Regular</v>
          </cell>
          <cell r="C13" t="str">
            <v>Yes</v>
          </cell>
          <cell r="D13">
            <v>51816</v>
          </cell>
          <cell r="E13" t="str">
            <v>Family Coverage</v>
          </cell>
          <cell r="F13">
            <v>24</v>
          </cell>
          <cell r="G13">
            <v>24</v>
          </cell>
          <cell r="H13">
            <v>51816</v>
          </cell>
          <cell r="I13">
            <v>5777</v>
          </cell>
          <cell r="J13">
            <v>3964</v>
          </cell>
          <cell r="K13">
            <v>518</v>
          </cell>
          <cell r="L13">
            <v>12420</v>
          </cell>
          <cell r="M13">
            <v>622</v>
          </cell>
          <cell r="N13">
            <v>1036</v>
          </cell>
          <cell r="O13">
            <v>480</v>
          </cell>
          <cell r="P13">
            <v>76633</v>
          </cell>
          <cell r="Q13">
            <v>51816</v>
          </cell>
          <cell r="R13">
            <v>5777</v>
          </cell>
          <cell r="S13">
            <v>3964</v>
          </cell>
          <cell r="T13">
            <v>518</v>
          </cell>
          <cell r="U13">
            <v>12420</v>
          </cell>
          <cell r="V13">
            <v>622</v>
          </cell>
          <cell r="W13">
            <v>1036</v>
          </cell>
          <cell r="X13">
            <v>480</v>
          </cell>
          <cell r="Y13">
            <v>76633</v>
          </cell>
        </row>
        <row r="14">
          <cell r="B14" t="str">
            <v>VRS-Regular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3B23-6EFE-48F6-B2B4-B61B0D78BC09}">
  <sheetPr>
    <tabColor theme="0"/>
    <pageSetUpPr fitToPage="1"/>
  </sheetPr>
  <dimension ref="A1:Z189"/>
  <sheetViews>
    <sheetView tabSelected="1" zoomScale="90" zoomScaleNormal="90" workbookViewId="0">
      <pane xSplit="2" ySplit="5" topLeftCell="C97" activePane="bottomRight" state="frozen"/>
      <selection activeCell="F136" sqref="F136"/>
      <selection pane="topRight" activeCell="F136" sqref="F136"/>
      <selection pane="bottomLeft" activeCell="F136" sqref="F136"/>
      <selection pane="bottomRight" activeCell="D188" sqref="D188"/>
    </sheetView>
  </sheetViews>
  <sheetFormatPr defaultColWidth="9.109375" defaultRowHeight="13.2" x14ac:dyDescent="0.25"/>
  <cols>
    <col min="1" max="1" width="10.33203125" style="33" customWidth="1"/>
    <col min="2" max="2" width="1.5546875" style="33" customWidth="1"/>
    <col min="3" max="3" width="24" style="32" customWidth="1"/>
    <col min="4" max="4" width="11.44140625" style="32" customWidth="1"/>
    <col min="5" max="5" width="19.6640625" style="32" customWidth="1"/>
    <col min="6" max="6" width="9.88671875" style="32" customWidth="1"/>
    <col min="7" max="7" width="18.33203125" style="32" customWidth="1"/>
    <col min="8" max="8" width="24.6640625" style="32" customWidth="1"/>
    <col min="9" max="9" width="10.77734375" style="32" customWidth="1"/>
    <col min="10" max="10" width="11.21875" style="32" customWidth="1"/>
    <col min="11" max="11" width="15.5546875" style="32" customWidth="1"/>
    <col min="12" max="12" width="22.33203125" style="32" customWidth="1"/>
    <col min="13" max="13" width="10.6640625" style="32" customWidth="1"/>
    <col min="14" max="14" width="14.77734375" style="32" customWidth="1"/>
    <col min="15" max="15" width="13.21875" style="32" customWidth="1"/>
    <col min="16" max="16" width="10.77734375" style="32" customWidth="1"/>
    <col min="17" max="17" width="24.21875" style="32" customWidth="1"/>
    <col min="18" max="18" width="12.6640625" style="32" customWidth="1"/>
    <col min="19" max="19" width="13.88671875" style="32" customWidth="1"/>
    <col min="20" max="20" width="17.88671875" style="32" customWidth="1"/>
    <col min="21" max="21" width="22" style="32" customWidth="1"/>
    <col min="22" max="22" width="17.5546875" style="32" customWidth="1"/>
    <col min="23" max="23" width="13.5546875" style="32" customWidth="1"/>
    <col min="24" max="24" width="11.33203125" style="32" customWidth="1"/>
    <col min="25" max="25" width="13.33203125" style="32" customWidth="1"/>
    <col min="26" max="26" width="13.109375" style="32" customWidth="1"/>
    <col min="27" max="27" width="12.6640625" style="32" customWidth="1"/>
    <col min="28" max="16384" width="9.109375" style="32"/>
  </cols>
  <sheetData>
    <row r="1" spans="1:25" s="46" customFormat="1" ht="17.399999999999999" x14ac:dyDescent="0.3">
      <c r="A1" s="47"/>
      <c r="B1" s="47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s="48" customFormat="1" ht="18.600000000000001" customHeight="1" x14ac:dyDescent="0.25">
      <c r="A2" s="49"/>
      <c r="B2" s="49"/>
      <c r="C2" s="189" t="s">
        <v>372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90"/>
      <c r="T2" s="166" t="s">
        <v>99</v>
      </c>
      <c r="U2" s="166"/>
      <c r="V2" s="166"/>
      <c r="W2" s="166"/>
      <c r="X2" s="166"/>
      <c r="Y2" s="167" t="s">
        <v>97</v>
      </c>
    </row>
    <row r="3" spans="1:25" s="46" customFormat="1" ht="12.75" customHeight="1" x14ac:dyDescent="0.25">
      <c r="A3" s="47"/>
      <c r="B3" s="47"/>
      <c r="C3" s="168" t="s">
        <v>118</v>
      </c>
      <c r="D3" s="169"/>
      <c r="E3" s="169"/>
      <c r="F3" s="169"/>
      <c r="G3" s="169"/>
      <c r="H3" s="170"/>
      <c r="I3" s="171" t="s">
        <v>102</v>
      </c>
      <c r="J3" s="172"/>
      <c r="K3" s="172"/>
      <c r="L3" s="172"/>
      <c r="M3" s="172"/>
      <c r="N3" s="173"/>
      <c r="O3" s="174" t="s">
        <v>159</v>
      </c>
      <c r="P3" s="175"/>
      <c r="Q3" s="175"/>
      <c r="R3" s="176"/>
      <c r="S3" s="177" t="s">
        <v>0</v>
      </c>
      <c r="T3" s="179" t="s">
        <v>98</v>
      </c>
      <c r="U3" s="180"/>
      <c r="V3" s="91" t="s">
        <v>96</v>
      </c>
      <c r="W3" s="92" t="s">
        <v>96</v>
      </c>
      <c r="X3" s="181" t="s">
        <v>0</v>
      </c>
      <c r="Y3" s="167"/>
    </row>
    <row r="4" spans="1:25" s="46" customFormat="1" ht="12.75" customHeight="1" x14ac:dyDescent="0.25">
      <c r="A4" s="47"/>
      <c r="B4" s="47"/>
      <c r="C4" s="183" t="s">
        <v>117</v>
      </c>
      <c r="D4" s="184"/>
      <c r="E4" s="184"/>
      <c r="F4" s="184"/>
      <c r="G4" s="184"/>
      <c r="H4" s="185" t="s">
        <v>104</v>
      </c>
      <c r="I4" s="187" t="s">
        <v>106</v>
      </c>
      <c r="J4" s="190" t="s">
        <v>88</v>
      </c>
      <c r="K4" s="190" t="s">
        <v>98</v>
      </c>
      <c r="L4" s="93"/>
      <c r="M4" s="190" t="s">
        <v>140</v>
      </c>
      <c r="N4" s="194" t="s">
        <v>0</v>
      </c>
      <c r="O4" s="196" t="s">
        <v>106</v>
      </c>
      <c r="P4" s="198" t="s">
        <v>160</v>
      </c>
      <c r="Q4" s="94"/>
      <c r="R4" s="200" t="s">
        <v>0</v>
      </c>
      <c r="S4" s="177"/>
      <c r="T4" s="192" t="s">
        <v>146</v>
      </c>
      <c r="U4" s="190" t="s">
        <v>147</v>
      </c>
      <c r="V4" s="192" t="s">
        <v>338</v>
      </c>
      <c r="W4" s="190" t="s">
        <v>232</v>
      </c>
      <c r="X4" s="181"/>
      <c r="Y4" s="167"/>
    </row>
    <row r="5" spans="1:25" s="44" customFormat="1" ht="135.6" customHeight="1" x14ac:dyDescent="0.25">
      <c r="A5" s="45"/>
      <c r="B5" s="45"/>
      <c r="C5" s="95" t="s">
        <v>383</v>
      </c>
      <c r="D5" s="96" t="s">
        <v>384</v>
      </c>
      <c r="E5" s="96" t="s">
        <v>115</v>
      </c>
      <c r="F5" s="96" t="s">
        <v>116</v>
      </c>
      <c r="G5" s="97" t="s">
        <v>0</v>
      </c>
      <c r="H5" s="186"/>
      <c r="I5" s="188"/>
      <c r="J5" s="191"/>
      <c r="K5" s="191"/>
      <c r="L5" s="107" t="s">
        <v>374</v>
      </c>
      <c r="M5" s="191"/>
      <c r="N5" s="195"/>
      <c r="O5" s="197"/>
      <c r="P5" s="199"/>
      <c r="Q5" s="107" t="s">
        <v>373</v>
      </c>
      <c r="R5" s="201"/>
      <c r="S5" s="178"/>
      <c r="T5" s="193"/>
      <c r="U5" s="190"/>
      <c r="V5" s="193"/>
      <c r="W5" s="190" t="s">
        <v>232</v>
      </c>
      <c r="X5" s="182"/>
      <c r="Y5" s="167"/>
    </row>
    <row r="6" spans="1:25" x14ac:dyDescent="0.25">
      <c r="A6" s="17">
        <v>43282</v>
      </c>
      <c r="B6" s="17"/>
      <c r="C6" s="72">
        <f t="shared" ref="C6:C19" si="0">G6-D6-E6-F6</f>
        <v>153727</v>
      </c>
      <c r="D6" s="18">
        <f>19433+584</f>
        <v>20017</v>
      </c>
      <c r="E6" s="18">
        <v>49345</v>
      </c>
      <c r="F6" s="18">
        <v>1325</v>
      </c>
      <c r="G6" s="78">
        <f>Population!DK52+Population!DL52</f>
        <v>224414</v>
      </c>
      <c r="H6" s="65">
        <f>Population!DM52+Population!DN52</f>
        <v>61585</v>
      </c>
      <c r="I6" s="69">
        <f>Population!DP52</f>
        <v>115630</v>
      </c>
      <c r="J6" s="18">
        <f>Population!DR52</f>
        <v>15901</v>
      </c>
      <c r="K6" s="18">
        <f>Population!DO52+Population!DT52</f>
        <v>503959</v>
      </c>
      <c r="L6" s="18">
        <f>Population!CW52+Population!CX52+Population!BX52+Population!CQ52+Population!CR52</f>
        <v>16241</v>
      </c>
      <c r="M6" s="18">
        <f>Population!DS52</f>
        <v>133602</v>
      </c>
      <c r="N6" s="76">
        <f>SUM(I6:M6)</f>
        <v>785333</v>
      </c>
      <c r="O6" s="69">
        <f>Population!DU52</f>
        <v>0</v>
      </c>
      <c r="P6" s="18">
        <f>Population!DV52</f>
        <v>0</v>
      </c>
      <c r="Q6" s="21">
        <f>Population!CU52+Population!CV52+Population!CP52</f>
        <v>0</v>
      </c>
      <c r="R6" s="74">
        <f t="shared" ref="R6:R11" si="1">SUM(O6:Q6)</f>
        <v>0</v>
      </c>
      <c r="S6" s="100">
        <f>G6+N6+Q6+H6</f>
        <v>1071332</v>
      </c>
      <c r="T6" s="20">
        <f>Population!CF52</f>
        <v>63813</v>
      </c>
      <c r="U6" s="20">
        <f>SUM(Population!G52:K52,Population!N52)</f>
        <v>70858</v>
      </c>
      <c r="V6" s="74">
        <f>Population!F52</f>
        <v>1157</v>
      </c>
      <c r="W6" s="18">
        <v>0</v>
      </c>
      <c r="X6" s="101">
        <f>SUM(T6:W6)</f>
        <v>135828</v>
      </c>
      <c r="Y6" s="71">
        <f>S6+X6</f>
        <v>1207160</v>
      </c>
    </row>
    <row r="7" spans="1:25" x14ac:dyDescent="0.25">
      <c r="A7" s="17">
        <v>43313</v>
      </c>
      <c r="B7" s="17"/>
      <c r="C7" s="72">
        <f t="shared" si="0"/>
        <v>153507</v>
      </c>
      <c r="D7" s="18">
        <f>19253+688</f>
        <v>19941</v>
      </c>
      <c r="E7" s="18">
        <v>49667</v>
      </c>
      <c r="F7" s="18">
        <v>1343</v>
      </c>
      <c r="G7" s="78">
        <f>Population!DK53+Population!DL53</f>
        <v>224458</v>
      </c>
      <c r="H7" s="65">
        <f>Population!DM53+Population!DN53</f>
        <v>61604</v>
      </c>
      <c r="I7" s="69">
        <f>Population!DP53</f>
        <v>115734</v>
      </c>
      <c r="J7" s="18">
        <f>Population!DR53</f>
        <v>15851</v>
      </c>
      <c r="K7" s="18">
        <f>Population!DO53+Population!DT53</f>
        <v>503201</v>
      </c>
      <c r="L7" s="18">
        <f>Population!CW53+Population!CX53+Population!BX53+Population!CQ53+Population!CR53</f>
        <v>16464</v>
      </c>
      <c r="M7" s="18">
        <f>Population!DS53</f>
        <v>133612</v>
      </c>
      <c r="N7" s="76">
        <f t="shared" ref="N7:N19" si="2">SUM(I7:M7)</f>
        <v>784862</v>
      </c>
      <c r="O7" s="69">
        <f>Population!DU53</f>
        <v>0</v>
      </c>
      <c r="P7" s="18">
        <f>Population!DV53</f>
        <v>0</v>
      </c>
      <c r="Q7" s="21">
        <f>Population!CU53+Population!CV53+Population!CP53</f>
        <v>0</v>
      </c>
      <c r="R7" s="74">
        <f t="shared" si="1"/>
        <v>0</v>
      </c>
      <c r="S7" s="100">
        <f t="shared" ref="S7:S19" si="3">G7+N7+Q7+H7</f>
        <v>1070924</v>
      </c>
      <c r="T7" s="20">
        <f>Population!CF53</f>
        <v>63529</v>
      </c>
      <c r="U7" s="20">
        <f>SUM(Population!G53:K53,Population!N53)</f>
        <v>70315</v>
      </c>
      <c r="V7" s="74">
        <f>Population!F53</f>
        <v>1140</v>
      </c>
      <c r="W7" s="18">
        <v>0</v>
      </c>
      <c r="X7" s="101">
        <f t="shared" ref="X7:X19" si="4">SUM(T7:W7)</f>
        <v>134984</v>
      </c>
      <c r="Y7" s="71">
        <f t="shared" ref="Y7:Y19" si="5">S7+X7</f>
        <v>1205908</v>
      </c>
    </row>
    <row r="8" spans="1:25" x14ac:dyDescent="0.25">
      <c r="A8" s="17">
        <v>43344</v>
      </c>
      <c r="B8" s="17"/>
      <c r="C8" s="72">
        <f t="shared" si="0"/>
        <v>153441</v>
      </c>
      <c r="D8" s="18">
        <f>19222+668</f>
        <v>19890</v>
      </c>
      <c r="E8" s="18">
        <v>49747</v>
      </c>
      <c r="F8" s="18">
        <v>1326</v>
      </c>
      <c r="G8" s="78">
        <f>Population!DK54+Population!DL54</f>
        <v>224404</v>
      </c>
      <c r="H8" s="65">
        <f>Population!DM54+Population!DN54</f>
        <v>61822</v>
      </c>
      <c r="I8" s="69">
        <f>Population!DP54</f>
        <v>115908</v>
      </c>
      <c r="J8" s="18">
        <f>Population!DR54</f>
        <v>16042</v>
      </c>
      <c r="K8" s="18">
        <f>Population!DO54+Population!DT54</f>
        <v>503591</v>
      </c>
      <c r="L8" s="18">
        <f>Population!CW54+Population!CX54+Population!BX54+Population!CQ54+Population!CR54</f>
        <v>16813</v>
      </c>
      <c r="M8" s="18">
        <f>Population!DS54</f>
        <v>134934</v>
      </c>
      <c r="N8" s="76">
        <f t="shared" si="2"/>
        <v>787288</v>
      </c>
      <c r="O8" s="69">
        <f>Population!DU54</f>
        <v>0</v>
      </c>
      <c r="P8" s="18">
        <f>Population!DV54</f>
        <v>0</v>
      </c>
      <c r="Q8" s="21">
        <f>Population!CU54+Population!CV54+Population!CP54</f>
        <v>0</v>
      </c>
      <c r="R8" s="74">
        <f t="shared" si="1"/>
        <v>0</v>
      </c>
      <c r="S8" s="100">
        <f t="shared" si="3"/>
        <v>1073514</v>
      </c>
      <c r="T8" s="20">
        <f>Population!CF54</f>
        <v>63299</v>
      </c>
      <c r="U8" s="20">
        <f>SUM(Population!G54:K54,Population!N54)</f>
        <v>70393</v>
      </c>
      <c r="V8" s="74">
        <f>Population!F54</f>
        <v>1139</v>
      </c>
      <c r="W8" s="18">
        <v>0</v>
      </c>
      <c r="X8" s="101">
        <f t="shared" si="4"/>
        <v>134831</v>
      </c>
      <c r="Y8" s="71">
        <f t="shared" si="5"/>
        <v>1208345</v>
      </c>
    </row>
    <row r="9" spans="1:25" x14ac:dyDescent="0.25">
      <c r="A9" s="17">
        <v>43374</v>
      </c>
      <c r="B9" s="17"/>
      <c r="C9" s="72">
        <f t="shared" si="0"/>
        <v>153824</v>
      </c>
      <c r="D9" s="18">
        <f>19147+548</f>
        <v>19695</v>
      </c>
      <c r="E9" s="18">
        <v>49094</v>
      </c>
      <c r="F9" s="18">
        <v>1324</v>
      </c>
      <c r="G9" s="78">
        <f>Population!DK55+Population!DL55</f>
        <v>223937</v>
      </c>
      <c r="H9" s="65">
        <f>Population!DM55+Population!DN55</f>
        <v>61621</v>
      </c>
      <c r="I9" s="69">
        <f>Population!DP55</f>
        <v>116026</v>
      </c>
      <c r="J9" s="18">
        <f>Population!DR55</f>
        <v>15660</v>
      </c>
      <c r="K9" s="18">
        <f>Population!DO55+Population!DT55</f>
        <v>503829</v>
      </c>
      <c r="L9" s="18">
        <f>Population!CW55+Population!CX55+Population!BX55+Population!CQ55+Population!CR55</f>
        <v>17170</v>
      </c>
      <c r="M9" s="18">
        <f>Population!DS55</f>
        <v>136074</v>
      </c>
      <c r="N9" s="76">
        <f t="shared" si="2"/>
        <v>788759</v>
      </c>
      <c r="O9" s="69">
        <f>Population!DU55</f>
        <v>0</v>
      </c>
      <c r="P9" s="18">
        <f>Population!DV55</f>
        <v>0</v>
      </c>
      <c r="Q9" s="21">
        <f>Population!CU55+Population!CV55+Population!CP55</f>
        <v>0</v>
      </c>
      <c r="R9" s="74">
        <f t="shared" si="1"/>
        <v>0</v>
      </c>
      <c r="S9" s="100">
        <f t="shared" si="3"/>
        <v>1074317</v>
      </c>
      <c r="T9" s="20">
        <f>Population!CF55</f>
        <v>63391</v>
      </c>
      <c r="U9" s="20">
        <f>SUM(Population!G55:K55,Population!N55)</f>
        <v>70459</v>
      </c>
      <c r="V9" s="74">
        <f>Population!F55</f>
        <v>1124</v>
      </c>
      <c r="W9" s="18">
        <v>0</v>
      </c>
      <c r="X9" s="101">
        <f t="shared" si="4"/>
        <v>134974</v>
      </c>
      <c r="Y9" s="71">
        <f t="shared" si="5"/>
        <v>1209291</v>
      </c>
    </row>
    <row r="10" spans="1:25" x14ac:dyDescent="0.25">
      <c r="A10" s="17">
        <v>43405</v>
      </c>
      <c r="B10" s="17"/>
      <c r="C10" s="72">
        <f t="shared" si="0"/>
        <v>154124</v>
      </c>
      <c r="D10" s="18">
        <f>19203+647</f>
        <v>19850</v>
      </c>
      <c r="E10" s="18">
        <v>49130</v>
      </c>
      <c r="F10" s="18">
        <v>1220</v>
      </c>
      <c r="G10" s="78">
        <f>Population!DK56+Population!DL56</f>
        <v>224324</v>
      </c>
      <c r="H10" s="65">
        <f>Population!DM56+Population!DN56</f>
        <v>61850</v>
      </c>
      <c r="I10" s="69">
        <f>Population!DP56</f>
        <v>116709</v>
      </c>
      <c r="J10" s="18">
        <f>Population!DR56</f>
        <v>15412</v>
      </c>
      <c r="K10" s="18">
        <f>Population!DO56+Population!DT56</f>
        <v>504720</v>
      </c>
      <c r="L10" s="18">
        <f>Population!CW56+Population!CX56+Population!BX56+Population!CQ56+Population!CR56</f>
        <v>17781</v>
      </c>
      <c r="M10" s="18">
        <f>Population!DS56</f>
        <v>138145</v>
      </c>
      <c r="N10" s="76">
        <f t="shared" si="2"/>
        <v>792767</v>
      </c>
      <c r="O10" s="69">
        <f>Population!DU56</f>
        <v>0</v>
      </c>
      <c r="P10" s="18">
        <f>Population!DV56</f>
        <v>0</v>
      </c>
      <c r="Q10" s="21">
        <f>Population!CU56+Population!CV56+Population!CP56</f>
        <v>0</v>
      </c>
      <c r="R10" s="74">
        <f t="shared" si="1"/>
        <v>0</v>
      </c>
      <c r="S10" s="100">
        <f t="shared" si="3"/>
        <v>1078941</v>
      </c>
      <c r="T10" s="20">
        <f>Population!CF56</f>
        <v>63746</v>
      </c>
      <c r="U10" s="20">
        <f>SUM(Population!G56:K56,Population!N56)</f>
        <v>70412</v>
      </c>
      <c r="V10" s="74">
        <f>Population!F56</f>
        <v>1115</v>
      </c>
      <c r="W10" s="18">
        <v>0</v>
      </c>
      <c r="X10" s="101">
        <f t="shared" si="4"/>
        <v>135273</v>
      </c>
      <c r="Y10" s="71">
        <f t="shared" si="5"/>
        <v>1214214</v>
      </c>
    </row>
    <row r="11" spans="1:25" x14ac:dyDescent="0.25">
      <c r="A11" s="17">
        <v>43435</v>
      </c>
      <c r="B11" s="17"/>
      <c r="C11" s="72">
        <f t="shared" si="0"/>
        <v>153580</v>
      </c>
      <c r="D11" s="18">
        <f>19350+642</f>
        <v>19992</v>
      </c>
      <c r="E11" s="18">
        <v>49430</v>
      </c>
      <c r="F11" s="18">
        <v>1191</v>
      </c>
      <c r="G11" s="78">
        <f>Population!DK57+Population!DL57</f>
        <v>224193</v>
      </c>
      <c r="H11" s="65">
        <f>Population!DM57+Population!DN57</f>
        <v>62028</v>
      </c>
      <c r="I11" s="69">
        <f>Population!DP57</f>
        <v>117174</v>
      </c>
      <c r="J11" s="18">
        <f>Population!DR57</f>
        <v>15200</v>
      </c>
      <c r="K11" s="18">
        <f>Population!DO57+Population!DT57</f>
        <v>504963</v>
      </c>
      <c r="L11" s="18">
        <f>Population!CW57+Population!CX57+Population!BX57+Population!CQ57+Population!CR57</f>
        <v>17999</v>
      </c>
      <c r="M11" s="18">
        <f>Population!DS57</f>
        <v>141391</v>
      </c>
      <c r="N11" s="76">
        <f t="shared" si="2"/>
        <v>796727</v>
      </c>
      <c r="O11" s="69">
        <f>Population!DU57</f>
        <v>0</v>
      </c>
      <c r="P11" s="18">
        <f>Population!DV57</f>
        <v>0</v>
      </c>
      <c r="Q11" s="21">
        <f>Population!CU57+Population!CV57+Population!CP57</f>
        <v>0</v>
      </c>
      <c r="R11" s="74">
        <f t="shared" si="1"/>
        <v>0</v>
      </c>
      <c r="S11" s="100">
        <f t="shared" si="3"/>
        <v>1082948</v>
      </c>
      <c r="T11" s="20">
        <f>Population!CF57</f>
        <v>64008</v>
      </c>
      <c r="U11" s="20">
        <f>SUM(Population!G57:K57,Population!N57)</f>
        <v>70995</v>
      </c>
      <c r="V11" s="74">
        <f>Population!F57</f>
        <v>1171</v>
      </c>
      <c r="W11" s="18">
        <v>0</v>
      </c>
      <c r="X11" s="101">
        <f t="shared" si="4"/>
        <v>136174</v>
      </c>
      <c r="Y11" s="71">
        <f t="shared" si="5"/>
        <v>1219122</v>
      </c>
    </row>
    <row r="12" spans="1:25" x14ac:dyDescent="0.25">
      <c r="A12" s="17">
        <v>43466</v>
      </c>
      <c r="B12" s="17"/>
      <c r="C12" s="72">
        <f t="shared" si="0"/>
        <v>155633</v>
      </c>
      <c r="D12" s="18">
        <f>17649+636</f>
        <v>18285</v>
      </c>
      <c r="E12" s="18">
        <v>47770</v>
      </c>
      <c r="F12" s="18">
        <v>1116</v>
      </c>
      <c r="G12" s="78">
        <f>Population!DK58+Population!DL58</f>
        <v>222804</v>
      </c>
      <c r="H12" s="65">
        <f>Population!DM58+Population!DN58</f>
        <v>61557</v>
      </c>
      <c r="I12" s="69">
        <f>Population!DP58</f>
        <v>112146</v>
      </c>
      <c r="J12" s="18">
        <f>Population!DR58</f>
        <v>14784</v>
      </c>
      <c r="K12" s="18">
        <f>Population!DO58+Population!DT58</f>
        <v>505927</v>
      </c>
      <c r="L12" s="18">
        <f>Population!CW58+Population!CX58+Population!BX58+Population!CQ58+Population!CR58</f>
        <v>1033</v>
      </c>
      <c r="M12" s="18">
        <f>Population!DS58</f>
        <v>41371</v>
      </c>
      <c r="N12" s="76">
        <f t="shared" si="2"/>
        <v>675261</v>
      </c>
      <c r="O12" s="69">
        <f>Population!DU58</f>
        <v>75210</v>
      </c>
      <c r="P12" s="18">
        <f>Population!DV58</f>
        <v>122535</v>
      </c>
      <c r="Q12" s="21">
        <f>Population!CU58+Population!CV58+Population!CP58</f>
        <v>908</v>
      </c>
      <c r="R12" s="74">
        <f>SUM(O12:Q12)</f>
        <v>198653</v>
      </c>
      <c r="S12" s="100">
        <f t="shared" si="3"/>
        <v>960530</v>
      </c>
      <c r="T12" s="20">
        <f>Population!CF58</f>
        <v>65088</v>
      </c>
      <c r="U12" s="20">
        <f>SUM(Population!G58:K58,Population!N58)</f>
        <v>72457</v>
      </c>
      <c r="V12" s="74">
        <f>Population!F58</f>
        <v>1267</v>
      </c>
      <c r="W12" s="18">
        <v>0</v>
      </c>
      <c r="X12" s="101">
        <f t="shared" si="4"/>
        <v>138812</v>
      </c>
      <c r="Y12" s="71">
        <f t="shared" si="5"/>
        <v>1099342</v>
      </c>
    </row>
    <row r="13" spans="1:25" x14ac:dyDescent="0.25">
      <c r="A13" s="17">
        <v>43497</v>
      </c>
      <c r="B13" s="17"/>
      <c r="C13" s="72">
        <f t="shared" si="0"/>
        <v>153401</v>
      </c>
      <c r="D13" s="18">
        <f>18750+627</f>
        <v>19377</v>
      </c>
      <c r="E13" s="18">
        <v>48939</v>
      </c>
      <c r="F13" s="18">
        <v>1168</v>
      </c>
      <c r="G13" s="78">
        <f>Population!DK59+Population!DL59</f>
        <v>222885</v>
      </c>
      <c r="H13" s="65">
        <f>Population!DM59+Population!DN59</f>
        <v>62056</v>
      </c>
      <c r="I13" s="69">
        <f>Population!DP59</f>
        <v>110438</v>
      </c>
      <c r="J13" s="18">
        <f>Population!DR59</f>
        <v>14804</v>
      </c>
      <c r="K13" s="18">
        <f>Population!DO59+Population!DT59</f>
        <v>508153</v>
      </c>
      <c r="L13" s="18">
        <f>Population!CW59+Population!CX59+Population!BX59+Population!CQ59+Population!CR59</f>
        <v>1070</v>
      </c>
      <c r="M13" s="18">
        <f>Population!DS59</f>
        <v>41375</v>
      </c>
      <c r="N13" s="76">
        <f t="shared" si="2"/>
        <v>675840</v>
      </c>
      <c r="O13" s="69">
        <f>Population!DU59</f>
        <v>82626</v>
      </c>
      <c r="P13" s="18">
        <f>Population!DV59</f>
        <v>136603</v>
      </c>
      <c r="Q13" s="21">
        <f>Population!CU59+Population!CV59+Population!CP59</f>
        <v>1351</v>
      </c>
      <c r="R13" s="74">
        <f t="shared" ref="R13:R19" si="6">SUM(O13:Q13)</f>
        <v>220580</v>
      </c>
      <c r="S13" s="100">
        <f t="shared" si="3"/>
        <v>962132</v>
      </c>
      <c r="T13" s="20">
        <f>Population!CF59</f>
        <v>65522</v>
      </c>
      <c r="U13" s="20">
        <f>SUM(Population!G59:K59,Population!N59)</f>
        <v>72502</v>
      </c>
      <c r="V13" s="74">
        <f>Population!F59</f>
        <v>1305</v>
      </c>
      <c r="W13" s="18">
        <v>0</v>
      </c>
      <c r="X13" s="101">
        <f t="shared" si="4"/>
        <v>139329</v>
      </c>
      <c r="Y13" s="71">
        <f t="shared" si="5"/>
        <v>1101461</v>
      </c>
    </row>
    <row r="14" spans="1:25" x14ac:dyDescent="0.25">
      <c r="A14" s="17">
        <v>43525</v>
      </c>
      <c r="B14" s="17"/>
      <c r="C14" s="72">
        <f t="shared" si="0"/>
        <v>152951</v>
      </c>
      <c r="D14" s="18">
        <f>18895+631</f>
        <v>19526</v>
      </c>
      <c r="E14" s="18">
        <v>48832</v>
      </c>
      <c r="F14" s="18">
        <v>1180</v>
      </c>
      <c r="G14" s="78">
        <f>Population!DK60+Population!DL60</f>
        <v>222489</v>
      </c>
      <c r="H14" s="65">
        <f>Population!DM60+Population!DN60</f>
        <v>62311</v>
      </c>
      <c r="I14" s="69">
        <f>Population!DP60</f>
        <v>108523</v>
      </c>
      <c r="J14" s="18">
        <f>Population!DR60</f>
        <v>14461</v>
      </c>
      <c r="K14" s="18">
        <f>Population!DO60+Population!DT60</f>
        <v>508063</v>
      </c>
      <c r="L14" s="18">
        <f>Population!CW60+Population!CX60+Population!BX60+Population!CQ60+Population!CR60</f>
        <v>1098</v>
      </c>
      <c r="M14" s="18">
        <f>Population!DS60</f>
        <v>40999</v>
      </c>
      <c r="N14" s="76">
        <f t="shared" si="2"/>
        <v>673144</v>
      </c>
      <c r="O14" s="69">
        <f>Population!DU60</f>
        <v>87295</v>
      </c>
      <c r="P14" s="18">
        <f>Population!DV60</f>
        <v>148060</v>
      </c>
      <c r="Q14" s="21">
        <f>Population!CU60+Population!CV60+Population!CP60</f>
        <v>1810</v>
      </c>
      <c r="R14" s="74">
        <f t="shared" si="6"/>
        <v>237165</v>
      </c>
      <c r="S14" s="100">
        <f t="shared" si="3"/>
        <v>959754</v>
      </c>
      <c r="T14" s="20">
        <f>Population!CF60</f>
        <v>65369</v>
      </c>
      <c r="U14" s="20">
        <f>SUM(Population!G60:K60,Population!N60)</f>
        <v>71984</v>
      </c>
      <c r="V14" s="74">
        <f>Population!F60</f>
        <v>1269</v>
      </c>
      <c r="W14" s="18">
        <v>0</v>
      </c>
      <c r="X14" s="101">
        <f t="shared" si="4"/>
        <v>138622</v>
      </c>
      <c r="Y14" s="71">
        <f t="shared" si="5"/>
        <v>1098376</v>
      </c>
    </row>
    <row r="15" spans="1:25" x14ac:dyDescent="0.25">
      <c r="A15" s="17">
        <v>43556</v>
      </c>
      <c r="B15" s="17"/>
      <c r="C15" s="72">
        <f t="shared" si="0"/>
        <v>152909</v>
      </c>
      <c r="D15" s="18">
        <f>18938+663</f>
        <v>19601</v>
      </c>
      <c r="E15" s="18">
        <v>49033</v>
      </c>
      <c r="F15" s="18">
        <v>1182</v>
      </c>
      <c r="G15" s="78">
        <f>Population!DK61+Population!DL61</f>
        <v>222725</v>
      </c>
      <c r="H15" s="65">
        <f>Population!DM61+Population!DN61</f>
        <v>62872</v>
      </c>
      <c r="I15" s="69">
        <f>Population!DP61</f>
        <v>107765</v>
      </c>
      <c r="J15" s="18">
        <f>Population!DR61</f>
        <v>14295</v>
      </c>
      <c r="K15" s="18">
        <f>Population!DO61+Population!DT61</f>
        <v>510094</v>
      </c>
      <c r="L15" s="18">
        <f>Population!CW61+Population!CX61+Population!BX61+Population!CQ61+Population!CR61</f>
        <v>1031</v>
      </c>
      <c r="M15" s="18">
        <f>Population!DS61</f>
        <v>40909</v>
      </c>
      <c r="N15" s="76">
        <f t="shared" si="2"/>
        <v>674094</v>
      </c>
      <c r="O15" s="69">
        <f>Population!DU61</f>
        <v>91561</v>
      </c>
      <c r="P15" s="18">
        <f>Population!DV61</f>
        <v>161829</v>
      </c>
      <c r="Q15" s="21">
        <f>Population!CU61+Population!CV61+Population!CP61</f>
        <v>2202</v>
      </c>
      <c r="R15" s="74">
        <f t="shared" si="6"/>
        <v>255592</v>
      </c>
      <c r="S15" s="100">
        <f t="shared" si="3"/>
        <v>961893</v>
      </c>
      <c r="T15" s="20">
        <f>Population!CF61</f>
        <v>65666</v>
      </c>
      <c r="U15" s="20">
        <f>SUM(Population!G61:K61,Population!N61)</f>
        <v>71649</v>
      </c>
      <c r="V15" s="74">
        <f>Population!F61</f>
        <v>1278</v>
      </c>
      <c r="W15" s="18">
        <v>0</v>
      </c>
      <c r="X15" s="101">
        <f t="shared" si="4"/>
        <v>138593</v>
      </c>
      <c r="Y15" s="71">
        <f t="shared" si="5"/>
        <v>1100486</v>
      </c>
    </row>
    <row r="16" spans="1:25" x14ac:dyDescent="0.25">
      <c r="A16" s="17">
        <v>43586</v>
      </c>
      <c r="B16" s="17"/>
      <c r="C16" s="108">
        <f t="shared" si="0"/>
        <v>152625</v>
      </c>
      <c r="D16" s="18">
        <f>19057+629</f>
        <v>19686</v>
      </c>
      <c r="E16" s="18">
        <v>49082</v>
      </c>
      <c r="F16" s="18">
        <v>1212</v>
      </c>
      <c r="G16" s="78">
        <f>Population!DK62+Population!DL62</f>
        <v>222605</v>
      </c>
      <c r="H16" s="65">
        <f>Population!DM62+Population!DN62</f>
        <v>63253</v>
      </c>
      <c r="I16" s="69">
        <f>Population!DP62</f>
        <v>106342</v>
      </c>
      <c r="J16" s="18">
        <f>Population!DR62</f>
        <v>14454</v>
      </c>
      <c r="K16" s="18">
        <f>Population!DO62+Population!DT62</f>
        <v>511563</v>
      </c>
      <c r="L16" s="18">
        <f>Population!CW62+Population!CX62+Population!BX62+Population!CQ62+Population!CR62</f>
        <v>1052</v>
      </c>
      <c r="M16" s="18">
        <f>Population!DS62</f>
        <v>41089</v>
      </c>
      <c r="N16" s="76">
        <f t="shared" si="2"/>
        <v>674500</v>
      </c>
      <c r="O16" s="69">
        <f>Population!DU62</f>
        <v>95804</v>
      </c>
      <c r="P16" s="18">
        <f>Population!DV62</f>
        <v>172387</v>
      </c>
      <c r="Q16" s="21">
        <f>Population!CU62+Population!CV62+Population!CP62</f>
        <v>2832</v>
      </c>
      <c r="R16" s="74">
        <f t="shared" si="6"/>
        <v>271023</v>
      </c>
      <c r="S16" s="100">
        <f t="shared" si="3"/>
        <v>963190</v>
      </c>
      <c r="T16" s="20">
        <f>Population!CF62</f>
        <v>65969</v>
      </c>
      <c r="U16" s="20">
        <f>SUM(Population!G62:K62,Population!N62)</f>
        <v>71937</v>
      </c>
      <c r="V16" s="74">
        <f>Population!F62</f>
        <v>1293</v>
      </c>
      <c r="W16" s="18">
        <v>0</v>
      </c>
      <c r="X16" s="101">
        <f t="shared" si="4"/>
        <v>139199</v>
      </c>
      <c r="Y16" s="71">
        <f t="shared" si="5"/>
        <v>1102389</v>
      </c>
    </row>
    <row r="17" spans="1:26" x14ac:dyDescent="0.25">
      <c r="A17" s="17">
        <v>43617</v>
      </c>
      <c r="B17" s="17"/>
      <c r="C17" s="72">
        <f t="shared" si="0"/>
        <v>152069</v>
      </c>
      <c r="D17" s="18">
        <f>19323+606</f>
        <v>19929</v>
      </c>
      <c r="E17" s="18">
        <v>49562</v>
      </c>
      <c r="F17" s="18">
        <v>1247</v>
      </c>
      <c r="G17" s="78">
        <f>Population!DK63+Population!DL63</f>
        <v>222807</v>
      </c>
      <c r="H17" s="65">
        <f>Population!DM63+Population!DN63</f>
        <v>63840</v>
      </c>
      <c r="I17" s="69">
        <f>Population!DP63</f>
        <v>105663</v>
      </c>
      <c r="J17" s="18">
        <f>Population!DR63</f>
        <v>14474</v>
      </c>
      <c r="K17" s="18">
        <f>Population!DO63+Population!DT63</f>
        <v>513684</v>
      </c>
      <c r="L17" s="18">
        <f>Population!CW63+Population!CX63+Population!BX63+Population!CQ63+Population!CR63</f>
        <v>1061</v>
      </c>
      <c r="M17" s="18">
        <f>Population!DS63</f>
        <v>41289</v>
      </c>
      <c r="N17" s="76">
        <f t="shared" si="2"/>
        <v>676171</v>
      </c>
      <c r="O17" s="69">
        <f>Population!DU63</f>
        <v>99250</v>
      </c>
      <c r="P17" s="18">
        <f>Population!DV63</f>
        <v>181540</v>
      </c>
      <c r="Q17" s="21">
        <f>Population!CU63+Population!CV63+Population!CP63</f>
        <v>3676</v>
      </c>
      <c r="R17" s="74">
        <f t="shared" si="6"/>
        <v>284466</v>
      </c>
      <c r="S17" s="100">
        <f t="shared" si="3"/>
        <v>966494</v>
      </c>
      <c r="T17" s="20">
        <f>Population!CF63</f>
        <v>66297</v>
      </c>
      <c r="U17" s="20">
        <f>SUM(Population!G63:K63,Population!N63)</f>
        <v>71936</v>
      </c>
      <c r="V17" s="74">
        <f>Population!F63</f>
        <v>1368</v>
      </c>
      <c r="W17" s="18">
        <v>0</v>
      </c>
      <c r="X17" s="101">
        <f t="shared" si="4"/>
        <v>139601</v>
      </c>
      <c r="Y17" s="71">
        <f t="shared" si="5"/>
        <v>1106095</v>
      </c>
    </row>
    <row r="18" spans="1:26" s="146" customFormat="1" x14ac:dyDescent="0.25">
      <c r="A18" s="135"/>
      <c r="B18" s="135"/>
      <c r="C18" s="108"/>
      <c r="D18" s="52"/>
      <c r="E18" s="52"/>
      <c r="F18" s="52"/>
      <c r="G18" s="136"/>
      <c r="H18" s="137"/>
      <c r="I18" s="138"/>
      <c r="J18" s="52"/>
      <c r="K18" s="52"/>
      <c r="L18" s="52"/>
      <c r="M18" s="52"/>
      <c r="N18" s="139"/>
      <c r="O18" s="138"/>
      <c r="P18" s="52"/>
      <c r="Q18" s="52"/>
      <c r="R18" s="140"/>
      <c r="S18" s="141"/>
      <c r="T18" s="142"/>
      <c r="U18" s="142"/>
      <c r="V18" s="140"/>
      <c r="W18" s="143"/>
      <c r="X18" s="144"/>
      <c r="Y18" s="145"/>
    </row>
    <row r="19" spans="1:26" x14ac:dyDescent="0.25">
      <c r="A19" s="17">
        <v>43647</v>
      </c>
      <c r="B19" s="17"/>
      <c r="C19" s="72">
        <f t="shared" si="0"/>
        <v>151654</v>
      </c>
      <c r="D19" s="18">
        <f>19360+623</f>
        <v>19983</v>
      </c>
      <c r="E19" s="18">
        <v>49689</v>
      </c>
      <c r="F19" s="18">
        <v>1249</v>
      </c>
      <c r="G19" s="78">
        <f>Population!DK64+Population!DL64</f>
        <v>222575</v>
      </c>
      <c r="H19" s="65">
        <f>Population!DM64+Population!DN64</f>
        <v>64017</v>
      </c>
      <c r="I19" s="69">
        <f>Population!DP64</f>
        <v>105055</v>
      </c>
      <c r="J19" s="18">
        <f>Population!DR64</f>
        <v>14270</v>
      </c>
      <c r="K19" s="18">
        <f>Population!DO64+Population!DT64</f>
        <v>513535</v>
      </c>
      <c r="L19" s="18">
        <f>Population!CW64+Population!CX64+Population!BX64+Population!CQ64+Population!CR64</f>
        <v>1099</v>
      </c>
      <c r="M19" s="18">
        <f>Population!DS64</f>
        <v>41514</v>
      </c>
      <c r="N19" s="76">
        <f t="shared" si="2"/>
        <v>675473</v>
      </c>
      <c r="O19" s="69">
        <f>Population!DU64</f>
        <v>101062</v>
      </c>
      <c r="P19" s="18">
        <f>Population!DV64</f>
        <v>188207</v>
      </c>
      <c r="Q19" s="21">
        <f>Population!CU64+Population!CV64+Population!CP64</f>
        <v>4296</v>
      </c>
      <c r="R19" s="74">
        <f t="shared" si="6"/>
        <v>293565</v>
      </c>
      <c r="S19" s="100">
        <f t="shared" si="3"/>
        <v>966361</v>
      </c>
      <c r="T19" s="20">
        <f>Population!CF64</f>
        <v>66477</v>
      </c>
      <c r="U19" s="20">
        <f>SUM(Population!G64:K64,Population!N64)</f>
        <v>72196</v>
      </c>
      <c r="V19" s="74">
        <f>Population!F64</f>
        <v>1413</v>
      </c>
      <c r="W19" s="18">
        <v>0</v>
      </c>
      <c r="X19" s="101">
        <f t="shared" si="4"/>
        <v>140086</v>
      </c>
      <c r="Y19" s="71">
        <f t="shared" si="5"/>
        <v>1106447</v>
      </c>
      <c r="Z19" s="43"/>
    </row>
    <row r="20" spans="1:26" x14ac:dyDescent="0.25">
      <c r="A20" s="17">
        <v>43678</v>
      </c>
      <c r="B20" s="17"/>
      <c r="C20" s="72">
        <f t="shared" ref="C20:C30" si="7">G20-D20-E20-F20</f>
        <v>151258</v>
      </c>
      <c r="D20" s="18">
        <f>19213+618</f>
        <v>19831</v>
      </c>
      <c r="E20" s="18">
        <v>49929</v>
      </c>
      <c r="F20" s="18">
        <v>1290</v>
      </c>
      <c r="G20" s="78">
        <f>Population!DK65+Population!DL65</f>
        <v>222308</v>
      </c>
      <c r="H20" s="65">
        <f>Population!DM65+Population!DN65</f>
        <v>64235</v>
      </c>
      <c r="I20" s="69">
        <f>Population!DP65</f>
        <v>105110</v>
      </c>
      <c r="J20" s="18">
        <f>Population!DR65</f>
        <v>14176</v>
      </c>
      <c r="K20" s="18">
        <f>Population!DO65+Population!DT65</f>
        <v>513577</v>
      </c>
      <c r="L20" s="18">
        <f>Population!CW65+Population!CX65+Population!BX65+Population!CQ65+Population!CR65</f>
        <v>1119</v>
      </c>
      <c r="M20" s="18">
        <f>Population!DS65</f>
        <v>41557</v>
      </c>
      <c r="N20" s="76">
        <f t="shared" ref="N20:N71" si="8">SUM(I20:M20)</f>
        <v>675539</v>
      </c>
      <c r="O20" s="69">
        <f>Population!DU65</f>
        <v>102847</v>
      </c>
      <c r="P20" s="18">
        <f>Population!DV65</f>
        <v>195753</v>
      </c>
      <c r="Q20" s="21">
        <f>Population!CU65+Population!CV65+Population!CP65</f>
        <v>4558</v>
      </c>
      <c r="R20" s="74">
        <f t="shared" ref="R20:R30" si="9">SUM(O20:Q20)</f>
        <v>303158</v>
      </c>
      <c r="S20" s="100">
        <f t="shared" ref="S20:S30" si="10">G20+N20+R20+H20</f>
        <v>1265240</v>
      </c>
      <c r="T20" s="20">
        <f>Population!CF65</f>
        <v>66531</v>
      </c>
      <c r="U20" s="20">
        <f>SUM(Population!G65:K65,Population!N65)</f>
        <v>72648</v>
      </c>
      <c r="V20" s="74">
        <f>Population!F65</f>
        <v>1426</v>
      </c>
      <c r="W20" s="18">
        <v>0</v>
      </c>
      <c r="X20" s="101">
        <f t="shared" ref="X20:X78" si="11">SUM(T20:W20)</f>
        <v>140605</v>
      </c>
      <c r="Y20" s="71">
        <f t="shared" ref="Y20:Y30" si="12">S20+X20</f>
        <v>1405845</v>
      </c>
    </row>
    <row r="21" spans="1:26" x14ac:dyDescent="0.25">
      <c r="A21" s="17">
        <v>43709</v>
      </c>
      <c r="B21" s="17"/>
      <c r="C21" s="72">
        <f t="shared" si="7"/>
        <v>151074</v>
      </c>
      <c r="D21" s="18">
        <f>19234+615</f>
        <v>19849</v>
      </c>
      <c r="E21" s="18">
        <v>50306</v>
      </c>
      <c r="F21" s="18">
        <v>1295</v>
      </c>
      <c r="G21" s="78">
        <f>Population!DK66+Population!DL66</f>
        <v>222524</v>
      </c>
      <c r="H21" s="65">
        <f>Population!DM66+Population!DN66</f>
        <v>64459</v>
      </c>
      <c r="I21" s="69">
        <f>Population!DP66</f>
        <v>105496</v>
      </c>
      <c r="J21" s="18">
        <f>Population!DR66</f>
        <v>14588</v>
      </c>
      <c r="K21" s="18">
        <f>Population!DO66+Population!DT66</f>
        <v>513497</v>
      </c>
      <c r="L21" s="18">
        <f>Population!CW66+Population!CX66+Population!BX66+Population!CQ66+Population!CR66</f>
        <v>1048</v>
      </c>
      <c r="M21" s="18">
        <f>Population!DS66</f>
        <v>41635</v>
      </c>
      <c r="N21" s="76">
        <f t="shared" si="8"/>
        <v>676264</v>
      </c>
      <c r="O21" s="69">
        <f>Population!DU66</f>
        <v>104334</v>
      </c>
      <c r="P21" s="18">
        <f>Population!DV66</f>
        <v>202860</v>
      </c>
      <c r="Q21" s="21">
        <f>Population!CU66+Population!CV66+Population!CP66</f>
        <v>5432</v>
      </c>
      <c r="R21" s="74">
        <f t="shared" si="9"/>
        <v>312626</v>
      </c>
      <c r="S21" s="100">
        <f t="shared" si="10"/>
        <v>1275873</v>
      </c>
      <c r="T21" s="20">
        <f>Population!CF66</f>
        <v>66658</v>
      </c>
      <c r="U21" s="20">
        <f>SUM(Population!G66:K66,Population!N66)</f>
        <v>73737</v>
      </c>
      <c r="V21" s="74">
        <f>Population!F66</f>
        <v>1456</v>
      </c>
      <c r="W21" s="18">
        <v>0</v>
      </c>
      <c r="X21" s="101">
        <f t="shared" si="11"/>
        <v>141851</v>
      </c>
      <c r="Y21" s="71">
        <f t="shared" si="12"/>
        <v>1417724</v>
      </c>
    </row>
    <row r="22" spans="1:26" x14ac:dyDescent="0.25">
      <c r="A22" s="17">
        <v>43739</v>
      </c>
      <c r="B22" s="17"/>
      <c r="C22" s="72">
        <f t="shared" si="7"/>
        <v>150842</v>
      </c>
      <c r="D22" s="18">
        <f>19272+606</f>
        <v>19878</v>
      </c>
      <c r="E22" s="18">
        <v>50602</v>
      </c>
      <c r="F22" s="18">
        <v>1318</v>
      </c>
      <c r="G22" s="78">
        <f>Population!DK67+Population!DL67</f>
        <v>222640</v>
      </c>
      <c r="H22" s="65">
        <f>Population!DM67+Population!DN67</f>
        <v>64493</v>
      </c>
      <c r="I22" s="69">
        <f>Population!DP67</f>
        <v>106542</v>
      </c>
      <c r="J22" s="18">
        <f>Population!DR67</f>
        <v>13933</v>
      </c>
      <c r="K22" s="18">
        <f>Population!DO67+Population!DT67</f>
        <v>514274</v>
      </c>
      <c r="L22" s="18">
        <f>Population!CW67+Population!CX67+Population!BX67+Population!CQ67+Population!CR67</f>
        <v>1137</v>
      </c>
      <c r="M22" s="18">
        <f>Population!DS67</f>
        <v>42114</v>
      </c>
      <c r="N22" s="76">
        <f t="shared" si="8"/>
        <v>678000</v>
      </c>
      <c r="O22" s="69">
        <f>Population!DU67</f>
        <v>106476</v>
      </c>
      <c r="P22" s="18">
        <f>Population!DV67</f>
        <v>209514</v>
      </c>
      <c r="Q22" s="21">
        <f>Population!CU67+Population!CV67+Population!CP67</f>
        <v>7030</v>
      </c>
      <c r="R22" s="74">
        <f t="shared" si="9"/>
        <v>323020</v>
      </c>
      <c r="S22" s="100">
        <f t="shared" si="10"/>
        <v>1288153</v>
      </c>
      <c r="T22" s="20">
        <f>Population!CF67</f>
        <v>67165</v>
      </c>
      <c r="U22" s="20">
        <f>SUM(Population!G67:K67,Population!N67)</f>
        <v>74393</v>
      </c>
      <c r="V22" s="74">
        <f>Population!F67</f>
        <v>1467</v>
      </c>
      <c r="W22" s="18">
        <v>0</v>
      </c>
      <c r="X22" s="101">
        <f t="shared" si="11"/>
        <v>143025</v>
      </c>
      <c r="Y22" s="71">
        <f t="shared" si="12"/>
        <v>1431178</v>
      </c>
    </row>
    <row r="23" spans="1:26" x14ac:dyDescent="0.25">
      <c r="A23" s="17">
        <v>43770</v>
      </c>
      <c r="B23" s="17"/>
      <c r="C23" s="72">
        <f t="shared" si="7"/>
        <v>150507</v>
      </c>
      <c r="D23" s="18">
        <f>19316+610</f>
        <v>19926</v>
      </c>
      <c r="E23" s="18">
        <v>50780</v>
      </c>
      <c r="F23" s="18">
        <v>1327</v>
      </c>
      <c r="G23" s="78">
        <f>Population!DK68+Population!DL68</f>
        <v>222540</v>
      </c>
      <c r="H23" s="65">
        <f>Population!DM68+Population!DN68</f>
        <v>64803</v>
      </c>
      <c r="I23" s="69">
        <f>Population!DP68</f>
        <v>107149</v>
      </c>
      <c r="J23" s="18">
        <f>Population!DR68</f>
        <v>13671</v>
      </c>
      <c r="K23" s="18">
        <f>Population!DO68+Population!DT68</f>
        <v>515211</v>
      </c>
      <c r="L23" s="18">
        <f>Population!CW68+Population!CX68+Population!BX68+Population!CQ68+Population!CR68</f>
        <v>1284</v>
      </c>
      <c r="M23" s="18">
        <f>Population!DS68</f>
        <v>42963</v>
      </c>
      <c r="N23" s="76">
        <f t="shared" si="8"/>
        <v>680278</v>
      </c>
      <c r="O23" s="69">
        <f>Population!DU68</f>
        <v>107272</v>
      </c>
      <c r="P23" s="18">
        <f>Population!DV68</f>
        <v>210363</v>
      </c>
      <c r="Q23" s="21">
        <f>Population!CU68+Population!CV68+Population!CP68</f>
        <v>9235</v>
      </c>
      <c r="R23" s="74">
        <f t="shared" si="9"/>
        <v>326870</v>
      </c>
      <c r="S23" s="100">
        <f t="shared" si="10"/>
        <v>1294491</v>
      </c>
      <c r="T23" s="20">
        <f>Population!CF68</f>
        <v>67404</v>
      </c>
      <c r="U23" s="20">
        <f>SUM(Population!G68:K68,Population!N68)</f>
        <v>74571</v>
      </c>
      <c r="V23" s="74">
        <f>Population!F68</f>
        <v>1466</v>
      </c>
      <c r="W23" s="18">
        <v>0</v>
      </c>
      <c r="X23" s="101">
        <f t="shared" si="11"/>
        <v>143441</v>
      </c>
      <c r="Y23" s="71">
        <f t="shared" si="12"/>
        <v>1437932</v>
      </c>
    </row>
    <row r="24" spans="1:26" x14ac:dyDescent="0.25">
      <c r="A24" s="17">
        <v>43800</v>
      </c>
      <c r="B24" s="17"/>
      <c r="C24" s="72">
        <f t="shared" si="7"/>
        <v>150099</v>
      </c>
      <c r="D24" s="18">
        <f>19470+605</f>
        <v>20075</v>
      </c>
      <c r="E24" s="18">
        <v>51069</v>
      </c>
      <c r="F24" s="18">
        <v>1326</v>
      </c>
      <c r="G24" s="78">
        <f>Population!DK69+Population!DL69</f>
        <v>222569</v>
      </c>
      <c r="H24" s="65">
        <f>Population!DM69+Population!DN69</f>
        <v>64964</v>
      </c>
      <c r="I24" s="69">
        <f>Population!DP69</f>
        <v>107325</v>
      </c>
      <c r="J24" s="18">
        <f>Population!DR69</f>
        <v>13360</v>
      </c>
      <c r="K24" s="18">
        <f>Population!DO69+Population!DT69</f>
        <v>517140</v>
      </c>
      <c r="L24" s="18">
        <f>Population!CW69+Population!CX69+Population!BX69+Population!CQ69+Population!CR69</f>
        <v>1376</v>
      </c>
      <c r="M24" s="18">
        <f>Population!DS69</f>
        <v>43648</v>
      </c>
      <c r="N24" s="76">
        <f t="shared" si="8"/>
        <v>682849</v>
      </c>
      <c r="O24" s="69">
        <f>Population!DU69</f>
        <v>110918</v>
      </c>
      <c r="P24" s="18">
        <f>Population!DV69</f>
        <v>220727</v>
      </c>
      <c r="Q24" s="21">
        <f>Population!CU69+Population!CV69+Population!CP69</f>
        <v>11402</v>
      </c>
      <c r="R24" s="74">
        <f t="shared" si="9"/>
        <v>343047</v>
      </c>
      <c r="S24" s="100">
        <f t="shared" si="10"/>
        <v>1313429</v>
      </c>
      <c r="T24" s="20">
        <f>Population!CF69</f>
        <v>70767</v>
      </c>
      <c r="U24" s="20">
        <f>SUM(Population!G69:K69,Population!N69)</f>
        <v>74315</v>
      </c>
      <c r="V24" s="74">
        <f>Population!F69</f>
        <v>1591</v>
      </c>
      <c r="W24" s="18">
        <v>0</v>
      </c>
      <c r="X24" s="101">
        <f t="shared" si="11"/>
        <v>146673</v>
      </c>
      <c r="Y24" s="71">
        <f t="shared" si="12"/>
        <v>1460102</v>
      </c>
    </row>
    <row r="25" spans="1:26" x14ac:dyDescent="0.25">
      <c r="A25" s="17">
        <v>43831</v>
      </c>
      <c r="B25" s="17"/>
      <c r="C25" s="72">
        <f t="shared" si="7"/>
        <v>151372</v>
      </c>
      <c r="D25" s="18">
        <f>18732+593</f>
        <v>19325</v>
      </c>
      <c r="E25" s="18">
        <v>50000</v>
      </c>
      <c r="F25" s="18">
        <v>1252</v>
      </c>
      <c r="G25" s="78">
        <f>Population!DK70+Population!DL70</f>
        <v>221949</v>
      </c>
      <c r="H25" s="65">
        <f>Population!DM70+Population!DN70</f>
        <v>64820</v>
      </c>
      <c r="I25" s="69">
        <f>Population!DP70</f>
        <v>108002</v>
      </c>
      <c r="J25" s="18">
        <f>Population!DR70</f>
        <v>13158</v>
      </c>
      <c r="K25" s="18">
        <f>Population!DO70+Population!DT70</f>
        <v>521198</v>
      </c>
      <c r="L25" s="18">
        <f>Population!CW70+Population!CX70+Population!BX70+Population!CQ70+Population!CR70</f>
        <v>1484</v>
      </c>
      <c r="M25" s="18">
        <f>Population!DS70</f>
        <v>44140</v>
      </c>
      <c r="N25" s="76">
        <f t="shared" si="8"/>
        <v>687982</v>
      </c>
      <c r="O25" s="69">
        <f>Population!DU70</f>
        <v>116369</v>
      </c>
      <c r="P25" s="18">
        <f>Population!DV70</f>
        <v>241049</v>
      </c>
      <c r="Q25" s="21">
        <f>Population!CU70+Population!CV70+Population!CP70</f>
        <v>14680</v>
      </c>
      <c r="R25" s="74">
        <f t="shared" si="9"/>
        <v>372098</v>
      </c>
      <c r="S25" s="100">
        <f t="shared" si="10"/>
        <v>1346849</v>
      </c>
      <c r="T25" s="20">
        <f>Population!CF70</f>
        <v>75187</v>
      </c>
      <c r="U25" s="20">
        <f>SUM(Population!G70:K70,Population!N70)</f>
        <v>74349</v>
      </c>
      <c r="V25" s="74">
        <f>Population!F70</f>
        <v>1719</v>
      </c>
      <c r="W25" s="18">
        <v>0</v>
      </c>
      <c r="X25" s="101">
        <f t="shared" si="11"/>
        <v>151255</v>
      </c>
      <c r="Y25" s="71">
        <f t="shared" si="12"/>
        <v>1498104</v>
      </c>
    </row>
    <row r="26" spans="1:26" x14ac:dyDescent="0.25">
      <c r="A26" s="17">
        <v>43862</v>
      </c>
      <c r="B26" s="17"/>
      <c r="C26" s="72">
        <f t="shared" si="7"/>
        <v>149240</v>
      </c>
      <c r="D26" s="18">
        <f>19149+585</f>
        <v>19734</v>
      </c>
      <c r="E26" s="18">
        <v>51181</v>
      </c>
      <c r="F26" s="18">
        <v>1317</v>
      </c>
      <c r="G26" s="78">
        <f>Population!DK71+Population!DL71</f>
        <v>221472</v>
      </c>
      <c r="H26" s="65">
        <f>Population!DM71+Population!DN71</f>
        <v>64651</v>
      </c>
      <c r="I26" s="69">
        <f>Population!DP71</f>
        <v>107909</v>
      </c>
      <c r="J26" s="18">
        <f>Population!DR71</f>
        <v>13275</v>
      </c>
      <c r="K26" s="18">
        <f>Population!DO71+Population!DT71</f>
        <v>521131</v>
      </c>
      <c r="L26" s="18">
        <f>Population!CW71+Population!CX71+Population!BX71+Population!CQ71+Population!CR71</f>
        <v>1603</v>
      </c>
      <c r="M26" s="18">
        <f>Population!DS71</f>
        <v>45215</v>
      </c>
      <c r="N26" s="76">
        <f t="shared" si="8"/>
        <v>689133</v>
      </c>
      <c r="O26" s="69">
        <f>Population!DU71</f>
        <v>117421</v>
      </c>
      <c r="P26" s="18">
        <f>Population!DV71</f>
        <v>246301</v>
      </c>
      <c r="Q26" s="21">
        <f>Population!CU71+Population!CV71+Population!CP71</f>
        <v>18205</v>
      </c>
      <c r="R26" s="74">
        <f t="shared" si="9"/>
        <v>381927</v>
      </c>
      <c r="S26" s="100">
        <f t="shared" si="10"/>
        <v>1357183</v>
      </c>
      <c r="T26" s="20">
        <f>Population!CF71</f>
        <v>75211</v>
      </c>
      <c r="U26" s="20">
        <f>SUM(Population!G71:K71,Population!N71)</f>
        <v>74943</v>
      </c>
      <c r="V26" s="74">
        <f>Population!F71</f>
        <v>1687</v>
      </c>
      <c r="W26" s="18">
        <v>0</v>
      </c>
      <c r="X26" s="101">
        <f t="shared" si="11"/>
        <v>151841</v>
      </c>
      <c r="Y26" s="71">
        <f t="shared" si="12"/>
        <v>1509024</v>
      </c>
    </row>
    <row r="27" spans="1:26" x14ac:dyDescent="0.25">
      <c r="A27" s="17">
        <v>43891</v>
      </c>
      <c r="B27" s="17"/>
      <c r="C27" s="72">
        <f t="shared" si="7"/>
        <v>149095</v>
      </c>
      <c r="D27" s="18">
        <f>19269+572</f>
        <v>19841</v>
      </c>
      <c r="E27" s="18">
        <v>51199</v>
      </c>
      <c r="F27" s="18">
        <v>1306</v>
      </c>
      <c r="G27" s="78">
        <f>Population!DK72+Population!DL72</f>
        <v>221441</v>
      </c>
      <c r="H27" s="65">
        <f>Population!DM72+Population!DN72</f>
        <v>64416</v>
      </c>
      <c r="I27" s="69">
        <f>Population!DP72</f>
        <v>108369</v>
      </c>
      <c r="J27" s="18">
        <f>Population!DR72</f>
        <v>13168</v>
      </c>
      <c r="K27" s="18">
        <f>Population!DO72+Population!DT72</f>
        <v>521899</v>
      </c>
      <c r="L27" s="18">
        <f>Population!CW72+Population!CX72+Population!BX72+Population!CQ72+Population!CR72</f>
        <v>1632</v>
      </c>
      <c r="M27" s="18">
        <f>Population!DS72</f>
        <v>45893</v>
      </c>
      <c r="N27" s="76">
        <f t="shared" si="8"/>
        <v>690961</v>
      </c>
      <c r="O27" s="69">
        <f>Population!DU72</f>
        <v>117940</v>
      </c>
      <c r="P27" s="18">
        <f>Population!DV72</f>
        <v>250629</v>
      </c>
      <c r="Q27" s="21">
        <f>Population!CU72+Population!CV72+Population!CP72</f>
        <v>18420</v>
      </c>
      <c r="R27" s="74">
        <f t="shared" si="9"/>
        <v>386989</v>
      </c>
      <c r="S27" s="100">
        <f t="shared" si="10"/>
        <v>1363807</v>
      </c>
      <c r="T27" s="20">
        <f>Population!CF72</f>
        <v>75329</v>
      </c>
      <c r="U27" s="20">
        <f>SUM(Population!G72:K72,Population!N72)</f>
        <v>75296</v>
      </c>
      <c r="V27" s="74">
        <f>Population!F72</f>
        <v>1563</v>
      </c>
      <c r="W27" s="18">
        <v>0</v>
      </c>
      <c r="X27" s="101">
        <f t="shared" si="11"/>
        <v>152188</v>
      </c>
      <c r="Y27" s="71">
        <f t="shared" si="12"/>
        <v>1515995</v>
      </c>
    </row>
    <row r="28" spans="1:26" x14ac:dyDescent="0.25">
      <c r="A28" s="17">
        <v>43922</v>
      </c>
      <c r="B28" s="17"/>
      <c r="C28" s="72">
        <f t="shared" si="7"/>
        <v>150087</v>
      </c>
      <c r="D28" s="18">
        <f>19251+576</f>
        <v>19827</v>
      </c>
      <c r="E28" s="18">
        <v>51249</v>
      </c>
      <c r="F28" s="18">
        <v>1333</v>
      </c>
      <c r="G28" s="78">
        <f>Population!DK73+Population!DL73</f>
        <v>222496</v>
      </c>
      <c r="H28" s="65">
        <f>Population!DM73+Population!DN73</f>
        <v>64790</v>
      </c>
      <c r="I28" s="69">
        <f>Population!DP73</f>
        <v>109412</v>
      </c>
      <c r="J28" s="18">
        <f>Population!DR73</f>
        <v>13741</v>
      </c>
      <c r="K28" s="18">
        <f>Population!DO73+Population!DT73</f>
        <v>525735</v>
      </c>
      <c r="L28" s="18">
        <f>Population!CW73+Population!CX73+Population!BX73+Population!CQ73+Population!CR73</f>
        <v>1737</v>
      </c>
      <c r="M28" s="18">
        <f>Population!DS73</f>
        <v>46521</v>
      </c>
      <c r="N28" s="76">
        <f t="shared" si="8"/>
        <v>697146</v>
      </c>
      <c r="O28" s="69">
        <f>Population!DU73</f>
        <v>118821</v>
      </c>
      <c r="P28" s="18">
        <f>Population!DV73</f>
        <v>258022</v>
      </c>
      <c r="Q28" s="21">
        <f>Population!CU73+Population!CV73+Population!CP73</f>
        <v>19780</v>
      </c>
      <c r="R28" s="74">
        <f t="shared" si="9"/>
        <v>396623</v>
      </c>
      <c r="S28" s="100">
        <f t="shared" si="10"/>
        <v>1381055</v>
      </c>
      <c r="T28" s="20">
        <f>Population!CF73</f>
        <v>75899</v>
      </c>
      <c r="U28" s="20">
        <f>SUM(Population!G73:K73,Population!N73)</f>
        <v>76074</v>
      </c>
      <c r="V28" s="74">
        <f>Population!F73</f>
        <v>1642</v>
      </c>
      <c r="W28" s="18">
        <v>0</v>
      </c>
      <c r="X28" s="101">
        <f t="shared" si="11"/>
        <v>153615</v>
      </c>
      <c r="Y28" s="71">
        <f t="shared" si="12"/>
        <v>1534670</v>
      </c>
    </row>
    <row r="29" spans="1:26" x14ac:dyDescent="0.25">
      <c r="A29" s="17">
        <v>43952</v>
      </c>
      <c r="B29" s="17"/>
      <c r="C29" s="72">
        <f t="shared" si="7"/>
        <v>153278</v>
      </c>
      <c r="D29" s="18">
        <f>19251+574</f>
        <v>19825</v>
      </c>
      <c r="E29" s="18">
        <v>52001</v>
      </c>
      <c r="F29" s="18">
        <v>1387</v>
      </c>
      <c r="G29" s="78">
        <f>Population!DK74+Population!DL74</f>
        <v>226491</v>
      </c>
      <c r="H29" s="65">
        <f>Population!DM74+Population!DN74</f>
        <v>66320</v>
      </c>
      <c r="I29" s="69">
        <f>Population!DP74</f>
        <v>115774</v>
      </c>
      <c r="J29" s="18">
        <f>Population!DR74</f>
        <v>15770</v>
      </c>
      <c r="K29" s="18">
        <f>Population!DO74+Population!DT74</f>
        <v>542608</v>
      </c>
      <c r="L29" s="18">
        <f>Population!CW74+Population!CX74+Population!BX74+Population!CQ74+Population!CR74</f>
        <v>1710</v>
      </c>
      <c r="M29" s="18">
        <f>Population!DS74</f>
        <v>45224</v>
      </c>
      <c r="N29" s="76">
        <f t="shared" si="8"/>
        <v>721086</v>
      </c>
      <c r="O29" s="69">
        <f>Population!DU74</f>
        <v>122540</v>
      </c>
      <c r="P29" s="18">
        <f>Population!DV74</f>
        <v>274337</v>
      </c>
      <c r="Q29" s="21">
        <f>Population!CU74+Population!CV74+Population!CP74</f>
        <v>19614</v>
      </c>
      <c r="R29" s="74">
        <f t="shared" si="9"/>
        <v>416491</v>
      </c>
      <c r="S29" s="100">
        <f t="shared" si="10"/>
        <v>1430388</v>
      </c>
      <c r="T29" s="20">
        <f>Population!CF74</f>
        <v>76873</v>
      </c>
      <c r="U29" s="20">
        <f>SUM(Population!G74:K74,Population!N74)</f>
        <v>76837</v>
      </c>
      <c r="V29" s="74">
        <f>Population!F74</f>
        <v>1772</v>
      </c>
      <c r="W29" s="18">
        <v>0</v>
      </c>
      <c r="X29" s="101">
        <f t="shared" si="11"/>
        <v>155482</v>
      </c>
      <c r="Y29" s="71">
        <f t="shared" si="12"/>
        <v>1585870</v>
      </c>
    </row>
    <row r="30" spans="1:26" x14ac:dyDescent="0.25">
      <c r="A30" s="17">
        <v>43983</v>
      </c>
      <c r="B30" s="17"/>
      <c r="C30" s="108">
        <f t="shared" si="7"/>
        <v>153422</v>
      </c>
      <c r="D30" s="52">
        <f>19476+578</f>
        <v>20054</v>
      </c>
      <c r="E30" s="18">
        <v>52557</v>
      </c>
      <c r="F30" s="18">
        <v>1400</v>
      </c>
      <c r="G30" s="78">
        <f>Population!DK75+Population!DL75</f>
        <v>227433</v>
      </c>
      <c r="H30" s="65">
        <f>Population!DM75+Population!DN75</f>
        <v>66595</v>
      </c>
      <c r="I30" s="69">
        <f>Population!DP75</f>
        <v>118311</v>
      </c>
      <c r="J30" s="18">
        <f>Population!DR75</f>
        <v>16939</v>
      </c>
      <c r="K30" s="18">
        <f>Population!DO75+Population!DT75</f>
        <v>549695</v>
      </c>
      <c r="L30" s="18">
        <f>Population!CW75+Population!CX75+Population!BX75+Population!CQ75+Population!CR75</f>
        <v>1673</v>
      </c>
      <c r="M30" s="18">
        <f>Population!DS75</f>
        <v>45026</v>
      </c>
      <c r="N30" s="76">
        <f t="shared" si="8"/>
        <v>731644</v>
      </c>
      <c r="O30" s="69">
        <f>Population!DU75</f>
        <v>124160</v>
      </c>
      <c r="P30" s="18">
        <f>Population!DV75</f>
        <v>282588</v>
      </c>
      <c r="Q30" s="21">
        <f>Population!CU75+Population!CV75+Population!CP75</f>
        <v>19352</v>
      </c>
      <c r="R30" s="74">
        <f t="shared" si="9"/>
        <v>426100</v>
      </c>
      <c r="S30" s="100">
        <f t="shared" si="10"/>
        <v>1451772</v>
      </c>
      <c r="T30" s="20">
        <f>Population!CF75</f>
        <v>77419</v>
      </c>
      <c r="U30" s="20">
        <f>SUM(Population!G75:K75,Population!N75)</f>
        <v>76671</v>
      </c>
      <c r="V30" s="74">
        <f>Population!F75</f>
        <v>1841</v>
      </c>
      <c r="W30" s="18">
        <v>0</v>
      </c>
      <c r="X30" s="101">
        <f t="shared" si="11"/>
        <v>155931</v>
      </c>
      <c r="Y30" s="71">
        <f t="shared" si="12"/>
        <v>1607703</v>
      </c>
    </row>
    <row r="31" spans="1:26" x14ac:dyDescent="0.25">
      <c r="A31" s="17"/>
      <c r="B31" s="17"/>
      <c r="C31" s="72"/>
      <c r="D31" s="18"/>
      <c r="E31" s="18"/>
      <c r="F31" s="18"/>
      <c r="G31" s="78"/>
      <c r="H31" s="65"/>
      <c r="I31" s="69"/>
      <c r="J31" s="18"/>
      <c r="K31" s="18"/>
      <c r="L31" s="18"/>
      <c r="M31" s="18"/>
      <c r="N31" s="76"/>
      <c r="O31" s="69"/>
      <c r="P31" s="18"/>
      <c r="Q31" s="21"/>
      <c r="R31" s="74"/>
      <c r="S31" s="100"/>
      <c r="T31" s="20"/>
      <c r="U31" s="20"/>
      <c r="V31" s="74"/>
      <c r="W31" s="18"/>
      <c r="X31" s="101"/>
      <c r="Y31" s="71"/>
    </row>
    <row r="32" spans="1:26" x14ac:dyDescent="0.25">
      <c r="A32" s="17">
        <v>44013</v>
      </c>
      <c r="B32" s="17"/>
      <c r="C32" s="72">
        <f t="shared" ref="C32:C42" si="13">G32-D32-E32-F32</f>
        <v>153838</v>
      </c>
      <c r="D32" s="18">
        <f>19425+577</f>
        <v>20002</v>
      </c>
      <c r="E32" s="18">
        <v>52972</v>
      </c>
      <c r="F32" s="18">
        <v>1414</v>
      </c>
      <c r="G32" s="78">
        <f>Population!DK76+Population!DL76</f>
        <v>228226</v>
      </c>
      <c r="H32" s="65">
        <f>Population!DM76+Population!DN76</f>
        <v>66796</v>
      </c>
      <c r="I32" s="69">
        <f>Population!DP76</f>
        <v>120535</v>
      </c>
      <c r="J32" s="18">
        <f>Population!DR76</f>
        <v>18011</v>
      </c>
      <c r="K32" s="18">
        <f>Population!DO76+Population!DT76</f>
        <v>556991</v>
      </c>
      <c r="L32" s="18">
        <f>Population!CW76+Population!CX76+Population!BX76+Population!CQ76+Population!CR76</f>
        <v>1630</v>
      </c>
      <c r="M32" s="18">
        <f>Population!DS76</f>
        <v>44946</v>
      </c>
      <c r="N32" s="76">
        <f t="shared" si="8"/>
        <v>742113</v>
      </c>
      <c r="O32" s="69">
        <f>Population!DU76</f>
        <v>125736</v>
      </c>
      <c r="P32" s="18">
        <f>Population!DV76</f>
        <v>291267</v>
      </c>
      <c r="Q32" s="21">
        <f>Population!CU76+Population!CV76+Population!CP76</f>
        <v>19178</v>
      </c>
      <c r="R32" s="74">
        <f>SUM(O32:Q32)</f>
        <v>436181</v>
      </c>
      <c r="S32" s="100">
        <f t="shared" ref="S32:S78" si="14">G32+N32+R32+H32</f>
        <v>1473316</v>
      </c>
      <c r="T32" s="20">
        <f>Population!CF76</f>
        <v>77996</v>
      </c>
      <c r="U32" s="20">
        <f>SUM(Population!G76:K76,Population!N76)</f>
        <v>76574</v>
      </c>
      <c r="V32" s="74">
        <f>Population!F76</f>
        <v>1936</v>
      </c>
      <c r="W32" s="18">
        <v>0</v>
      </c>
      <c r="X32" s="101">
        <f t="shared" si="11"/>
        <v>156506</v>
      </c>
      <c r="Y32" s="71">
        <f t="shared" ref="Y32:Y43" si="15">S32+X32</f>
        <v>1629822</v>
      </c>
      <c r="Z32" s="36"/>
    </row>
    <row r="33" spans="1:26" x14ac:dyDescent="0.25">
      <c r="A33" s="17">
        <v>44044</v>
      </c>
      <c r="B33" s="17"/>
      <c r="C33" s="72">
        <f t="shared" si="13"/>
        <v>154641</v>
      </c>
      <c r="D33" s="18">
        <f>19456+583</f>
        <v>20039</v>
      </c>
      <c r="E33" s="18">
        <v>53142</v>
      </c>
      <c r="F33" s="18">
        <v>1402</v>
      </c>
      <c r="G33" s="78">
        <f>Population!DK77+Population!DL77</f>
        <v>229224</v>
      </c>
      <c r="H33" s="65">
        <f>Population!DM77+Population!DN77</f>
        <v>67011</v>
      </c>
      <c r="I33" s="69">
        <f>Population!DP77</f>
        <v>122711</v>
      </c>
      <c r="J33" s="18">
        <f>Population!DR77</f>
        <v>18737</v>
      </c>
      <c r="K33" s="18">
        <f>Population!DO77+Population!DT77</f>
        <v>560998</v>
      </c>
      <c r="L33" s="18">
        <f>Population!CW77+Population!CX77+Population!BX77+Population!CQ77+Population!CR77</f>
        <v>1621</v>
      </c>
      <c r="M33" s="18">
        <f>Population!DS77</f>
        <v>45371</v>
      </c>
      <c r="N33" s="76">
        <f t="shared" si="8"/>
        <v>749438</v>
      </c>
      <c r="O33" s="69">
        <f>Population!DU77</f>
        <v>127198</v>
      </c>
      <c r="P33" s="18">
        <f>Population!DV77</f>
        <v>302085</v>
      </c>
      <c r="Q33" s="21">
        <f>Population!CU77+Population!CV77+Population!CP77</f>
        <v>18956</v>
      </c>
      <c r="R33" s="74">
        <f t="shared" ref="R33:R43" si="16">SUM(O33:Q33)</f>
        <v>448239</v>
      </c>
      <c r="S33" s="100">
        <f t="shared" si="14"/>
        <v>1493912</v>
      </c>
      <c r="T33" s="20">
        <f>Population!CF77</f>
        <v>78089</v>
      </c>
      <c r="U33" s="20">
        <f>SUM(Population!G77:K77,Population!N77)</f>
        <v>77112</v>
      </c>
      <c r="V33" s="74">
        <f>Population!F77</f>
        <v>1739</v>
      </c>
      <c r="W33" s="18">
        <v>0</v>
      </c>
      <c r="X33" s="101">
        <f t="shared" si="11"/>
        <v>156940</v>
      </c>
      <c r="Y33" s="71">
        <f t="shared" si="15"/>
        <v>1650852</v>
      </c>
      <c r="Z33" s="36"/>
    </row>
    <row r="34" spans="1:26" x14ac:dyDescent="0.25">
      <c r="A34" s="17">
        <v>44075</v>
      </c>
      <c r="B34" s="17"/>
      <c r="C34" s="72">
        <f t="shared" si="13"/>
        <v>154833</v>
      </c>
      <c r="D34" s="18">
        <f>19327+575</f>
        <v>19902</v>
      </c>
      <c r="E34" s="18">
        <v>53387</v>
      </c>
      <c r="F34" s="18">
        <v>1430</v>
      </c>
      <c r="G34" s="78">
        <f>Population!DK78+Population!DL78</f>
        <v>229552</v>
      </c>
      <c r="H34" s="65">
        <f>Population!DM78+Population!DN78</f>
        <v>67020</v>
      </c>
      <c r="I34" s="69">
        <f>Population!DP78</f>
        <v>124596</v>
      </c>
      <c r="J34" s="18">
        <f>Population!DR78</f>
        <v>18918</v>
      </c>
      <c r="K34" s="18">
        <f>Population!DO78+Population!DT78</f>
        <v>566635</v>
      </c>
      <c r="L34" s="18">
        <f>Population!CW78+Population!CX78+Population!BX78+Population!CQ78+Population!CR78</f>
        <v>1635</v>
      </c>
      <c r="M34" s="18">
        <f>Population!DS78</f>
        <v>45731</v>
      </c>
      <c r="N34" s="76">
        <f t="shared" si="8"/>
        <v>757515</v>
      </c>
      <c r="O34" s="69">
        <f>Population!DU78</f>
        <v>128844</v>
      </c>
      <c r="P34" s="18">
        <f>Population!DV78</f>
        <v>310904</v>
      </c>
      <c r="Q34" s="21">
        <f>Population!CU78+Population!CV78+Population!CP78</f>
        <v>18816</v>
      </c>
      <c r="R34" s="74">
        <f t="shared" si="16"/>
        <v>458564</v>
      </c>
      <c r="S34" s="100">
        <f t="shared" si="14"/>
        <v>1512651</v>
      </c>
      <c r="T34" s="20">
        <f>Population!CF78</f>
        <v>78262</v>
      </c>
      <c r="U34" s="20">
        <f>SUM(Population!G78:K78,Population!N78)</f>
        <v>77063</v>
      </c>
      <c r="V34" s="74">
        <f>Population!F78</f>
        <v>1567</v>
      </c>
      <c r="W34" s="18">
        <v>0</v>
      </c>
      <c r="X34" s="101">
        <f t="shared" si="11"/>
        <v>156892</v>
      </c>
      <c r="Y34" s="71">
        <f t="shared" si="15"/>
        <v>1669543</v>
      </c>
      <c r="Z34" s="36"/>
    </row>
    <row r="35" spans="1:26" x14ac:dyDescent="0.25">
      <c r="A35" s="17">
        <v>44105</v>
      </c>
      <c r="B35" s="17"/>
      <c r="C35" s="72">
        <f t="shared" si="13"/>
        <v>155471</v>
      </c>
      <c r="D35" s="18">
        <f>19222+575</f>
        <v>19797</v>
      </c>
      <c r="E35" s="18">
        <v>53414</v>
      </c>
      <c r="F35" s="18">
        <v>1439</v>
      </c>
      <c r="G35" s="78">
        <f>Population!DK79+Population!DL79</f>
        <v>230121</v>
      </c>
      <c r="H35" s="65">
        <f>Population!DM79+Population!DN79</f>
        <v>67030</v>
      </c>
      <c r="I35" s="69">
        <f>Population!DP79</f>
        <v>126847</v>
      </c>
      <c r="J35" s="18">
        <f>Population!DR79</f>
        <v>19504</v>
      </c>
      <c r="K35" s="18">
        <f>Population!DO79+Population!DT79</f>
        <v>573039</v>
      </c>
      <c r="L35" s="18">
        <f>Population!CW79+Population!CX79+Population!BX79+Population!CQ79+Population!CR79</f>
        <v>1633</v>
      </c>
      <c r="M35" s="18">
        <f>Population!DS79</f>
        <v>45407</v>
      </c>
      <c r="N35" s="76">
        <f t="shared" si="8"/>
        <v>766430</v>
      </c>
      <c r="O35" s="69">
        <f>Population!DU79</f>
        <v>130381</v>
      </c>
      <c r="P35" s="18">
        <f>Population!DV79</f>
        <v>320601</v>
      </c>
      <c r="Q35" s="21">
        <f>Population!CU79+Population!CV79+Population!CP79</f>
        <v>18711</v>
      </c>
      <c r="R35" s="74">
        <f t="shared" si="16"/>
        <v>469693</v>
      </c>
      <c r="S35" s="100">
        <f t="shared" si="14"/>
        <v>1533274</v>
      </c>
      <c r="T35" s="20">
        <f>Population!CF79</f>
        <v>78176</v>
      </c>
      <c r="U35" s="20">
        <f>SUM(Population!G79:K79,Population!N79)</f>
        <v>77375</v>
      </c>
      <c r="V35" s="74">
        <f>Population!F79</f>
        <v>1505</v>
      </c>
      <c r="W35" s="18">
        <v>0</v>
      </c>
      <c r="X35" s="101">
        <f t="shared" si="11"/>
        <v>157056</v>
      </c>
      <c r="Y35" s="71">
        <f t="shared" si="15"/>
        <v>1690330</v>
      </c>
      <c r="Z35" s="36"/>
    </row>
    <row r="36" spans="1:26" x14ac:dyDescent="0.25">
      <c r="A36" s="17">
        <v>44136</v>
      </c>
      <c r="B36" s="17"/>
      <c r="C36" s="72">
        <f t="shared" si="13"/>
        <v>155802</v>
      </c>
      <c r="D36" s="18">
        <f>19130+566</f>
        <v>19696</v>
      </c>
      <c r="E36" s="18">
        <v>53769</v>
      </c>
      <c r="F36" s="18">
        <v>1450</v>
      </c>
      <c r="G36" s="78">
        <f>Population!DK80+Population!DL80</f>
        <v>230717</v>
      </c>
      <c r="H36" s="65">
        <f>Population!DM80+Population!DN80</f>
        <v>67092</v>
      </c>
      <c r="I36" s="69">
        <f>Population!DP80</f>
        <v>128484</v>
      </c>
      <c r="J36" s="18">
        <f>Population!DR80</f>
        <v>20215</v>
      </c>
      <c r="K36" s="18">
        <f>Population!DO80+Population!DT80</f>
        <v>578468</v>
      </c>
      <c r="L36" s="18">
        <f>Population!CW80+Population!CX80+Population!BX80+Population!CQ80+Population!CR80</f>
        <v>1652</v>
      </c>
      <c r="M36" s="18">
        <f>Population!DS80</f>
        <v>45195</v>
      </c>
      <c r="N36" s="76">
        <f t="shared" si="8"/>
        <v>774014</v>
      </c>
      <c r="O36" s="69">
        <f>Population!DU80</f>
        <v>132110</v>
      </c>
      <c r="P36" s="18">
        <f>Population!DV80</f>
        <v>329215</v>
      </c>
      <c r="Q36" s="21">
        <f>Population!CU80+Population!CV80+Population!CP80</f>
        <v>18505</v>
      </c>
      <c r="R36" s="74">
        <f t="shared" si="16"/>
        <v>479830</v>
      </c>
      <c r="S36" s="100">
        <f t="shared" si="14"/>
        <v>1551653</v>
      </c>
      <c r="T36" s="20">
        <f>Population!CF80</f>
        <v>78244</v>
      </c>
      <c r="U36" s="20">
        <f>SUM(Population!G80:K80,Population!N80)</f>
        <v>77987</v>
      </c>
      <c r="V36" s="74">
        <f>Population!F80</f>
        <v>1495</v>
      </c>
      <c r="W36" s="18">
        <v>0</v>
      </c>
      <c r="X36" s="101">
        <f t="shared" si="11"/>
        <v>157726</v>
      </c>
      <c r="Y36" s="71">
        <f t="shared" si="15"/>
        <v>1709379</v>
      </c>
      <c r="Z36" s="36"/>
    </row>
    <row r="37" spans="1:26" x14ac:dyDescent="0.25">
      <c r="A37" s="17">
        <v>44166</v>
      </c>
      <c r="B37" s="17"/>
      <c r="C37" s="72">
        <f t="shared" si="13"/>
        <v>156180</v>
      </c>
      <c r="D37" s="18">
        <f>19029+562</f>
        <v>19591</v>
      </c>
      <c r="E37" s="18">
        <v>54134</v>
      </c>
      <c r="F37" s="18">
        <v>1457</v>
      </c>
      <c r="G37" s="78">
        <f>Population!DK81+Population!DL81</f>
        <v>231362</v>
      </c>
      <c r="H37" s="65">
        <f>Population!DM81+Population!DN81</f>
        <v>67122</v>
      </c>
      <c r="I37" s="69">
        <f>Population!DP81</f>
        <v>130390</v>
      </c>
      <c r="J37" s="18">
        <f>Population!DR81</f>
        <v>20563</v>
      </c>
      <c r="K37" s="18">
        <f>Population!DO81+Population!DT81</f>
        <v>583361</v>
      </c>
      <c r="L37" s="18">
        <f>Population!CW81+Population!CX81+Population!BX81+Population!CQ81+Population!CR81</f>
        <v>1649</v>
      </c>
      <c r="M37" s="18">
        <f>Population!DS81</f>
        <v>45421</v>
      </c>
      <c r="N37" s="76">
        <f t="shared" si="8"/>
        <v>781384</v>
      </c>
      <c r="O37" s="69">
        <f>Population!DU81</f>
        <v>134066</v>
      </c>
      <c r="P37" s="18">
        <f>Population!DV81</f>
        <v>341781</v>
      </c>
      <c r="Q37" s="21">
        <f>Population!CU81+Population!CV81+Population!CP81</f>
        <v>18393</v>
      </c>
      <c r="R37" s="74">
        <f t="shared" si="16"/>
        <v>494240</v>
      </c>
      <c r="S37" s="100">
        <f t="shared" si="14"/>
        <v>1574108</v>
      </c>
      <c r="T37" s="20">
        <f>Population!CF81</f>
        <v>78999</v>
      </c>
      <c r="U37" s="20">
        <f>SUM(Population!G81:K81,Population!N81)</f>
        <v>78769</v>
      </c>
      <c r="V37" s="74">
        <f>Population!F81</f>
        <v>1529</v>
      </c>
      <c r="W37" s="18">
        <v>0</v>
      </c>
      <c r="X37" s="101">
        <f t="shared" si="11"/>
        <v>159297</v>
      </c>
      <c r="Y37" s="71">
        <f t="shared" si="15"/>
        <v>1733405</v>
      </c>
      <c r="Z37" s="36"/>
    </row>
    <row r="38" spans="1:26" x14ac:dyDescent="0.25">
      <c r="A38" s="17">
        <v>44197</v>
      </c>
      <c r="B38" s="17"/>
      <c r="C38" s="72">
        <f t="shared" si="13"/>
        <v>156550</v>
      </c>
      <c r="D38" s="18">
        <f>18659+562</f>
        <v>19221</v>
      </c>
      <c r="E38" s="18">
        <v>54344</v>
      </c>
      <c r="F38" s="18">
        <v>1475</v>
      </c>
      <c r="G38" s="78">
        <f>Population!DK82+Population!DL82</f>
        <v>231590</v>
      </c>
      <c r="H38" s="65">
        <f>Population!DM82+Population!DN82</f>
        <v>67013</v>
      </c>
      <c r="I38" s="69">
        <f>Population!DP82</f>
        <v>132417</v>
      </c>
      <c r="J38" s="18">
        <f>Population!DR82</f>
        <v>20961</v>
      </c>
      <c r="K38" s="18">
        <f>Population!DO82+Population!DT82</f>
        <v>588886</v>
      </c>
      <c r="L38" s="18">
        <f>Population!CW82+Population!CX82+Population!BX82+Population!CQ82+Population!CR82</f>
        <v>1618</v>
      </c>
      <c r="M38" s="18">
        <f>Population!DS82</f>
        <v>45743</v>
      </c>
      <c r="N38" s="76">
        <f t="shared" si="8"/>
        <v>789625</v>
      </c>
      <c r="O38" s="69">
        <f>Population!DU82</f>
        <v>136220</v>
      </c>
      <c r="P38" s="18">
        <f>Population!DV82</f>
        <v>356686</v>
      </c>
      <c r="Q38" s="21">
        <f>Population!CU82+Population!CV82+Population!CP82</f>
        <v>18213</v>
      </c>
      <c r="R38" s="74">
        <f t="shared" si="16"/>
        <v>511119</v>
      </c>
      <c r="S38" s="100">
        <f t="shared" si="14"/>
        <v>1599347</v>
      </c>
      <c r="T38" s="20">
        <f>Population!CF82</f>
        <v>79937</v>
      </c>
      <c r="U38" s="20">
        <f>SUM(Population!G82:K82,Population!N82)</f>
        <v>79598</v>
      </c>
      <c r="V38" s="74">
        <f>Population!F82</f>
        <v>1572</v>
      </c>
      <c r="W38" s="18">
        <v>0</v>
      </c>
      <c r="X38" s="101">
        <f t="shared" si="11"/>
        <v>161107</v>
      </c>
      <c r="Y38" s="71">
        <f t="shared" si="15"/>
        <v>1760454</v>
      </c>
      <c r="Z38" s="36"/>
    </row>
    <row r="39" spans="1:26" x14ac:dyDescent="0.25">
      <c r="A39" s="17">
        <v>44228</v>
      </c>
      <c r="B39" s="17"/>
      <c r="C39" s="72">
        <f t="shared" si="13"/>
        <v>156588</v>
      </c>
      <c r="D39" s="18">
        <f>18356+569</f>
        <v>18925</v>
      </c>
      <c r="E39" s="18">
        <v>54572</v>
      </c>
      <c r="F39" s="18">
        <v>1473</v>
      </c>
      <c r="G39" s="78">
        <f>Population!DK83+Population!DL83</f>
        <v>231558</v>
      </c>
      <c r="H39" s="65">
        <f>Population!DM83+Population!DN83</f>
        <v>66976</v>
      </c>
      <c r="I39" s="69">
        <f>Population!DP83</f>
        <v>133948</v>
      </c>
      <c r="J39" s="18">
        <f>Population!DR83</f>
        <v>21344</v>
      </c>
      <c r="K39" s="18">
        <f>Population!DO83+Population!DT83</f>
        <v>592839</v>
      </c>
      <c r="L39" s="18">
        <f>Population!CW83+Population!CX83+Population!BX83+Population!CQ83+Population!CR83</f>
        <v>1610</v>
      </c>
      <c r="M39" s="18">
        <f>Population!DS83</f>
        <v>45853</v>
      </c>
      <c r="N39" s="76">
        <f t="shared" si="8"/>
        <v>795594</v>
      </c>
      <c r="O39" s="69">
        <f>Population!DU83</f>
        <v>137671</v>
      </c>
      <c r="P39" s="18">
        <f>Population!DV83</f>
        <v>365013</v>
      </c>
      <c r="Q39" s="21">
        <f>Population!CU83+Population!CV83+Population!CP83</f>
        <v>18027</v>
      </c>
      <c r="R39" s="74">
        <f t="shared" si="16"/>
        <v>520711</v>
      </c>
      <c r="S39" s="100">
        <f t="shared" si="14"/>
        <v>1614839</v>
      </c>
      <c r="T39" s="20">
        <f>Population!CF83</f>
        <v>80362</v>
      </c>
      <c r="U39" s="20">
        <f>SUM(Population!G83:K83,Population!N83)</f>
        <v>80087</v>
      </c>
      <c r="V39" s="74">
        <f>Population!F83</f>
        <v>1629</v>
      </c>
      <c r="W39" s="18">
        <v>0</v>
      </c>
      <c r="X39" s="101">
        <f t="shared" si="11"/>
        <v>162078</v>
      </c>
      <c r="Y39" s="71">
        <f t="shared" si="15"/>
        <v>1776917</v>
      </c>
      <c r="Z39" s="36"/>
    </row>
    <row r="40" spans="1:26" x14ac:dyDescent="0.25">
      <c r="A40" s="17">
        <v>44256</v>
      </c>
      <c r="B40" s="17"/>
      <c r="C40" s="72">
        <f t="shared" si="13"/>
        <v>157054</v>
      </c>
      <c r="D40" s="18">
        <f>18175+556</f>
        <v>18731</v>
      </c>
      <c r="E40" s="18">
        <v>54589</v>
      </c>
      <c r="F40" s="18">
        <v>1490</v>
      </c>
      <c r="G40" s="78">
        <f>Population!DK84+Population!DL84</f>
        <v>231864</v>
      </c>
      <c r="H40" s="65">
        <f>Population!DM84+Population!DN84</f>
        <v>66908</v>
      </c>
      <c r="I40" s="69">
        <f>Population!DP84</f>
        <v>135660</v>
      </c>
      <c r="J40" s="18">
        <f>Population!DR84</f>
        <v>21493</v>
      </c>
      <c r="K40" s="18">
        <f>Population!DO84+Population!DT84</f>
        <v>596153</v>
      </c>
      <c r="L40" s="18">
        <f>Population!CW84+Population!CX84+Population!BX84+Population!CQ84+Population!CR84</f>
        <v>1604</v>
      </c>
      <c r="M40" s="18">
        <f>Population!DS84</f>
        <v>45928</v>
      </c>
      <c r="N40" s="76">
        <f t="shared" si="8"/>
        <v>800838</v>
      </c>
      <c r="O40" s="69">
        <f>Population!DU84</f>
        <v>138859</v>
      </c>
      <c r="P40" s="18">
        <f>Population!DV84</f>
        <v>372214</v>
      </c>
      <c r="Q40" s="21">
        <f>Population!CU84+Population!CV84+Population!CP84</f>
        <v>17928</v>
      </c>
      <c r="R40" s="74">
        <f t="shared" si="16"/>
        <v>529001</v>
      </c>
      <c r="S40" s="100">
        <f t="shared" si="14"/>
        <v>1628611</v>
      </c>
      <c r="T40" s="20">
        <f>Population!CF84</f>
        <v>80762</v>
      </c>
      <c r="U40" s="20">
        <f>SUM(Population!G84:K84,Population!N84)</f>
        <v>80505</v>
      </c>
      <c r="V40" s="74">
        <f>Population!F84</f>
        <v>1624</v>
      </c>
      <c r="W40" s="18">
        <v>0</v>
      </c>
      <c r="X40" s="101">
        <f t="shared" si="11"/>
        <v>162891</v>
      </c>
      <c r="Y40" s="71">
        <f t="shared" si="15"/>
        <v>1791502</v>
      </c>
      <c r="Z40" s="36"/>
    </row>
    <row r="41" spans="1:26" x14ac:dyDescent="0.25">
      <c r="A41" s="17">
        <v>44287</v>
      </c>
      <c r="B41" s="17"/>
      <c r="C41" s="72">
        <f t="shared" si="13"/>
        <v>157544</v>
      </c>
      <c r="D41" s="18">
        <f>18423+554</f>
        <v>18977</v>
      </c>
      <c r="E41" s="18">
        <v>54700</v>
      </c>
      <c r="F41" s="18">
        <v>1491</v>
      </c>
      <c r="G41" s="78">
        <f>Population!DK85+Population!DL85</f>
        <v>232712</v>
      </c>
      <c r="H41" s="65">
        <f>Population!DM85+Population!DN85</f>
        <v>66962</v>
      </c>
      <c r="I41" s="69">
        <f>Population!DP85</f>
        <v>136986</v>
      </c>
      <c r="J41" s="18">
        <f>Population!DR85</f>
        <v>21895</v>
      </c>
      <c r="K41" s="18">
        <f>Population!DO85+Population!DT85</f>
        <v>600277</v>
      </c>
      <c r="L41" s="18">
        <f>Population!CW85+Population!CX85+Population!BX85+Population!CQ85+Population!CR85</f>
        <v>1580</v>
      </c>
      <c r="M41" s="18">
        <f>Population!DS85</f>
        <v>46179</v>
      </c>
      <c r="N41" s="76">
        <f t="shared" si="8"/>
        <v>806917</v>
      </c>
      <c r="O41" s="69">
        <f>Population!DU85</f>
        <v>140442</v>
      </c>
      <c r="P41" s="18">
        <f>Population!DV85</f>
        <v>380476</v>
      </c>
      <c r="Q41" s="21">
        <f>Population!CU85+Population!CV85+Population!CP85</f>
        <v>17742</v>
      </c>
      <c r="R41" s="74">
        <f t="shared" si="16"/>
        <v>538660</v>
      </c>
      <c r="S41" s="100">
        <f t="shared" si="14"/>
        <v>1645251</v>
      </c>
      <c r="T41" s="20">
        <f>Population!CF85</f>
        <v>81284</v>
      </c>
      <c r="U41" s="20">
        <f>SUM(Population!G85:K85,Population!N85)</f>
        <v>80811</v>
      </c>
      <c r="V41" s="74">
        <f>Population!F85</f>
        <v>1636</v>
      </c>
      <c r="W41" s="18">
        <v>0</v>
      </c>
      <c r="X41" s="101">
        <f t="shared" si="11"/>
        <v>163731</v>
      </c>
      <c r="Y41" s="71">
        <f t="shared" si="15"/>
        <v>1808982</v>
      </c>
      <c r="Z41" s="36"/>
    </row>
    <row r="42" spans="1:26" x14ac:dyDescent="0.25">
      <c r="A42" s="17">
        <v>44317</v>
      </c>
      <c r="B42" s="17"/>
      <c r="C42" s="72">
        <f t="shared" si="13"/>
        <v>157775</v>
      </c>
      <c r="D42" s="18">
        <f>18594+532</f>
        <v>19126</v>
      </c>
      <c r="E42" s="18">
        <v>54969</v>
      </c>
      <c r="F42" s="18">
        <v>1499</v>
      </c>
      <c r="G42" s="78">
        <f>Population!DK86+Population!DL86</f>
        <v>233369</v>
      </c>
      <c r="H42" s="65">
        <f>Population!DM86+Population!DN86</f>
        <v>66883</v>
      </c>
      <c r="I42" s="69">
        <f>Population!DP86</f>
        <v>138173</v>
      </c>
      <c r="J42" s="18">
        <f>Population!DR86</f>
        <v>22308</v>
      </c>
      <c r="K42" s="18">
        <f>Population!DO86+Population!DT86</f>
        <v>603635</v>
      </c>
      <c r="L42" s="18">
        <f>Population!CW86+Population!CX86+Population!BX86+Population!CQ86+Population!CR86</f>
        <v>1570</v>
      </c>
      <c r="M42" s="18">
        <f>Population!DS86</f>
        <v>46349</v>
      </c>
      <c r="N42" s="76">
        <f t="shared" si="8"/>
        <v>812035</v>
      </c>
      <c r="O42" s="69">
        <f>Population!DU86</f>
        <v>141959</v>
      </c>
      <c r="P42" s="18">
        <f>Population!DV86</f>
        <v>388049</v>
      </c>
      <c r="Q42" s="21">
        <f>Population!CU86+Population!CV86+Population!CP86</f>
        <v>17630</v>
      </c>
      <c r="R42" s="74">
        <f t="shared" si="16"/>
        <v>547638</v>
      </c>
      <c r="S42" s="100">
        <f t="shared" si="14"/>
        <v>1659925</v>
      </c>
      <c r="T42" s="20">
        <f>Population!CF86</f>
        <v>81897</v>
      </c>
      <c r="U42" s="20">
        <f>SUM(Population!G86:K86,Population!N86)</f>
        <v>80826</v>
      </c>
      <c r="V42" s="74">
        <f>Population!F86</f>
        <v>1682</v>
      </c>
      <c r="W42" s="18">
        <v>0</v>
      </c>
      <c r="X42" s="101">
        <f t="shared" si="11"/>
        <v>164405</v>
      </c>
      <c r="Y42" s="71">
        <f t="shared" si="15"/>
        <v>1824330</v>
      </c>
      <c r="Z42" s="36"/>
    </row>
    <row r="43" spans="1:26" x14ac:dyDescent="0.25">
      <c r="A43" s="17">
        <v>44348</v>
      </c>
      <c r="B43" s="17"/>
      <c r="C43" s="72">
        <f>G43-D43-E43-F43</f>
        <v>157826</v>
      </c>
      <c r="D43" s="18">
        <f>18786+532</f>
        <v>19318</v>
      </c>
      <c r="E43" s="18">
        <v>55117</v>
      </c>
      <c r="F43" s="18">
        <v>1492</v>
      </c>
      <c r="G43" s="78">
        <f>Population!DK87+Population!DL87</f>
        <v>233753</v>
      </c>
      <c r="H43" s="65">
        <f>Population!DM87+Population!DN87</f>
        <v>66795</v>
      </c>
      <c r="I43" s="69">
        <f>Population!DP87</f>
        <v>139518</v>
      </c>
      <c r="J43" s="18">
        <f>Population!DR87</f>
        <v>22760</v>
      </c>
      <c r="K43" s="18">
        <f>Population!DO87+Population!DT87</f>
        <v>607400</v>
      </c>
      <c r="L43" s="18">
        <f>Population!CW87+Population!CX87+Population!BX87+Population!CQ87+Population!CR87</f>
        <v>1546</v>
      </c>
      <c r="M43" s="18">
        <f>Population!DS87</f>
        <v>46728</v>
      </c>
      <c r="N43" s="76">
        <f t="shared" si="8"/>
        <v>817952</v>
      </c>
      <c r="O43" s="69">
        <f>Population!DU87</f>
        <v>143186</v>
      </c>
      <c r="P43" s="18">
        <f>Population!DV87</f>
        <v>394579</v>
      </c>
      <c r="Q43" s="21">
        <f>Population!CU87+Population!CV87+Population!CP87</f>
        <v>17458</v>
      </c>
      <c r="R43" s="74">
        <f t="shared" si="16"/>
        <v>555223</v>
      </c>
      <c r="S43" s="100">
        <f t="shared" si="14"/>
        <v>1673723</v>
      </c>
      <c r="T43" s="20">
        <f>Population!CF87</f>
        <v>82630</v>
      </c>
      <c r="U43" s="20">
        <f>SUM(Population!G87:K87,Population!N87)</f>
        <v>80759</v>
      </c>
      <c r="V43" s="74">
        <f>Population!F87</f>
        <v>1701</v>
      </c>
      <c r="W43" s="18">
        <v>0</v>
      </c>
      <c r="X43" s="101">
        <f t="shared" si="11"/>
        <v>165090</v>
      </c>
      <c r="Y43" s="71">
        <f t="shared" si="15"/>
        <v>1838813</v>
      </c>
      <c r="Z43" s="36"/>
    </row>
    <row r="44" spans="1:26" x14ac:dyDescent="0.25">
      <c r="A44" s="17"/>
      <c r="B44" s="17"/>
      <c r="C44" s="72"/>
      <c r="D44" s="18"/>
      <c r="E44" s="18"/>
      <c r="F44" s="18"/>
      <c r="G44" s="78"/>
      <c r="H44" s="65"/>
      <c r="I44" s="69"/>
      <c r="J44" s="18"/>
      <c r="K44" s="18"/>
      <c r="L44" s="18"/>
      <c r="M44" s="18"/>
      <c r="N44" s="76"/>
      <c r="O44" s="69"/>
      <c r="P44" s="18"/>
      <c r="Q44" s="21"/>
      <c r="R44" s="74"/>
      <c r="S44" s="100"/>
      <c r="T44" s="20"/>
      <c r="U44" s="20"/>
      <c r="V44" s="74"/>
      <c r="W44" s="18"/>
      <c r="X44" s="101"/>
      <c r="Y44" s="71"/>
      <c r="Z44" s="36"/>
    </row>
    <row r="45" spans="1:26" x14ac:dyDescent="0.25">
      <c r="A45" s="17">
        <v>44378</v>
      </c>
      <c r="B45" s="17"/>
      <c r="C45" s="72">
        <f t="shared" ref="C45:C72" si="17">G45-D45-E45-F45</f>
        <v>157251</v>
      </c>
      <c r="D45" s="18">
        <f>18897+513</f>
        <v>19410</v>
      </c>
      <c r="E45" s="18">
        <v>55297</v>
      </c>
      <c r="F45" s="18">
        <v>1508</v>
      </c>
      <c r="G45" s="78">
        <f>Population!DK88+Population!DL88</f>
        <v>233466</v>
      </c>
      <c r="H45" s="65">
        <f>Population!DM88+Population!DN88</f>
        <v>66432</v>
      </c>
      <c r="I45" s="69">
        <f>Population!DP88</f>
        <v>140894</v>
      </c>
      <c r="J45" s="18">
        <f>Population!DR88</f>
        <v>23300</v>
      </c>
      <c r="K45" s="18">
        <f>Population!DO88+Population!DT88</f>
        <v>611748</v>
      </c>
      <c r="L45" s="18">
        <f>Population!CW88+Population!CX88+Population!BX88+Population!CQ88+Population!CR88</f>
        <v>1544</v>
      </c>
      <c r="M45" s="18">
        <f>Population!DS88</f>
        <v>47101</v>
      </c>
      <c r="N45" s="76">
        <f t="shared" si="8"/>
        <v>824587</v>
      </c>
      <c r="O45" s="69">
        <f>Population!DU88</f>
        <v>144279</v>
      </c>
      <c r="P45" s="18">
        <f>Population!DV88</f>
        <v>400861</v>
      </c>
      <c r="Q45" s="21">
        <f>Population!CU88+Population!CV88+Population!CP88</f>
        <v>17408</v>
      </c>
      <c r="R45" s="74">
        <f>SUM(O45:Q45)</f>
        <v>562548</v>
      </c>
      <c r="S45" s="100">
        <f t="shared" si="14"/>
        <v>1687033</v>
      </c>
      <c r="T45" s="20">
        <f>Population!CF88</f>
        <v>83237</v>
      </c>
      <c r="U45" s="20">
        <f>SUM(Population!G88:K88,Population!N88)</f>
        <v>80556</v>
      </c>
      <c r="V45" s="74">
        <v>1717</v>
      </c>
      <c r="W45" s="18">
        <v>20</v>
      </c>
      <c r="X45" s="101">
        <f t="shared" si="11"/>
        <v>165530</v>
      </c>
      <c r="Y45" s="71">
        <f t="shared" ref="Y45:Y56" si="18">S45+X45</f>
        <v>1852563</v>
      </c>
    </row>
    <row r="46" spans="1:26" x14ac:dyDescent="0.25">
      <c r="A46" s="17">
        <v>44409</v>
      </c>
      <c r="B46" s="17"/>
      <c r="C46" s="72">
        <f t="shared" si="17"/>
        <v>157460</v>
      </c>
      <c r="D46" s="18">
        <f>18952+540</f>
        <v>19492</v>
      </c>
      <c r="E46" s="18">
        <v>55333</v>
      </c>
      <c r="F46" s="18">
        <v>1523</v>
      </c>
      <c r="G46" s="78">
        <f>Population!DK89+Population!DL89</f>
        <v>233808</v>
      </c>
      <c r="H46" s="65">
        <f>Population!DM89+Population!DN89</f>
        <v>66294</v>
      </c>
      <c r="I46" s="69">
        <f>Population!DP89</f>
        <v>142676</v>
      </c>
      <c r="J46" s="18">
        <f>Population!DR89</f>
        <v>23875</v>
      </c>
      <c r="K46" s="18">
        <f>Population!DO89+Population!DT89</f>
        <v>616897</v>
      </c>
      <c r="L46" s="18">
        <f>Population!CW89+Population!CX89+Population!BX89+Population!CQ89+Population!CR89</f>
        <v>1548</v>
      </c>
      <c r="M46" s="18">
        <f>Population!DS89</f>
        <v>47276</v>
      </c>
      <c r="N46" s="76">
        <f t="shared" si="8"/>
        <v>832272</v>
      </c>
      <c r="O46" s="69">
        <f>Population!DU89</f>
        <v>145418</v>
      </c>
      <c r="P46" s="18">
        <f>Population!DV89</f>
        <v>408229</v>
      </c>
      <c r="Q46" s="21">
        <f>Population!CU89+Population!CV89+Population!CP89</f>
        <v>17268</v>
      </c>
      <c r="R46" s="74">
        <f t="shared" ref="R46:R56" si="19">SUM(O46:Q46)</f>
        <v>570915</v>
      </c>
      <c r="S46" s="100">
        <f t="shared" si="14"/>
        <v>1703289</v>
      </c>
      <c r="T46" s="20">
        <f>Population!CF89</f>
        <v>84121</v>
      </c>
      <c r="U46" s="20">
        <f>SUM(Population!G89:K89,Population!N89)</f>
        <v>80650</v>
      </c>
      <c r="V46" s="74">
        <v>1785</v>
      </c>
      <c r="W46" s="18">
        <v>544</v>
      </c>
      <c r="X46" s="101">
        <f t="shared" si="11"/>
        <v>167100</v>
      </c>
      <c r="Y46" s="71">
        <f t="shared" si="18"/>
        <v>1870389</v>
      </c>
    </row>
    <row r="47" spans="1:26" x14ac:dyDescent="0.25">
      <c r="A47" s="17">
        <v>44440</v>
      </c>
      <c r="B47" s="17"/>
      <c r="C47" s="72">
        <f t="shared" si="17"/>
        <v>157878</v>
      </c>
      <c r="D47" s="18">
        <f>18938+530</f>
        <v>19468</v>
      </c>
      <c r="E47" s="18">
        <v>55404</v>
      </c>
      <c r="F47" s="18">
        <v>1527</v>
      </c>
      <c r="G47" s="78">
        <f>Population!DK90+Population!DL90</f>
        <v>234277</v>
      </c>
      <c r="H47" s="65">
        <f>Population!DM90+Population!DN90</f>
        <v>66303</v>
      </c>
      <c r="I47" s="69">
        <f>Population!DP90</f>
        <v>144356</v>
      </c>
      <c r="J47" s="18">
        <f>Population!DR90</f>
        <v>24239</v>
      </c>
      <c r="K47" s="18">
        <f>Population!DO90+Population!DT90</f>
        <v>621846</v>
      </c>
      <c r="L47" s="18">
        <f>Population!CW90+Population!CX90+Population!BX90+Population!CQ90+Population!CR90</f>
        <v>1541</v>
      </c>
      <c r="M47" s="18">
        <f>Population!DS90</f>
        <v>47616</v>
      </c>
      <c r="N47" s="76">
        <f t="shared" si="8"/>
        <v>839598</v>
      </c>
      <c r="O47" s="69">
        <f>Population!DU90</f>
        <v>146771</v>
      </c>
      <c r="P47" s="18">
        <f>Population!DV90</f>
        <v>417376</v>
      </c>
      <c r="Q47" s="21">
        <f>Population!CU90+Population!CV90+Population!CP90</f>
        <v>17134</v>
      </c>
      <c r="R47" s="74">
        <f t="shared" si="19"/>
        <v>581281</v>
      </c>
      <c r="S47" s="100">
        <f t="shared" si="14"/>
        <v>1721459</v>
      </c>
      <c r="T47" s="20">
        <f>Population!CF90</f>
        <v>85275</v>
      </c>
      <c r="U47" s="20">
        <f>SUM(Population!G90:K90,Population!N90)</f>
        <v>80400</v>
      </c>
      <c r="V47" s="74">
        <v>1820</v>
      </c>
      <c r="W47" s="18">
        <v>1319</v>
      </c>
      <c r="X47" s="101">
        <f t="shared" si="11"/>
        <v>168814</v>
      </c>
      <c r="Y47" s="71">
        <f t="shared" si="18"/>
        <v>1890273</v>
      </c>
    </row>
    <row r="48" spans="1:26" x14ac:dyDescent="0.25">
      <c r="A48" s="17">
        <v>44470</v>
      </c>
      <c r="B48" s="17"/>
      <c r="C48" s="72">
        <f t="shared" si="17"/>
        <v>158109</v>
      </c>
      <c r="D48" s="18">
        <f>19066+530</f>
        <v>19596</v>
      </c>
      <c r="E48" s="18">
        <v>55659</v>
      </c>
      <c r="F48" s="18">
        <v>1548</v>
      </c>
      <c r="G48" s="78">
        <f>Population!DK91+Population!DL91</f>
        <v>234912</v>
      </c>
      <c r="H48" s="65">
        <f>Population!DM91+Population!DN91</f>
        <v>66285</v>
      </c>
      <c r="I48" s="69">
        <f>Population!DP91</f>
        <v>145895</v>
      </c>
      <c r="J48" s="18">
        <f>Population!DR91</f>
        <v>24548</v>
      </c>
      <c r="K48" s="18">
        <f>Population!DO91+Population!DT91</f>
        <v>626507</v>
      </c>
      <c r="L48" s="18">
        <f>Population!CW91+Population!CX91+Population!BX91+Population!CQ91+Population!CR91</f>
        <v>1533</v>
      </c>
      <c r="M48" s="18">
        <f>Population!DS91</f>
        <v>47913</v>
      </c>
      <c r="N48" s="76">
        <f t="shared" si="8"/>
        <v>846396</v>
      </c>
      <c r="O48" s="69">
        <f>Population!DU91</f>
        <v>147966</v>
      </c>
      <c r="P48" s="18">
        <f>Population!DV91</f>
        <v>425193</v>
      </c>
      <c r="Q48" s="21">
        <f>Population!CU91+Population!CV91+Population!CP91</f>
        <v>17008</v>
      </c>
      <c r="R48" s="74">
        <f t="shared" si="19"/>
        <v>590167</v>
      </c>
      <c r="S48" s="100">
        <f t="shared" si="14"/>
        <v>1737760</v>
      </c>
      <c r="T48" s="20">
        <f>Population!CF91</f>
        <v>86355</v>
      </c>
      <c r="U48" s="20">
        <f>SUM(Population!G91:K91,Population!N91)</f>
        <v>80181</v>
      </c>
      <c r="V48" s="74">
        <v>1838</v>
      </c>
      <c r="W48" s="18">
        <v>1885</v>
      </c>
      <c r="X48" s="101">
        <f t="shared" si="11"/>
        <v>170259</v>
      </c>
      <c r="Y48" s="71">
        <f t="shared" si="18"/>
        <v>1908019</v>
      </c>
    </row>
    <row r="49" spans="1:25" x14ac:dyDescent="0.25">
      <c r="A49" s="17">
        <v>44501</v>
      </c>
      <c r="B49" s="17"/>
      <c r="C49" s="72">
        <f t="shared" si="17"/>
        <v>158362</v>
      </c>
      <c r="D49" s="18">
        <f>19108+530</f>
        <v>19638</v>
      </c>
      <c r="E49" s="18">
        <v>55962</v>
      </c>
      <c r="F49" s="18">
        <v>1541</v>
      </c>
      <c r="G49" s="78">
        <f>Population!DK92+Population!DL92</f>
        <v>235503</v>
      </c>
      <c r="H49" s="65">
        <f>Population!DM92+Population!DN92</f>
        <v>66281</v>
      </c>
      <c r="I49" s="69">
        <f>Population!DP92</f>
        <v>147371</v>
      </c>
      <c r="J49" s="18">
        <f>Population!DR92</f>
        <v>24834</v>
      </c>
      <c r="K49" s="18">
        <f>Population!DO92+Population!DT92</f>
        <v>629830</v>
      </c>
      <c r="L49" s="18">
        <f>Population!CW92+Population!CX92+Population!BX92+Population!CQ92+Population!CR92</f>
        <v>1517</v>
      </c>
      <c r="M49" s="18">
        <f>Population!DS92</f>
        <v>48089</v>
      </c>
      <c r="N49" s="76">
        <f t="shared" si="8"/>
        <v>851641</v>
      </c>
      <c r="O49" s="69">
        <f>Population!DU92</f>
        <v>148759</v>
      </c>
      <c r="P49" s="18">
        <f>Population!DV92</f>
        <v>432070</v>
      </c>
      <c r="Q49" s="21">
        <f>Population!CU92+Population!CV92+Population!CP92</f>
        <v>16856</v>
      </c>
      <c r="R49" s="74">
        <f t="shared" si="19"/>
        <v>597685</v>
      </c>
      <c r="S49" s="100">
        <f t="shared" si="14"/>
        <v>1751110</v>
      </c>
      <c r="T49" s="20">
        <f>Population!CF92</f>
        <v>87470</v>
      </c>
      <c r="U49" s="20">
        <f>SUM(Population!G92:K92,Population!N92)</f>
        <v>80102</v>
      </c>
      <c r="V49" s="74">
        <v>1834</v>
      </c>
      <c r="W49" s="18">
        <v>2347</v>
      </c>
      <c r="X49" s="101">
        <f t="shared" si="11"/>
        <v>171753</v>
      </c>
      <c r="Y49" s="71">
        <f t="shared" si="18"/>
        <v>1922863</v>
      </c>
    </row>
    <row r="50" spans="1:25" x14ac:dyDescent="0.25">
      <c r="A50" s="17">
        <v>44531</v>
      </c>
      <c r="B50" s="17"/>
      <c r="C50" s="72">
        <f t="shared" si="17"/>
        <v>158592</v>
      </c>
      <c r="D50" s="18">
        <f>19047+512</f>
        <v>19559</v>
      </c>
      <c r="E50" s="18">
        <v>56086</v>
      </c>
      <c r="F50" s="18">
        <v>1549</v>
      </c>
      <c r="G50" s="78">
        <f>Population!DK93+Population!DL93</f>
        <v>235786</v>
      </c>
      <c r="H50" s="65">
        <f>Population!DM93+Population!DN93</f>
        <v>66197</v>
      </c>
      <c r="I50" s="69">
        <f>Population!DP93</f>
        <v>150575</v>
      </c>
      <c r="J50" s="18">
        <f>Population!DR93</f>
        <v>21599</v>
      </c>
      <c r="K50" s="18">
        <f>Population!DO93+Population!DT93</f>
        <v>633808</v>
      </c>
      <c r="L50" s="18">
        <f>Population!CW93+Population!CX93+Population!BX93+Population!CQ93+Population!CR93</f>
        <v>1518</v>
      </c>
      <c r="M50" s="18">
        <f>Population!DS93</f>
        <v>48308</v>
      </c>
      <c r="N50" s="76">
        <f t="shared" si="8"/>
        <v>855808</v>
      </c>
      <c r="O50" s="69">
        <f>Population!DU93</f>
        <v>151968</v>
      </c>
      <c r="P50" s="18">
        <f>Population!DV93</f>
        <v>442032</v>
      </c>
      <c r="Q50" s="21">
        <f>Population!CU93+Population!CV93+Population!CP93</f>
        <v>16729</v>
      </c>
      <c r="R50" s="74">
        <f t="shared" si="19"/>
        <v>610729</v>
      </c>
      <c r="S50" s="100">
        <f t="shared" si="14"/>
        <v>1768520</v>
      </c>
      <c r="T50" s="20">
        <f>Population!CF93</f>
        <v>88544</v>
      </c>
      <c r="U50" s="20">
        <f>SUM(Population!G93:K93,Population!N93)</f>
        <v>80070</v>
      </c>
      <c r="V50" s="74">
        <v>1884</v>
      </c>
      <c r="W50" s="18">
        <v>2611</v>
      </c>
      <c r="X50" s="101">
        <f t="shared" si="11"/>
        <v>173109</v>
      </c>
      <c r="Y50" s="71">
        <f t="shared" si="18"/>
        <v>1941629</v>
      </c>
    </row>
    <row r="51" spans="1:25" x14ac:dyDescent="0.25">
      <c r="A51" s="17">
        <v>44562</v>
      </c>
      <c r="B51" s="17"/>
      <c r="C51" s="72">
        <f t="shared" si="17"/>
        <v>158794</v>
      </c>
      <c r="D51" s="18">
        <f>19067+520</f>
        <v>19587</v>
      </c>
      <c r="E51" s="18">
        <v>56250</v>
      </c>
      <c r="F51" s="18">
        <v>1556</v>
      </c>
      <c r="G51" s="78">
        <f>Population!DK94+Population!DL94</f>
        <v>236187</v>
      </c>
      <c r="H51" s="65">
        <f>Population!DM94+Population!DN94</f>
        <v>66237</v>
      </c>
      <c r="I51" s="69">
        <f>Population!DP94</f>
        <v>152502</v>
      </c>
      <c r="J51" s="18">
        <f>Population!DR94</f>
        <v>22073</v>
      </c>
      <c r="K51" s="18">
        <f>Population!DO94+Population!DT94</f>
        <v>638923</v>
      </c>
      <c r="L51" s="18">
        <f>Population!CW94+Population!CX94+Population!BX94+Population!CQ94+Population!CR94</f>
        <v>1518</v>
      </c>
      <c r="M51" s="18">
        <f>Population!DS94</f>
        <v>48732</v>
      </c>
      <c r="N51" s="76">
        <f t="shared" si="8"/>
        <v>863748</v>
      </c>
      <c r="O51" s="69">
        <f>Population!DU94</f>
        <v>153391</v>
      </c>
      <c r="P51" s="18">
        <f>Population!DV94</f>
        <v>451796</v>
      </c>
      <c r="Q51" s="21">
        <f>Population!CU94+Population!CV94+Population!CP94</f>
        <v>16613</v>
      </c>
      <c r="R51" s="74">
        <f t="shared" si="19"/>
        <v>621800</v>
      </c>
      <c r="S51" s="100">
        <f t="shared" si="14"/>
        <v>1787972</v>
      </c>
      <c r="T51" s="20">
        <f>Population!CF94</f>
        <v>90110</v>
      </c>
      <c r="U51" s="20">
        <f>SUM(Population!G94:K94,Population!N94)</f>
        <v>80160</v>
      </c>
      <c r="V51" s="74">
        <v>1962</v>
      </c>
      <c r="W51" s="18">
        <v>2840</v>
      </c>
      <c r="X51" s="101">
        <f t="shared" si="11"/>
        <v>175072</v>
      </c>
      <c r="Y51" s="71">
        <f t="shared" si="18"/>
        <v>1963044</v>
      </c>
    </row>
    <row r="52" spans="1:25" x14ac:dyDescent="0.25">
      <c r="A52" s="17">
        <v>44593</v>
      </c>
      <c r="B52" s="17"/>
      <c r="C52" s="72">
        <f t="shared" si="17"/>
        <v>158097</v>
      </c>
      <c r="D52" s="18">
        <f>18965+519</f>
        <v>19484</v>
      </c>
      <c r="E52" s="18">
        <v>56223</v>
      </c>
      <c r="F52" s="18">
        <v>1548</v>
      </c>
      <c r="G52" s="78">
        <f>Population!DK95+Population!DL95</f>
        <v>235352</v>
      </c>
      <c r="H52" s="65">
        <f>Population!DM95+Population!DN95</f>
        <v>66136</v>
      </c>
      <c r="I52" s="69">
        <f>Population!DP95</f>
        <v>154127</v>
      </c>
      <c r="J52" s="18">
        <f>Population!DR95</f>
        <v>21824</v>
      </c>
      <c r="K52" s="18">
        <f>Population!DO95+Population!DT95</f>
        <v>643570</v>
      </c>
      <c r="L52" s="18">
        <f>Population!CW95+Population!CX95+Population!BX95+Population!CQ95+Population!CR95</f>
        <v>1526</v>
      </c>
      <c r="M52" s="18">
        <f>Population!DS95</f>
        <v>49213</v>
      </c>
      <c r="N52" s="76">
        <f t="shared" si="8"/>
        <v>870260</v>
      </c>
      <c r="O52" s="69">
        <f>Population!DU95</f>
        <v>154868</v>
      </c>
      <c r="P52" s="18">
        <f>Population!DV95</f>
        <v>459739</v>
      </c>
      <c r="Q52" s="21">
        <f>Population!CU95+Population!CV95+Population!CP95</f>
        <v>16441</v>
      </c>
      <c r="R52" s="74">
        <f t="shared" si="19"/>
        <v>631048</v>
      </c>
      <c r="S52" s="100">
        <f t="shared" si="14"/>
        <v>1802796</v>
      </c>
      <c r="T52" s="20">
        <f>Population!CF95</f>
        <v>91219</v>
      </c>
      <c r="U52" s="20">
        <f>SUM(Population!G95:K95,Population!N95)</f>
        <v>80399</v>
      </c>
      <c r="V52" s="74">
        <v>2008</v>
      </c>
      <c r="W52" s="18">
        <v>2994</v>
      </c>
      <c r="X52" s="101">
        <f t="shared" si="11"/>
        <v>176620</v>
      </c>
      <c r="Y52" s="71">
        <f t="shared" si="18"/>
        <v>1979416</v>
      </c>
    </row>
    <row r="53" spans="1:25" x14ac:dyDescent="0.25">
      <c r="A53" s="17">
        <v>44621</v>
      </c>
      <c r="B53" s="17"/>
      <c r="C53" s="72">
        <f t="shared" si="17"/>
        <v>159405</v>
      </c>
      <c r="D53" s="18">
        <f>18958+527</f>
        <v>19485</v>
      </c>
      <c r="E53" s="18">
        <v>56249</v>
      </c>
      <c r="F53" s="18">
        <v>1551</v>
      </c>
      <c r="G53" s="78">
        <f>Population!DK96+Population!DL96</f>
        <v>236690</v>
      </c>
      <c r="H53" s="65">
        <f>Population!DM96+Population!DN96</f>
        <v>65963</v>
      </c>
      <c r="I53" s="69">
        <f>Population!DP96</f>
        <v>155366</v>
      </c>
      <c r="J53" s="18">
        <f>Population!DR96</f>
        <v>21646</v>
      </c>
      <c r="K53" s="18">
        <f>Population!DO96+Population!DT96</f>
        <v>646779</v>
      </c>
      <c r="L53" s="18">
        <f>Population!CW96+Population!CX96+Population!BX96+Population!CQ96+Population!CR96</f>
        <v>1542</v>
      </c>
      <c r="M53" s="18">
        <f>Population!DS96</f>
        <v>49484</v>
      </c>
      <c r="N53" s="76">
        <f t="shared" si="8"/>
        <v>874817</v>
      </c>
      <c r="O53" s="69">
        <f>Population!DU96</f>
        <v>156003</v>
      </c>
      <c r="P53" s="18">
        <f>Population!DV96</f>
        <v>465007</v>
      </c>
      <c r="Q53" s="21">
        <f>Population!CU96+Population!CV96+Population!CP96</f>
        <v>16430</v>
      </c>
      <c r="R53" s="74">
        <f t="shared" si="19"/>
        <v>637440</v>
      </c>
      <c r="S53" s="100">
        <f t="shared" si="14"/>
        <v>1814910</v>
      </c>
      <c r="T53" s="20">
        <f>Population!CF96</f>
        <v>92160</v>
      </c>
      <c r="U53" s="20">
        <f>SUM(Population!G96:K96,Population!N96)</f>
        <v>80461</v>
      </c>
      <c r="V53" s="74">
        <v>1996</v>
      </c>
      <c r="W53" s="18">
        <v>3195</v>
      </c>
      <c r="X53" s="101">
        <f t="shared" si="11"/>
        <v>177812</v>
      </c>
      <c r="Y53" s="71">
        <f t="shared" si="18"/>
        <v>1992722</v>
      </c>
    </row>
    <row r="54" spans="1:25" x14ac:dyDescent="0.25">
      <c r="A54" s="17">
        <v>44652</v>
      </c>
      <c r="B54" s="17"/>
      <c r="C54" s="72">
        <f t="shared" si="17"/>
        <v>159180</v>
      </c>
      <c r="D54" s="18">
        <f>19087+536</f>
        <v>19623</v>
      </c>
      <c r="E54" s="18">
        <v>56473</v>
      </c>
      <c r="F54" s="18">
        <v>1557</v>
      </c>
      <c r="G54" s="78">
        <f>Population!DK97+Population!DL97</f>
        <v>236833</v>
      </c>
      <c r="H54" s="65">
        <f>Population!DM97+Population!DN97</f>
        <v>65830</v>
      </c>
      <c r="I54" s="69">
        <f>Population!DP97</f>
        <v>156606</v>
      </c>
      <c r="J54" s="18">
        <f>Population!DR97</f>
        <v>24709</v>
      </c>
      <c r="K54" s="18">
        <f>Population!DO97+Population!DT97</f>
        <v>651216</v>
      </c>
      <c r="L54" s="18">
        <f>Population!CW97+Population!CX97+Population!BX97+Population!CQ97+Population!CR97</f>
        <v>1554</v>
      </c>
      <c r="M54" s="18">
        <f>Population!DS97</f>
        <v>50216</v>
      </c>
      <c r="N54" s="76">
        <f t="shared" si="8"/>
        <v>884301</v>
      </c>
      <c r="O54" s="69">
        <f>Population!DU97</f>
        <v>156966</v>
      </c>
      <c r="P54" s="18">
        <f>Population!DV97</f>
        <v>473054</v>
      </c>
      <c r="Q54" s="21">
        <f>Population!CU97+Population!CV97+Population!CP97</f>
        <v>16355</v>
      </c>
      <c r="R54" s="74">
        <f t="shared" si="19"/>
        <v>646375</v>
      </c>
      <c r="S54" s="100">
        <f t="shared" si="14"/>
        <v>1833339</v>
      </c>
      <c r="T54" s="20">
        <f>Population!CF97</f>
        <v>92500</v>
      </c>
      <c r="U54" s="20">
        <f>SUM(Population!G97:K97,Population!N97)</f>
        <v>81348</v>
      </c>
      <c r="V54" s="74">
        <v>2145</v>
      </c>
      <c r="W54" s="18">
        <v>3825</v>
      </c>
      <c r="X54" s="101">
        <f t="shared" si="11"/>
        <v>179818</v>
      </c>
      <c r="Y54" s="71">
        <f t="shared" si="18"/>
        <v>2013157</v>
      </c>
    </row>
    <row r="55" spans="1:25" x14ac:dyDescent="0.25">
      <c r="A55" s="17">
        <v>44682</v>
      </c>
      <c r="B55" s="17"/>
      <c r="C55" s="72">
        <f t="shared" si="17"/>
        <v>159865</v>
      </c>
      <c r="D55" s="18">
        <f>18986+480</f>
        <v>19466</v>
      </c>
      <c r="E55" s="18">
        <v>56793</v>
      </c>
      <c r="F55" s="18">
        <v>1557</v>
      </c>
      <c r="G55" s="78">
        <f>Population!DK98+Population!DL98</f>
        <v>237681</v>
      </c>
      <c r="H55" s="65">
        <f>Population!DM98+Population!DN98</f>
        <v>65825</v>
      </c>
      <c r="I55" s="69">
        <f>Population!DP98</f>
        <v>157482</v>
      </c>
      <c r="J55" s="18">
        <f>Population!DR98</f>
        <v>21488</v>
      </c>
      <c r="K55" s="18">
        <f>Population!DO98+Population!DT98</f>
        <v>653185</v>
      </c>
      <c r="L55" s="18">
        <f>Population!CW98+Population!CX98+Population!BX98+Population!CQ98+Population!CR98</f>
        <v>1546</v>
      </c>
      <c r="M55" s="18">
        <f>Population!DS98</f>
        <v>49272</v>
      </c>
      <c r="N55" s="76">
        <f t="shared" si="8"/>
        <v>882973</v>
      </c>
      <c r="O55" s="69">
        <f>Population!DU98</f>
        <v>158970</v>
      </c>
      <c r="P55" s="18">
        <f>Population!DV98</f>
        <v>482669</v>
      </c>
      <c r="Q55" s="21">
        <f>Population!CU98+Population!CV98+Population!CP98</f>
        <v>16313</v>
      </c>
      <c r="R55" s="74">
        <f t="shared" si="19"/>
        <v>657952</v>
      </c>
      <c r="S55" s="100">
        <f t="shared" si="14"/>
        <v>1844431</v>
      </c>
      <c r="T55" s="20">
        <f>Population!CF98</f>
        <v>94061</v>
      </c>
      <c r="U55" s="20">
        <f>SUM(Population!G98:K98,Population!N98)</f>
        <v>79681</v>
      </c>
      <c r="V55" s="74">
        <v>2082</v>
      </c>
      <c r="W55" s="18">
        <v>3826</v>
      </c>
      <c r="X55" s="101">
        <f t="shared" si="11"/>
        <v>179650</v>
      </c>
      <c r="Y55" s="71">
        <f t="shared" si="18"/>
        <v>2024081</v>
      </c>
    </row>
    <row r="56" spans="1:25" x14ac:dyDescent="0.25">
      <c r="A56" s="17">
        <v>44713</v>
      </c>
      <c r="B56" s="17"/>
      <c r="C56" s="72">
        <f t="shared" si="17"/>
        <v>159917</v>
      </c>
      <c r="D56" s="18">
        <f>18915+508</f>
        <v>19423</v>
      </c>
      <c r="E56" s="18">
        <v>57006</v>
      </c>
      <c r="F56" s="18">
        <v>1565</v>
      </c>
      <c r="G56" s="78">
        <f>Population!DK99+Population!DL99</f>
        <v>237911</v>
      </c>
      <c r="H56" s="65">
        <f>Population!DM99+Population!DN99</f>
        <v>65694</v>
      </c>
      <c r="I56" s="69">
        <f>Population!DP99</f>
        <v>157986</v>
      </c>
      <c r="J56" s="18">
        <f>Population!DR99</f>
        <v>21221</v>
      </c>
      <c r="K56" s="18">
        <f>Population!DO99+Population!DT99</f>
        <v>655387</v>
      </c>
      <c r="L56" s="18">
        <f>Population!CW99+Population!CX99+Population!BX99+Population!CQ99+Population!CR99</f>
        <v>1593</v>
      </c>
      <c r="M56" s="18">
        <f>Population!DS99</f>
        <v>48927</v>
      </c>
      <c r="N56" s="76">
        <f t="shared" si="8"/>
        <v>885114</v>
      </c>
      <c r="O56" s="69">
        <f>Population!DU99</f>
        <v>160112</v>
      </c>
      <c r="P56" s="18">
        <f>Population!DV99</f>
        <v>488587</v>
      </c>
      <c r="Q56" s="21">
        <f>Population!CU99+Population!CV99+Population!CP99</f>
        <v>16455</v>
      </c>
      <c r="R56" s="74">
        <f t="shared" si="19"/>
        <v>665154</v>
      </c>
      <c r="S56" s="100">
        <f t="shared" si="14"/>
        <v>1853873</v>
      </c>
      <c r="T56" s="20">
        <f>Population!CF99</f>
        <v>94733</v>
      </c>
      <c r="U56" s="20">
        <f>SUM(Population!G99:K99,Population!N99)</f>
        <v>78707</v>
      </c>
      <c r="V56" s="74">
        <v>2071</v>
      </c>
      <c r="W56" s="18">
        <v>4024</v>
      </c>
      <c r="X56" s="101">
        <f t="shared" si="11"/>
        <v>179535</v>
      </c>
      <c r="Y56" s="71">
        <f t="shared" si="18"/>
        <v>2033408</v>
      </c>
    </row>
    <row r="57" spans="1:25" x14ac:dyDescent="0.25">
      <c r="A57" s="17"/>
      <c r="B57" s="17"/>
      <c r="C57" s="72"/>
      <c r="D57" s="18"/>
      <c r="E57" s="18"/>
      <c r="F57" s="18"/>
      <c r="G57" s="78"/>
      <c r="H57" s="65"/>
      <c r="I57" s="69"/>
      <c r="J57" s="18"/>
      <c r="K57" s="18"/>
      <c r="L57" s="18"/>
      <c r="M57" s="18"/>
      <c r="N57" s="76"/>
      <c r="O57" s="69"/>
      <c r="P57" s="18"/>
      <c r="Q57" s="21"/>
      <c r="R57" s="74"/>
      <c r="S57" s="100"/>
      <c r="T57" s="20"/>
      <c r="U57" s="20"/>
      <c r="V57" s="74"/>
      <c r="W57" s="18"/>
      <c r="X57" s="101"/>
      <c r="Y57" s="71"/>
    </row>
    <row r="58" spans="1:25" x14ac:dyDescent="0.25">
      <c r="A58" s="17">
        <v>44743</v>
      </c>
      <c r="B58" s="17"/>
      <c r="C58" s="72">
        <f t="shared" si="17"/>
        <v>160278</v>
      </c>
      <c r="D58" s="18">
        <f>19006+497</f>
        <v>19503</v>
      </c>
      <c r="E58" s="18">
        <v>57236</v>
      </c>
      <c r="F58" s="18">
        <v>1583</v>
      </c>
      <c r="G58" s="78">
        <f>Population!DK100+Population!DL100</f>
        <v>238600</v>
      </c>
      <c r="H58" s="65">
        <f>Population!DM100+Population!DN100</f>
        <v>65646</v>
      </c>
      <c r="I58" s="69">
        <f>Population!DP100</f>
        <v>159478</v>
      </c>
      <c r="J58" s="18">
        <f>Population!DR100</f>
        <v>21366</v>
      </c>
      <c r="K58" s="18">
        <f>Population!DO100+Population!DT100</f>
        <v>659336</v>
      </c>
      <c r="L58" s="18">
        <f>Population!CW100+Population!CX100+Population!BX100+Population!CQ100+Population!CR100</f>
        <v>1600</v>
      </c>
      <c r="M58" s="18">
        <f>Population!DS100</f>
        <v>49305</v>
      </c>
      <c r="N58" s="76">
        <f t="shared" si="8"/>
        <v>891085</v>
      </c>
      <c r="O58" s="69">
        <f>Population!DU100</f>
        <v>161101</v>
      </c>
      <c r="P58" s="18">
        <f>Population!DV100</f>
        <v>493760</v>
      </c>
      <c r="Q58" s="21">
        <f>Population!CU100+Population!CV100+Population!CP100</f>
        <v>16482</v>
      </c>
      <c r="R58" s="74">
        <f>SUM(O58:Q58)</f>
        <v>671343</v>
      </c>
      <c r="S58" s="100">
        <f t="shared" si="14"/>
        <v>1866674</v>
      </c>
      <c r="T58" s="20">
        <f>Population!CF100</f>
        <v>95450</v>
      </c>
      <c r="U58" s="20">
        <f>SUM(Population!G100:K100,Population!N100)</f>
        <v>78850</v>
      </c>
      <c r="V58" s="74">
        <v>2097</v>
      </c>
      <c r="W58" s="18">
        <v>4211</v>
      </c>
      <c r="X58" s="101">
        <f t="shared" si="11"/>
        <v>180608</v>
      </c>
      <c r="Y58" s="71">
        <f t="shared" ref="Y58:Y69" si="20">S58+X58</f>
        <v>2047282</v>
      </c>
    </row>
    <row r="59" spans="1:25" x14ac:dyDescent="0.25">
      <c r="A59" s="17">
        <v>44774</v>
      </c>
      <c r="B59" s="17"/>
      <c r="C59" s="64">
        <f t="shared" si="17"/>
        <v>160335</v>
      </c>
      <c r="D59" s="21">
        <f>19146+531</f>
        <v>19677</v>
      </c>
      <c r="E59" s="21">
        <v>57568</v>
      </c>
      <c r="F59" s="21">
        <v>1602</v>
      </c>
      <c r="G59" s="78">
        <f>Population!DK101+Population!DL101</f>
        <v>239182</v>
      </c>
      <c r="H59" s="73">
        <f>Population!DM101+Population!DN101</f>
        <v>65538</v>
      </c>
      <c r="I59" s="70">
        <f>Population!DP101</f>
        <v>160538</v>
      </c>
      <c r="J59" s="21">
        <f>Population!DR101</f>
        <v>22318</v>
      </c>
      <c r="K59" s="21">
        <f>Population!DO101+Population!DT101</f>
        <v>662866</v>
      </c>
      <c r="L59" s="18">
        <f>Population!CW101+Population!CX101+Population!BX101+Population!CQ101+Population!CR101</f>
        <v>2146</v>
      </c>
      <c r="M59" s="21">
        <f>Population!DS101</f>
        <v>49329</v>
      </c>
      <c r="N59" s="76">
        <f t="shared" si="8"/>
        <v>897197</v>
      </c>
      <c r="O59" s="70">
        <f>Population!DU101</f>
        <v>161700</v>
      </c>
      <c r="P59" s="18">
        <f>Population!DV101</f>
        <v>499595</v>
      </c>
      <c r="Q59" s="21">
        <f>Population!CU101+Population!CV101+Population!CP101</f>
        <v>16725</v>
      </c>
      <c r="R59" s="74">
        <f t="shared" ref="R59:R69" si="21">SUM(O59:Q59)</f>
        <v>678020</v>
      </c>
      <c r="S59" s="100">
        <f t="shared" si="14"/>
        <v>1879937</v>
      </c>
      <c r="T59" s="26">
        <f>Population!CF101</f>
        <v>96294</v>
      </c>
      <c r="U59" s="26">
        <f>SUM(Population!G101:K101,Population!N101)</f>
        <v>79051</v>
      </c>
      <c r="V59" s="74">
        <v>2358</v>
      </c>
      <c r="W59" s="18">
        <v>4371</v>
      </c>
      <c r="X59" s="101">
        <f t="shared" si="11"/>
        <v>182074</v>
      </c>
      <c r="Y59" s="71">
        <f t="shared" si="20"/>
        <v>2062011</v>
      </c>
    </row>
    <row r="60" spans="1:25" x14ac:dyDescent="0.25">
      <c r="A60" s="17">
        <v>44805</v>
      </c>
      <c r="B60" s="17"/>
      <c r="C60" s="72">
        <f t="shared" si="17"/>
        <v>159899</v>
      </c>
      <c r="D60" s="18">
        <f>19154+510</f>
        <v>19664</v>
      </c>
      <c r="E60" s="18">
        <v>57838</v>
      </c>
      <c r="F60" s="18">
        <v>1604</v>
      </c>
      <c r="G60" s="78">
        <f>Population!DK102+Population!DL102</f>
        <v>239005</v>
      </c>
      <c r="H60" s="65">
        <f>Population!DM102+Population!DN102</f>
        <v>65234</v>
      </c>
      <c r="I60" s="70">
        <f>Population!DP102</f>
        <v>160422</v>
      </c>
      <c r="J60" s="18">
        <f>Population!DR102</f>
        <v>22604</v>
      </c>
      <c r="K60" s="18">
        <f>Population!DO102+Population!DT102</f>
        <v>664630</v>
      </c>
      <c r="L60" s="18">
        <f>Population!CW102+Population!CX102+Population!BX102+Population!CQ102+Population!CR102</f>
        <v>3844</v>
      </c>
      <c r="M60" s="18">
        <f>Population!DS102</f>
        <v>49427</v>
      </c>
      <c r="N60" s="76">
        <f t="shared" si="8"/>
        <v>900927</v>
      </c>
      <c r="O60" s="69">
        <f>Population!DU102</f>
        <v>161897</v>
      </c>
      <c r="P60" s="18">
        <f>Population!DV102</f>
        <v>506025</v>
      </c>
      <c r="Q60" s="21">
        <f>Population!CU102+Population!CV102+Population!CP102</f>
        <v>17482</v>
      </c>
      <c r="R60" s="74">
        <f t="shared" si="21"/>
        <v>685404</v>
      </c>
      <c r="S60" s="100">
        <f t="shared" si="14"/>
        <v>1890570</v>
      </c>
      <c r="T60" s="20">
        <f>Population!CF102</f>
        <v>97236</v>
      </c>
      <c r="U60" s="20">
        <f>SUM(Population!G102:K102,Population!N102)</f>
        <v>79441</v>
      </c>
      <c r="V60" s="74">
        <v>2474</v>
      </c>
      <c r="W60" s="18">
        <v>4470</v>
      </c>
      <c r="X60" s="101">
        <f t="shared" si="11"/>
        <v>183621</v>
      </c>
      <c r="Y60" s="71">
        <f t="shared" si="20"/>
        <v>2074191</v>
      </c>
    </row>
    <row r="61" spans="1:25" x14ac:dyDescent="0.25">
      <c r="A61" s="17">
        <v>44835</v>
      </c>
      <c r="B61" s="17"/>
      <c r="C61" s="72">
        <f t="shared" si="17"/>
        <v>159474</v>
      </c>
      <c r="D61" s="18">
        <f>19219+538</f>
        <v>19757</v>
      </c>
      <c r="E61" s="18">
        <v>58173</v>
      </c>
      <c r="F61" s="18">
        <v>1610</v>
      </c>
      <c r="G61" s="78">
        <f>Population!DK103+Population!DL103</f>
        <v>239014</v>
      </c>
      <c r="H61" s="65">
        <f>Population!DM103+Population!DN103</f>
        <v>65053</v>
      </c>
      <c r="I61" s="70">
        <f>Population!DP103</f>
        <v>160234</v>
      </c>
      <c r="J61" s="18">
        <f>Population!DR103</f>
        <v>23401</v>
      </c>
      <c r="K61" s="18">
        <f>Population!DO103+Population!DT103</f>
        <v>665596</v>
      </c>
      <c r="L61" s="18">
        <f>Population!CW103+Population!CX103+Population!BX103+Population!CQ103+Population!CR103</f>
        <v>5092</v>
      </c>
      <c r="M61" s="18">
        <f>Population!DS103</f>
        <v>49156</v>
      </c>
      <c r="N61" s="76">
        <f t="shared" si="8"/>
        <v>903479</v>
      </c>
      <c r="O61" s="69">
        <f>Population!DU103</f>
        <v>162305</v>
      </c>
      <c r="P61" s="18">
        <f>Population!DV103</f>
        <v>511078</v>
      </c>
      <c r="Q61" s="21">
        <f>Population!CU103+Population!CV103+Population!CP103</f>
        <v>18312</v>
      </c>
      <c r="R61" s="74">
        <f t="shared" si="21"/>
        <v>691695</v>
      </c>
      <c r="S61" s="100">
        <f t="shared" si="14"/>
        <v>1899241</v>
      </c>
      <c r="T61" s="20">
        <f>Population!CF103</f>
        <v>98069</v>
      </c>
      <c r="U61" s="20">
        <f>SUM(Population!G103:K103,Population!N103)</f>
        <v>80000</v>
      </c>
      <c r="V61" s="74">
        <v>2569</v>
      </c>
      <c r="W61" s="18">
        <v>4650</v>
      </c>
      <c r="X61" s="101">
        <f t="shared" si="11"/>
        <v>185288</v>
      </c>
      <c r="Y61" s="71">
        <f t="shared" si="20"/>
        <v>2084529</v>
      </c>
    </row>
    <row r="62" spans="1:25" x14ac:dyDescent="0.25">
      <c r="A62" s="17">
        <v>44866</v>
      </c>
      <c r="B62" s="17"/>
      <c r="C62" s="72">
        <f t="shared" si="17"/>
        <v>159328</v>
      </c>
      <c r="D62" s="18">
        <f>19298+533</f>
        <v>19831</v>
      </c>
      <c r="E62" s="18">
        <v>58461</v>
      </c>
      <c r="F62" s="18">
        <v>1626</v>
      </c>
      <c r="G62" s="78">
        <f>Population!DK104+Population!DL104</f>
        <v>239246</v>
      </c>
      <c r="H62" s="65">
        <f>Population!DM104+Population!DN104</f>
        <v>64930</v>
      </c>
      <c r="I62" s="70">
        <f>Population!DP104</f>
        <v>160465</v>
      </c>
      <c r="J62" s="18">
        <f>Population!DR104</f>
        <v>24231</v>
      </c>
      <c r="K62" s="18">
        <f>Population!DO104+Population!DT104</f>
        <v>668086</v>
      </c>
      <c r="L62" s="18">
        <f>Population!CW104+Population!CX104+Population!BX104+Population!CQ104+Population!CR104</f>
        <v>6269</v>
      </c>
      <c r="M62" s="18">
        <f>Population!DS104</f>
        <v>49227</v>
      </c>
      <c r="N62" s="76">
        <f t="shared" si="8"/>
        <v>908278</v>
      </c>
      <c r="O62" s="69">
        <f>Population!DU104</f>
        <v>162923</v>
      </c>
      <c r="P62" s="18">
        <f>Population!DV104</f>
        <v>516955</v>
      </c>
      <c r="Q62" s="21">
        <f>Population!CU104+Population!CV104+Population!CP104</f>
        <v>19379</v>
      </c>
      <c r="R62" s="74">
        <f t="shared" si="21"/>
        <v>699257</v>
      </c>
      <c r="S62" s="100">
        <f t="shared" si="14"/>
        <v>1911711</v>
      </c>
      <c r="T62" s="20">
        <f>Population!CF104</f>
        <v>99009</v>
      </c>
      <c r="U62" s="20">
        <f>SUM(Population!G104:K104,Population!N104)</f>
        <v>80580</v>
      </c>
      <c r="V62" s="74">
        <v>2677</v>
      </c>
      <c r="W62" s="18">
        <v>4560</v>
      </c>
      <c r="X62" s="101">
        <f t="shared" si="11"/>
        <v>186826</v>
      </c>
      <c r="Y62" s="71">
        <f t="shared" si="20"/>
        <v>2098537</v>
      </c>
    </row>
    <row r="63" spans="1:25" x14ac:dyDescent="0.25">
      <c r="A63" s="17">
        <v>44896</v>
      </c>
      <c r="B63" s="17"/>
      <c r="C63" s="72">
        <f t="shared" si="17"/>
        <v>159334</v>
      </c>
      <c r="D63" s="18">
        <f>19383+534</f>
        <v>19917</v>
      </c>
      <c r="E63" s="18">
        <v>58835</v>
      </c>
      <c r="F63" s="18">
        <v>1675</v>
      </c>
      <c r="G63" s="78">
        <f>Population!DK105+Population!DL105</f>
        <v>239761</v>
      </c>
      <c r="H63" s="65">
        <f>Population!DM105+Population!DN105</f>
        <v>64865</v>
      </c>
      <c r="I63" s="70">
        <f>Population!DP105</f>
        <v>160834</v>
      </c>
      <c r="J63" s="18">
        <f>Population!DR105</f>
        <v>25149</v>
      </c>
      <c r="K63" s="18">
        <f>Population!DO105+Population!DT105</f>
        <v>670599</v>
      </c>
      <c r="L63" s="18">
        <f>Population!CW105+Population!CX105+Population!BX105+Population!CQ105+Population!CR105</f>
        <v>7214</v>
      </c>
      <c r="M63" s="18">
        <f>Population!DS105</f>
        <v>49561</v>
      </c>
      <c r="N63" s="76">
        <f t="shared" si="8"/>
        <v>913357</v>
      </c>
      <c r="O63" s="69">
        <f>Population!DU105</f>
        <v>164045</v>
      </c>
      <c r="P63" s="18">
        <f>Population!DV105</f>
        <v>525797</v>
      </c>
      <c r="Q63" s="21">
        <f>Population!CU105+Population!CV105+Population!CP105</f>
        <v>20458</v>
      </c>
      <c r="R63" s="74">
        <f t="shared" si="21"/>
        <v>710300</v>
      </c>
      <c r="S63" s="100">
        <f t="shared" si="14"/>
        <v>1928283</v>
      </c>
      <c r="T63" s="20">
        <f>Population!CF105</f>
        <v>100602</v>
      </c>
      <c r="U63" s="20">
        <f>SUM(Population!G105:K105,Population!N105)</f>
        <v>81227</v>
      </c>
      <c r="V63" s="74">
        <v>2805</v>
      </c>
      <c r="W63" s="18">
        <v>4509</v>
      </c>
      <c r="X63" s="101">
        <f t="shared" si="11"/>
        <v>189143</v>
      </c>
      <c r="Y63" s="71">
        <f t="shared" si="20"/>
        <v>2117426</v>
      </c>
    </row>
    <row r="64" spans="1:25" x14ac:dyDescent="0.25">
      <c r="A64" s="17">
        <v>44927</v>
      </c>
      <c r="B64" s="17"/>
      <c r="C64" s="72">
        <f t="shared" si="17"/>
        <v>159648</v>
      </c>
      <c r="D64" s="18">
        <f>19271+533</f>
        <v>19804</v>
      </c>
      <c r="E64" s="18">
        <v>58979</v>
      </c>
      <c r="F64" s="18">
        <v>1661</v>
      </c>
      <c r="G64" s="78">
        <f>Population!DK106+Population!DL106</f>
        <v>240092</v>
      </c>
      <c r="H64" s="65">
        <f>Population!DM106+Population!DN106</f>
        <v>64855</v>
      </c>
      <c r="I64" s="70">
        <f>Population!DP106</f>
        <v>161475</v>
      </c>
      <c r="J64" s="18">
        <f>Population!DR106</f>
        <v>25937</v>
      </c>
      <c r="K64" s="18">
        <f>Population!DO106+Population!DT106</f>
        <v>673760</v>
      </c>
      <c r="L64" s="18">
        <f>Population!CW106+Population!CX106+Population!BX106+Population!CQ106+Population!CR106</f>
        <v>8373</v>
      </c>
      <c r="M64" s="18">
        <f>Population!DS106</f>
        <v>49994</v>
      </c>
      <c r="N64" s="76">
        <f t="shared" si="8"/>
        <v>919539</v>
      </c>
      <c r="O64" s="69">
        <f>Population!DU106</f>
        <v>165405</v>
      </c>
      <c r="P64" s="18">
        <f>Population!DV106</f>
        <v>536042</v>
      </c>
      <c r="Q64" s="21">
        <f>Population!CU106+Population!CV106+Population!CP106</f>
        <v>21586</v>
      </c>
      <c r="R64" s="74">
        <f t="shared" si="21"/>
        <v>723033</v>
      </c>
      <c r="S64" s="100">
        <f t="shared" si="14"/>
        <v>1947519</v>
      </c>
      <c r="T64" s="20">
        <f>Population!CF106</f>
        <v>102578</v>
      </c>
      <c r="U64" s="20">
        <f>SUM(Population!G106:K106,Population!N106)</f>
        <v>81595</v>
      </c>
      <c r="V64" s="74">
        <v>2917</v>
      </c>
      <c r="W64" s="18">
        <v>4543</v>
      </c>
      <c r="X64" s="101">
        <f t="shared" si="11"/>
        <v>191633</v>
      </c>
      <c r="Y64" s="71">
        <f t="shared" si="20"/>
        <v>2139152</v>
      </c>
    </row>
    <row r="65" spans="1:25" x14ac:dyDescent="0.25">
      <c r="A65" s="17">
        <v>44958</v>
      </c>
      <c r="B65" s="17"/>
      <c r="C65" s="72">
        <f t="shared" si="17"/>
        <v>159439</v>
      </c>
      <c r="D65" s="18">
        <f>19346+530</f>
        <v>19876</v>
      </c>
      <c r="E65" s="18">
        <v>59228</v>
      </c>
      <c r="F65" s="18">
        <v>1672</v>
      </c>
      <c r="G65" s="78">
        <f>Population!DK107+Population!DL107</f>
        <v>240215</v>
      </c>
      <c r="H65" s="65">
        <f>Population!DM107+Population!DN107</f>
        <v>64690</v>
      </c>
      <c r="I65" s="70">
        <f>Population!DP107</f>
        <v>162323</v>
      </c>
      <c r="J65" s="18">
        <f>Population!DR107</f>
        <v>26806</v>
      </c>
      <c r="K65" s="18">
        <f>Population!DO107+Population!DT107</f>
        <v>677759</v>
      </c>
      <c r="L65" s="18">
        <f>Population!CW107+Population!CX107+Population!BX107+Population!CQ107+Population!CR107</f>
        <v>9436</v>
      </c>
      <c r="M65" s="18">
        <f>Population!DS107</f>
        <v>50352</v>
      </c>
      <c r="N65" s="76">
        <f t="shared" si="8"/>
        <v>926676</v>
      </c>
      <c r="O65" s="69">
        <f>Population!DU107</f>
        <v>166389</v>
      </c>
      <c r="P65" s="18">
        <f>Population!DV107</f>
        <v>543249</v>
      </c>
      <c r="Q65" s="21">
        <f>Population!CU107+Population!CV107+Population!CP107</f>
        <v>22772</v>
      </c>
      <c r="R65" s="74">
        <f t="shared" si="21"/>
        <v>732410</v>
      </c>
      <c r="S65" s="100">
        <f t="shared" si="14"/>
        <v>1963991</v>
      </c>
      <c r="T65" s="20">
        <f>Population!CF107</f>
        <v>103611</v>
      </c>
      <c r="U65" s="20">
        <f>SUM(Population!G107:K107,Population!N107)</f>
        <v>82372</v>
      </c>
      <c r="V65" s="74">
        <v>3085</v>
      </c>
      <c r="W65" s="18">
        <v>4674</v>
      </c>
      <c r="X65" s="101">
        <f t="shared" si="11"/>
        <v>193742</v>
      </c>
      <c r="Y65" s="71">
        <f t="shared" si="20"/>
        <v>2157733</v>
      </c>
    </row>
    <row r="66" spans="1:25" x14ac:dyDescent="0.25">
      <c r="A66" s="17">
        <v>44986</v>
      </c>
      <c r="B66" s="17"/>
      <c r="C66" s="72">
        <f t="shared" si="17"/>
        <v>160016</v>
      </c>
      <c r="D66" s="18">
        <f>19339+524</f>
        <v>19863</v>
      </c>
      <c r="E66" s="18">
        <v>59272</v>
      </c>
      <c r="F66" s="18">
        <v>1667</v>
      </c>
      <c r="G66" s="78">
        <f>Population!DK108+Population!DL108</f>
        <v>240818</v>
      </c>
      <c r="H66" s="65">
        <f>Population!DM108+Population!DN108</f>
        <v>64641</v>
      </c>
      <c r="I66" s="70">
        <f>Population!DP108</f>
        <v>162351</v>
      </c>
      <c r="J66" s="18">
        <f>Population!DR108</f>
        <v>27622</v>
      </c>
      <c r="K66" s="18">
        <f>Population!DO108+Population!DT108</f>
        <v>680124</v>
      </c>
      <c r="L66" s="18">
        <f>Population!CW108+Population!CX108+Population!BX108+Population!CQ108+Population!CR108</f>
        <v>10773</v>
      </c>
      <c r="M66" s="18">
        <f>Population!DS108</f>
        <v>50573</v>
      </c>
      <c r="N66" s="76">
        <f t="shared" si="8"/>
        <v>931443</v>
      </c>
      <c r="O66" s="69">
        <f>Population!DU108</f>
        <v>167160</v>
      </c>
      <c r="P66" s="18">
        <f>Population!DV108</f>
        <v>547400</v>
      </c>
      <c r="Q66" s="21">
        <f>Population!CU108+Population!CV108+Population!CP108</f>
        <v>23659</v>
      </c>
      <c r="R66" s="74">
        <f t="shared" si="21"/>
        <v>738219</v>
      </c>
      <c r="S66" s="100">
        <f t="shared" si="14"/>
        <v>1975121</v>
      </c>
      <c r="T66" s="20">
        <f>Population!CF108</f>
        <v>104316</v>
      </c>
      <c r="U66" s="20">
        <f>SUM(Population!G108:K108,Population!N108)</f>
        <v>82750</v>
      </c>
      <c r="V66" s="74">
        <v>3126</v>
      </c>
      <c r="W66" s="18">
        <v>4590</v>
      </c>
      <c r="X66" s="101">
        <f t="shared" si="11"/>
        <v>194782</v>
      </c>
      <c r="Y66" s="71">
        <f t="shared" si="20"/>
        <v>2169903</v>
      </c>
    </row>
    <row r="67" spans="1:25" x14ac:dyDescent="0.25">
      <c r="A67" s="17">
        <v>45017</v>
      </c>
      <c r="B67" s="17"/>
      <c r="C67" s="72">
        <f t="shared" si="17"/>
        <v>159363</v>
      </c>
      <c r="D67" s="18">
        <f>19698+518</f>
        <v>20216</v>
      </c>
      <c r="E67" s="18">
        <v>60043</v>
      </c>
      <c r="F67" s="18">
        <v>1713</v>
      </c>
      <c r="G67" s="78">
        <f>Population!DK109+Population!DL109</f>
        <v>241335</v>
      </c>
      <c r="H67" s="65">
        <f>Population!DM109+Population!DN109</f>
        <v>64676</v>
      </c>
      <c r="I67" s="70">
        <f>Population!DP109</f>
        <v>162738</v>
      </c>
      <c r="J67" s="18">
        <f>Population!DR109</f>
        <v>28214</v>
      </c>
      <c r="K67" s="18">
        <f>Population!DO109+Population!DT109</f>
        <v>683589</v>
      </c>
      <c r="L67" s="18">
        <f>Population!CW109+Population!CX109+Population!BX109+Population!CQ109+Population!CR109</f>
        <v>11921</v>
      </c>
      <c r="M67" s="18">
        <f>Population!DS109</f>
        <v>50612</v>
      </c>
      <c r="N67" s="76">
        <f t="shared" si="8"/>
        <v>937074</v>
      </c>
      <c r="O67" s="69">
        <f>Population!DU109</f>
        <v>168379</v>
      </c>
      <c r="P67" s="18">
        <f>Population!DV109</f>
        <v>552779</v>
      </c>
      <c r="Q67" s="21">
        <f>Population!CU109+Population!CV109+Population!CP109</f>
        <v>24757</v>
      </c>
      <c r="R67" s="74">
        <f t="shared" si="21"/>
        <v>745915</v>
      </c>
      <c r="S67" s="100">
        <f t="shared" si="14"/>
        <v>1989000</v>
      </c>
      <c r="T67" s="20">
        <f>Population!CF109</f>
        <v>105034</v>
      </c>
      <c r="U67" s="20">
        <f>SUM(Population!G109:K109,Population!N109)</f>
        <v>83384</v>
      </c>
      <c r="V67" s="74">
        <v>3202</v>
      </c>
      <c r="W67" s="18">
        <v>4688</v>
      </c>
      <c r="X67" s="101">
        <f t="shared" si="11"/>
        <v>196308</v>
      </c>
      <c r="Y67" s="71">
        <f t="shared" si="20"/>
        <v>2185308</v>
      </c>
    </row>
    <row r="68" spans="1:25" x14ac:dyDescent="0.25">
      <c r="A68" s="17">
        <v>45047</v>
      </c>
      <c r="B68" s="17"/>
      <c r="C68" s="72">
        <f t="shared" si="17"/>
        <v>157890</v>
      </c>
      <c r="D68" s="52">
        <f>19481+518</f>
        <v>19999</v>
      </c>
      <c r="E68" s="18">
        <v>60301</v>
      </c>
      <c r="F68" s="18">
        <v>1716</v>
      </c>
      <c r="G68" s="78">
        <f>Population!DK110+Population!DL110</f>
        <v>239906</v>
      </c>
      <c r="H68" s="65">
        <f>Population!DM110+Population!DN110</f>
        <v>64446</v>
      </c>
      <c r="I68" s="70">
        <f>Population!DP110</f>
        <v>160748</v>
      </c>
      <c r="J68" s="18">
        <f>Population!DR110</f>
        <v>29044</v>
      </c>
      <c r="K68" s="18">
        <f>Population!DO110+Population!DT110</f>
        <v>682708</v>
      </c>
      <c r="L68" s="18">
        <f>Population!CW110+Population!CX110+Population!BX110+Population!CQ110+Population!CR110</f>
        <v>12766</v>
      </c>
      <c r="M68" s="18">
        <f>Population!DS110</f>
        <v>51153</v>
      </c>
      <c r="N68" s="76">
        <f t="shared" si="8"/>
        <v>936419</v>
      </c>
      <c r="O68" s="69">
        <f>Population!DU110</f>
        <v>169049</v>
      </c>
      <c r="P68" s="18">
        <f>Population!DV110</f>
        <v>556573</v>
      </c>
      <c r="Q68" s="21">
        <f>Population!CU110+Population!CV110+Population!CP110</f>
        <v>25608</v>
      </c>
      <c r="R68" s="74">
        <f t="shared" si="21"/>
        <v>751230</v>
      </c>
      <c r="S68" s="100">
        <f t="shared" si="14"/>
        <v>1992001</v>
      </c>
      <c r="T68" s="20">
        <f>Population!CF110</f>
        <v>105539</v>
      </c>
      <c r="U68" s="20">
        <f>SUM(Population!G110:K110,Population!N110)</f>
        <v>83090</v>
      </c>
      <c r="V68" s="74">
        <v>3212</v>
      </c>
      <c r="W68" s="18">
        <v>4732</v>
      </c>
      <c r="X68" s="101">
        <f t="shared" si="11"/>
        <v>196573</v>
      </c>
      <c r="Y68" s="71">
        <f t="shared" si="20"/>
        <v>2188574</v>
      </c>
    </row>
    <row r="69" spans="1:25" x14ac:dyDescent="0.25">
      <c r="A69" s="17">
        <v>45078</v>
      </c>
      <c r="B69" s="17"/>
      <c r="C69" s="72">
        <f t="shared" si="17"/>
        <v>157099</v>
      </c>
      <c r="D69" s="18">
        <f>19600+498</f>
        <v>20098</v>
      </c>
      <c r="E69" s="18">
        <v>60627</v>
      </c>
      <c r="F69" s="18">
        <v>1738</v>
      </c>
      <c r="G69" s="78">
        <f>Population!DK111+Population!DL111</f>
        <v>239562</v>
      </c>
      <c r="H69" s="65">
        <f>Population!DM111+Population!DN111</f>
        <v>64467</v>
      </c>
      <c r="I69" s="70">
        <f>Population!DP111</f>
        <v>158656</v>
      </c>
      <c r="J69" s="18">
        <f>Population!DR111</f>
        <v>29358</v>
      </c>
      <c r="K69" s="18">
        <f>Population!DO111+Population!DT111</f>
        <v>676220</v>
      </c>
      <c r="L69" s="18">
        <f>Population!CW111+Population!CX111+Population!BX111+Population!CQ111+Population!CR111</f>
        <v>13572</v>
      </c>
      <c r="M69" s="18">
        <f>Population!DS111</f>
        <v>52385</v>
      </c>
      <c r="N69" s="76">
        <f t="shared" si="8"/>
        <v>930191</v>
      </c>
      <c r="O69" s="69">
        <f>Population!DU111</f>
        <v>166717</v>
      </c>
      <c r="P69" s="18">
        <f>Population!DV111</f>
        <v>551669</v>
      </c>
      <c r="Q69" s="21">
        <f>Population!CU111+Population!CV111+Population!CP111</f>
        <v>26534</v>
      </c>
      <c r="R69" s="74">
        <f t="shared" si="21"/>
        <v>744920</v>
      </c>
      <c r="S69" s="100">
        <f t="shared" si="14"/>
        <v>1979140</v>
      </c>
      <c r="T69" s="20">
        <f>Population!CF111</f>
        <v>104483</v>
      </c>
      <c r="U69" s="20">
        <f>SUM(Population!G111:K111,Population!N111)</f>
        <v>83532</v>
      </c>
      <c r="V69" s="74">
        <v>3201</v>
      </c>
      <c r="W69" s="18">
        <v>4748</v>
      </c>
      <c r="X69" s="101">
        <f t="shared" si="11"/>
        <v>195964</v>
      </c>
      <c r="Y69" s="71">
        <f t="shared" si="20"/>
        <v>2175104</v>
      </c>
    </row>
    <row r="70" spans="1:25" x14ac:dyDescent="0.25">
      <c r="A70" s="17"/>
      <c r="B70" s="17"/>
      <c r="C70" s="72"/>
      <c r="D70" s="18"/>
      <c r="E70" s="18"/>
      <c r="F70" s="18"/>
      <c r="G70" s="78"/>
      <c r="H70" s="65"/>
      <c r="I70" s="70"/>
      <c r="J70" s="18"/>
      <c r="K70" s="18"/>
      <c r="L70" s="18"/>
      <c r="M70" s="18"/>
      <c r="N70" s="76"/>
      <c r="O70" s="69"/>
      <c r="P70" s="18"/>
      <c r="Q70" s="21"/>
      <c r="R70" s="75"/>
      <c r="S70" s="100"/>
      <c r="T70" s="20"/>
      <c r="U70" s="20"/>
      <c r="V70" s="74"/>
      <c r="W70" s="18"/>
      <c r="X70" s="101"/>
      <c r="Y70" s="71"/>
    </row>
    <row r="71" spans="1:25" x14ac:dyDescent="0.25">
      <c r="A71" s="17">
        <v>45108</v>
      </c>
      <c r="B71" s="17"/>
      <c r="C71" s="72">
        <f t="shared" si="17"/>
        <v>154501</v>
      </c>
      <c r="D71" s="18">
        <f>19612+481</f>
        <v>20093</v>
      </c>
      <c r="E71" s="18">
        <v>60454</v>
      </c>
      <c r="F71" s="18">
        <v>1740</v>
      </c>
      <c r="G71" s="78">
        <f>Population!DK112+Population!DL112</f>
        <v>236788</v>
      </c>
      <c r="H71" s="65">
        <f>Population!DM112+Population!DN112</f>
        <v>62802</v>
      </c>
      <c r="I71" s="70">
        <f>Population!DP112</f>
        <v>156821</v>
      </c>
      <c r="J71" s="18">
        <f>Population!DR112</f>
        <v>29207</v>
      </c>
      <c r="K71" s="18">
        <f>Population!DO112+Population!DT112</f>
        <v>666811</v>
      </c>
      <c r="L71" s="18">
        <f>Population!CW112+Population!CX112+Population!BX112+Population!CQ112+Population!CR112</f>
        <v>14198</v>
      </c>
      <c r="M71" s="18">
        <f>Population!DS112</f>
        <v>52072</v>
      </c>
      <c r="N71" s="76">
        <f t="shared" si="8"/>
        <v>919109</v>
      </c>
      <c r="O71" s="70">
        <f>Population!DU112</f>
        <v>163676</v>
      </c>
      <c r="P71" s="18">
        <f>Population!DV112</f>
        <v>546611</v>
      </c>
      <c r="Q71" s="21">
        <f>Population!CU112+Population!CV112+Population!CP112</f>
        <v>27371</v>
      </c>
      <c r="R71" s="75">
        <f t="shared" ref="R71:R76" si="22">SUM(O71:Q71)</f>
        <v>737658</v>
      </c>
      <c r="S71" s="100">
        <f t="shared" si="14"/>
        <v>1956357</v>
      </c>
      <c r="T71" s="20">
        <f>Population!CF112</f>
        <v>102046</v>
      </c>
      <c r="U71" s="20">
        <f>SUM(Population!G112:K112,Population!N112)</f>
        <v>83330</v>
      </c>
      <c r="V71" s="74">
        <v>3222</v>
      </c>
      <c r="W71" s="18">
        <v>4770</v>
      </c>
      <c r="X71" s="101">
        <f t="shared" si="11"/>
        <v>193368</v>
      </c>
      <c r="Y71" s="71">
        <f t="shared" ref="Y71:Y76" si="23">S71+X71</f>
        <v>2149725</v>
      </c>
    </row>
    <row r="72" spans="1:25" x14ac:dyDescent="0.25">
      <c r="A72" s="17">
        <v>45139</v>
      </c>
      <c r="B72" s="17"/>
      <c r="C72" s="72">
        <f t="shared" si="17"/>
        <v>152421</v>
      </c>
      <c r="D72" s="18">
        <f>19802+513</f>
        <v>20315</v>
      </c>
      <c r="E72" s="18">
        <v>59525</v>
      </c>
      <c r="F72" s="18">
        <v>1713</v>
      </c>
      <c r="G72" s="78">
        <f>Population!DK113+Population!DL113</f>
        <v>233974</v>
      </c>
      <c r="H72" s="65">
        <f>Population!DM113+Population!DN113</f>
        <v>61180</v>
      </c>
      <c r="I72" s="70">
        <f>Population!DP113</f>
        <v>155285</v>
      </c>
      <c r="J72" s="18">
        <f>Population!DR113</f>
        <v>28984</v>
      </c>
      <c r="K72" s="18">
        <f>Population!DO113+Population!DT113</f>
        <v>657294</v>
      </c>
      <c r="L72" s="18">
        <f>Population!CW113+Population!CX113+Population!BX113+Population!CQ113+Population!CR113</f>
        <v>14774</v>
      </c>
      <c r="M72" s="18">
        <f>Population!DS113</f>
        <v>51892</v>
      </c>
      <c r="N72" s="77">
        <f t="shared" ref="N72:N76" si="24">SUM(I72:M72)</f>
        <v>908229</v>
      </c>
      <c r="O72" s="69">
        <f>Population!DU113</f>
        <v>160164</v>
      </c>
      <c r="P72" s="18">
        <f>Population!DV113</f>
        <v>541379</v>
      </c>
      <c r="Q72" s="21">
        <f>Population!CU113+Population!CV113+Population!CP113</f>
        <v>28224</v>
      </c>
      <c r="R72" s="75">
        <f t="shared" si="22"/>
        <v>729767</v>
      </c>
      <c r="S72" s="100">
        <f t="shared" si="14"/>
        <v>1933150</v>
      </c>
      <c r="T72" s="20">
        <f>Population!CF113</f>
        <v>99674</v>
      </c>
      <c r="U72" s="20">
        <f>SUM(Population!G113:K113,Population!N113)</f>
        <v>83045</v>
      </c>
      <c r="V72" s="74">
        <v>3220</v>
      </c>
      <c r="W72" s="18">
        <v>4721</v>
      </c>
      <c r="X72" s="101">
        <f t="shared" si="11"/>
        <v>190660</v>
      </c>
      <c r="Y72" s="71">
        <f t="shared" si="23"/>
        <v>2123810</v>
      </c>
    </row>
    <row r="73" spans="1:25" x14ac:dyDescent="0.25">
      <c r="A73" s="17">
        <v>45170</v>
      </c>
      <c r="B73" s="17"/>
      <c r="C73" s="72">
        <f>G73-D73-E73-F73</f>
        <v>150217</v>
      </c>
      <c r="D73" s="18">
        <f>19855+497</f>
        <v>20352</v>
      </c>
      <c r="E73" s="18">
        <v>59968</v>
      </c>
      <c r="F73" s="18">
        <v>1720</v>
      </c>
      <c r="G73" s="78">
        <f>Population!DK114+Population!DL114</f>
        <v>232257</v>
      </c>
      <c r="H73" s="65">
        <f>Population!DM114+Population!DN114</f>
        <v>61586</v>
      </c>
      <c r="I73" s="70">
        <f>Population!DP114</f>
        <v>153226</v>
      </c>
      <c r="J73" s="18">
        <f>Population!DR114</f>
        <v>28890</v>
      </c>
      <c r="K73" s="18">
        <f>Population!DO114+Population!DT114</f>
        <v>645387</v>
      </c>
      <c r="L73" s="18">
        <f>Population!CW114+Population!CX114+Population!BX114+Population!CQ114+Population!CR114</f>
        <v>15602</v>
      </c>
      <c r="M73" s="18">
        <f>Population!DS114</f>
        <v>52079</v>
      </c>
      <c r="N73" s="77">
        <f t="shared" si="24"/>
        <v>895184</v>
      </c>
      <c r="O73" s="69">
        <f>Population!DU114</f>
        <v>155956</v>
      </c>
      <c r="P73" s="18">
        <f>Population!DV114</f>
        <v>535543</v>
      </c>
      <c r="Q73" s="21">
        <f>Population!CU114+Population!CV114+Population!CP114</f>
        <v>28900</v>
      </c>
      <c r="R73" s="75">
        <f t="shared" si="22"/>
        <v>720399</v>
      </c>
      <c r="S73" s="100">
        <f t="shared" si="14"/>
        <v>1909426</v>
      </c>
      <c r="T73" s="20">
        <f>Population!CF114</f>
        <v>97114</v>
      </c>
      <c r="U73" s="20">
        <f>SUM(Population!G114:K114,Population!N114)</f>
        <v>83250</v>
      </c>
      <c r="V73" s="74">
        <v>3380</v>
      </c>
      <c r="W73" s="18">
        <v>4603</v>
      </c>
      <c r="X73" s="101">
        <f t="shared" si="11"/>
        <v>188347</v>
      </c>
      <c r="Y73" s="71">
        <f t="shared" si="23"/>
        <v>2097773</v>
      </c>
    </row>
    <row r="74" spans="1:25" x14ac:dyDescent="0.25">
      <c r="A74" s="17">
        <v>45200</v>
      </c>
      <c r="B74" s="17"/>
      <c r="C74" s="72">
        <f>G74-D74-E74-F74</f>
        <v>151205</v>
      </c>
      <c r="D74" s="18">
        <f>19204+506</f>
        <v>19710</v>
      </c>
      <c r="E74" s="18">
        <v>59894</v>
      </c>
      <c r="F74" s="18">
        <v>1784</v>
      </c>
      <c r="G74" s="78">
        <f>Population!DK115+Population!DL115</f>
        <v>232593</v>
      </c>
      <c r="H74" s="65">
        <f>Population!DM115+Population!DN115</f>
        <v>62546</v>
      </c>
      <c r="I74" s="70">
        <f>Population!DP115</f>
        <v>155391</v>
      </c>
      <c r="J74" s="18">
        <f>Population!DR115</f>
        <v>29925</v>
      </c>
      <c r="K74" s="18">
        <f>Population!DO115+Population!DT115</f>
        <v>656062</v>
      </c>
      <c r="L74" s="18">
        <f>Population!CW115+Population!CX115+Population!BX115+Population!CQ115+Population!CR115</f>
        <v>16520</v>
      </c>
      <c r="M74" s="18">
        <f>Population!DS115</f>
        <v>53292</v>
      </c>
      <c r="N74" s="77">
        <f t="shared" si="24"/>
        <v>911190</v>
      </c>
      <c r="O74" s="69">
        <f>Population!DU115</f>
        <v>158627</v>
      </c>
      <c r="P74" s="18">
        <f>Population!DV115</f>
        <v>548506</v>
      </c>
      <c r="Q74" s="21">
        <f>Population!CU115+Population!CV115+Population!CP115</f>
        <v>29834</v>
      </c>
      <c r="R74" s="75">
        <f t="shared" si="22"/>
        <v>736967</v>
      </c>
      <c r="S74" s="100">
        <f t="shared" si="14"/>
        <v>1943296</v>
      </c>
      <c r="T74" s="20">
        <f>Population!CF115</f>
        <v>100486</v>
      </c>
      <c r="U74" s="20">
        <f>SUM(Population!G115:K115,Population!N115)</f>
        <v>88456</v>
      </c>
      <c r="V74" s="74">
        <v>3366</v>
      </c>
      <c r="W74" s="18">
        <v>4657</v>
      </c>
      <c r="X74" s="101">
        <f t="shared" si="11"/>
        <v>196965</v>
      </c>
      <c r="Y74" s="71">
        <f t="shared" si="23"/>
        <v>2140261</v>
      </c>
    </row>
    <row r="75" spans="1:25" x14ac:dyDescent="0.25">
      <c r="A75" s="17">
        <v>45231</v>
      </c>
      <c r="B75" s="17"/>
      <c r="C75" s="72">
        <f>G75-D75-E75-F75</f>
        <v>150958</v>
      </c>
      <c r="D75" s="18">
        <f>19383+512</f>
        <v>19895</v>
      </c>
      <c r="E75" s="18">
        <v>60315</v>
      </c>
      <c r="F75" s="18">
        <v>1789</v>
      </c>
      <c r="G75" s="78">
        <f>Population!DK116+Population!DL116</f>
        <v>232957</v>
      </c>
      <c r="H75" s="65">
        <f>Population!DM116+Population!DN116</f>
        <v>63389</v>
      </c>
      <c r="I75" s="70">
        <f>Population!DP116</f>
        <v>152777</v>
      </c>
      <c r="J75" s="18">
        <f>Population!DR116</f>
        <v>30091</v>
      </c>
      <c r="K75" s="18">
        <f>Population!DO116+Population!DT116</f>
        <v>643647</v>
      </c>
      <c r="L75" s="18">
        <f>Population!CW116+Population!CX116+Population!BX116+Population!CQ116+Population!CR116</f>
        <v>17308</v>
      </c>
      <c r="M75" s="18">
        <f>Population!DS116</f>
        <v>54147</v>
      </c>
      <c r="N75" s="77">
        <f t="shared" si="24"/>
        <v>897970</v>
      </c>
      <c r="O75" s="69">
        <f>Population!DU116</f>
        <v>153444</v>
      </c>
      <c r="P75" s="18">
        <f>Population!DV116</f>
        <v>537858</v>
      </c>
      <c r="Q75" s="21">
        <f>Population!CU116+Population!CV116+Population!CP116</f>
        <v>30778</v>
      </c>
      <c r="R75" s="75">
        <f t="shared" si="22"/>
        <v>722080</v>
      </c>
      <c r="S75" s="100">
        <f t="shared" si="14"/>
        <v>1916396</v>
      </c>
      <c r="T75" s="20">
        <f>Population!CF116</f>
        <v>97861</v>
      </c>
      <c r="U75" s="20">
        <f>SUM(Population!G116:K116,Population!N116)</f>
        <v>89663</v>
      </c>
      <c r="V75" s="74">
        <v>3499</v>
      </c>
      <c r="W75" s="18">
        <v>4591</v>
      </c>
      <c r="X75" s="101">
        <f t="shared" si="11"/>
        <v>195614</v>
      </c>
      <c r="Y75" s="71">
        <f t="shared" si="23"/>
        <v>2112010</v>
      </c>
    </row>
    <row r="76" spans="1:25" x14ac:dyDescent="0.25">
      <c r="A76" s="17">
        <v>45261</v>
      </c>
      <c r="B76" s="17"/>
      <c r="C76" s="72">
        <f t="shared" ref="C76:C82" si="25">G76-D76-E76-F76</f>
        <v>149952</v>
      </c>
      <c r="D76" s="18">
        <f>19211+492</f>
        <v>19703</v>
      </c>
      <c r="E76" s="18">
        <v>60446</v>
      </c>
      <c r="F76" s="18">
        <v>1845</v>
      </c>
      <c r="G76" s="78">
        <f>Population!DK117+Population!DL117</f>
        <v>231946</v>
      </c>
      <c r="H76" s="65">
        <f>Population!DM117+Population!DN117</f>
        <v>63852</v>
      </c>
      <c r="I76" s="70">
        <f>Population!DP117</f>
        <v>151910</v>
      </c>
      <c r="J76" s="18">
        <f>Population!DR117</f>
        <v>30206</v>
      </c>
      <c r="K76" s="18">
        <f>Population!DO117+Population!DT117</f>
        <v>637441</v>
      </c>
      <c r="L76" s="18">
        <f>Population!CW117+Population!CX117+Population!BX117+Population!CQ117+Population!CR117</f>
        <v>18187</v>
      </c>
      <c r="M76" s="18">
        <f>Population!DS117</f>
        <v>54999</v>
      </c>
      <c r="N76" s="77">
        <f t="shared" si="24"/>
        <v>892743</v>
      </c>
      <c r="O76" s="69">
        <f>Population!DU117</f>
        <v>151507</v>
      </c>
      <c r="P76" s="18">
        <f>Population!DV117</f>
        <v>536202</v>
      </c>
      <c r="Q76" s="21">
        <f>Population!CU117+Population!CV117+Population!CP117</f>
        <v>31694</v>
      </c>
      <c r="R76" s="75">
        <f t="shared" si="22"/>
        <v>719403</v>
      </c>
      <c r="S76" s="100">
        <f t="shared" si="14"/>
        <v>1907944</v>
      </c>
      <c r="T76" s="20">
        <f>Population!CF117</f>
        <v>97085</v>
      </c>
      <c r="U76" s="20">
        <f>SUM(Population!G117:K117,Population!N117)</f>
        <v>92938</v>
      </c>
      <c r="V76" s="74">
        <v>3520</v>
      </c>
      <c r="W76" s="18">
        <v>4481</v>
      </c>
      <c r="X76" s="101">
        <f t="shared" si="11"/>
        <v>198024</v>
      </c>
      <c r="Y76" s="71">
        <f t="shared" si="23"/>
        <v>2105968</v>
      </c>
    </row>
    <row r="77" spans="1:25" x14ac:dyDescent="0.25">
      <c r="A77" s="17">
        <v>45292</v>
      </c>
      <c r="B77" s="17"/>
      <c r="C77" s="72">
        <f t="shared" si="25"/>
        <v>149818</v>
      </c>
      <c r="D77" s="18">
        <f>19078+507</f>
        <v>19585</v>
      </c>
      <c r="E77" s="18">
        <v>60337</v>
      </c>
      <c r="F77" s="18">
        <v>1806</v>
      </c>
      <c r="G77" s="78">
        <f>Population!DK118+Population!DL118</f>
        <v>231546</v>
      </c>
      <c r="H77" s="65">
        <f>Population!DM118+Population!DN118</f>
        <v>64352</v>
      </c>
      <c r="I77" s="70">
        <f>Population!DP118</f>
        <v>151103</v>
      </c>
      <c r="J77" s="18">
        <f>Population!DR118</f>
        <v>30497</v>
      </c>
      <c r="K77" s="18">
        <f>Population!DO118+Population!DT118</f>
        <v>633398</v>
      </c>
      <c r="L77" s="18">
        <f>Population!CW118+Population!CX118+Population!BX118+Population!CQ118+Population!CR118</f>
        <v>19468</v>
      </c>
      <c r="M77" s="18">
        <f>Population!DS118</f>
        <v>56007</v>
      </c>
      <c r="N77" s="77">
        <f t="shared" ref="N77" si="26">SUM(I77:M77)</f>
        <v>890473</v>
      </c>
      <c r="O77" s="69">
        <f>Population!DU118</f>
        <v>150937</v>
      </c>
      <c r="P77" s="18">
        <f>Population!DV118</f>
        <v>538116</v>
      </c>
      <c r="Q77" s="21">
        <f>Population!CU118+Population!CV118+Population!CP118</f>
        <v>32653</v>
      </c>
      <c r="R77" s="75">
        <f t="shared" ref="R77" si="27">SUM(O77:Q77)</f>
        <v>721706</v>
      </c>
      <c r="S77" s="100">
        <f t="shared" si="14"/>
        <v>1908077</v>
      </c>
      <c r="T77" s="20">
        <f>Population!CF118</f>
        <v>97077</v>
      </c>
      <c r="U77" s="20">
        <f>SUM(Population!G118:K118,Population!N118)</f>
        <v>95906</v>
      </c>
      <c r="V77" s="74">
        <v>3632</v>
      </c>
      <c r="W77" s="18">
        <v>4344</v>
      </c>
      <c r="X77" s="101">
        <f t="shared" si="11"/>
        <v>200959</v>
      </c>
      <c r="Y77" s="71">
        <f t="shared" ref="Y77" si="28">S77+X77</f>
        <v>2109036</v>
      </c>
    </row>
    <row r="78" spans="1:25" x14ac:dyDescent="0.25">
      <c r="A78" s="17">
        <v>45323</v>
      </c>
      <c r="B78" s="17"/>
      <c r="C78" s="72">
        <f t="shared" si="25"/>
        <v>148405</v>
      </c>
      <c r="D78" s="18">
        <f>19320+489</f>
        <v>19809</v>
      </c>
      <c r="E78" s="18">
        <v>60967</v>
      </c>
      <c r="F78" s="18">
        <v>1818</v>
      </c>
      <c r="G78" s="78">
        <f>Population!DK119+Population!DL119</f>
        <v>230999</v>
      </c>
      <c r="H78" s="65">
        <f>Population!DM119+Population!DN119</f>
        <v>64849</v>
      </c>
      <c r="I78" s="70">
        <f>Population!DP119</f>
        <v>150753</v>
      </c>
      <c r="J78" s="18">
        <f>Population!DR119</f>
        <v>30779</v>
      </c>
      <c r="K78" s="18">
        <f>Population!DO119+Population!DT119</f>
        <v>628988</v>
      </c>
      <c r="L78" s="18">
        <f>Population!CW119+Population!CX119+Population!BX119+Population!CQ119+Population!CR119</f>
        <v>20712</v>
      </c>
      <c r="M78" s="18">
        <f>Population!DS119</f>
        <v>56632</v>
      </c>
      <c r="N78" s="77">
        <f t="shared" ref="N78" si="29">SUM(I78:M78)</f>
        <v>887864</v>
      </c>
      <c r="O78" s="69">
        <f>Population!DU119</f>
        <v>149474</v>
      </c>
      <c r="P78" s="18">
        <f>Population!DV119</f>
        <v>538490</v>
      </c>
      <c r="Q78" s="21">
        <f>Population!CU119+Population!CV119+Population!CP119</f>
        <v>33703</v>
      </c>
      <c r="R78" s="75">
        <f t="shared" ref="R78" si="30">SUM(O78:Q78)</f>
        <v>721667</v>
      </c>
      <c r="S78" s="100">
        <f t="shared" si="14"/>
        <v>1905379</v>
      </c>
      <c r="T78" s="20">
        <f>Population!CF119</f>
        <v>96335</v>
      </c>
      <c r="U78" s="20">
        <f>SUM(Population!G119:K119,Population!N119)</f>
        <v>99421</v>
      </c>
      <c r="V78" s="74">
        <v>3765</v>
      </c>
      <c r="W78" s="18">
        <v>4147</v>
      </c>
      <c r="X78" s="101">
        <f t="shared" si="11"/>
        <v>203668</v>
      </c>
      <c r="Y78" s="71">
        <f t="shared" ref="Y78" si="31">S78+X78</f>
        <v>2109047</v>
      </c>
    </row>
    <row r="79" spans="1:25" x14ac:dyDescent="0.25">
      <c r="A79" s="17">
        <v>45352</v>
      </c>
      <c r="B79" s="17"/>
      <c r="C79" s="72">
        <f t="shared" si="25"/>
        <v>147210</v>
      </c>
      <c r="D79" s="18">
        <f>19316+491</f>
        <v>19807</v>
      </c>
      <c r="E79" s="18">
        <v>60875</v>
      </c>
      <c r="F79" s="18">
        <v>1805</v>
      </c>
      <c r="G79" s="78">
        <f>Population!DK120+Population!DL120</f>
        <v>229697</v>
      </c>
      <c r="H79" s="65">
        <f>Population!DM120+Population!DN120</f>
        <v>65430</v>
      </c>
      <c r="I79" s="70">
        <f>Population!DP120</f>
        <v>149192</v>
      </c>
      <c r="J79" s="18">
        <f>Population!DR120</f>
        <v>30928</v>
      </c>
      <c r="K79" s="18">
        <f>Population!DO120+Population!DT120</f>
        <v>621005</v>
      </c>
      <c r="L79" s="18">
        <f>Population!CW120+Population!CX120+Population!BX120+Population!CQ120+Population!CR120</f>
        <v>21775</v>
      </c>
      <c r="M79" s="18">
        <f>Population!DS120</f>
        <v>57008</v>
      </c>
      <c r="N79" s="77">
        <f t="shared" ref="N79:N80" si="32">SUM(I79:M79)</f>
        <v>879908</v>
      </c>
      <c r="O79" s="69">
        <f>Population!DU120</f>
        <v>146148</v>
      </c>
      <c r="P79" s="18">
        <f>Population!DV120</f>
        <v>530241</v>
      </c>
      <c r="Q79" s="21">
        <f>Population!CU120+Population!CV120+Population!CP120</f>
        <v>34823</v>
      </c>
      <c r="R79" s="75">
        <f t="shared" ref="R79" si="33">SUM(O79:Q79)</f>
        <v>711212</v>
      </c>
      <c r="S79" s="100">
        <f t="shared" ref="S79" si="34">G79+N79+R79+H79</f>
        <v>1886247</v>
      </c>
      <c r="T79" s="20">
        <f>Population!CF120</f>
        <v>94729</v>
      </c>
      <c r="U79" s="20">
        <f>SUM(Population!G120:K120,Population!N120)</f>
        <v>101682</v>
      </c>
      <c r="V79" s="74">
        <v>3732</v>
      </c>
      <c r="W79" s="18">
        <v>4148</v>
      </c>
      <c r="X79" s="101">
        <f t="shared" ref="X79" si="35">SUM(T79:W79)</f>
        <v>204291</v>
      </c>
      <c r="Y79" s="71">
        <f t="shared" ref="Y79" si="36">S79+X79</f>
        <v>2090538</v>
      </c>
    </row>
    <row r="80" spans="1:25" x14ac:dyDescent="0.25">
      <c r="A80" s="17">
        <v>45383</v>
      </c>
      <c r="B80" s="17"/>
      <c r="C80" s="72">
        <f t="shared" si="25"/>
        <v>144795</v>
      </c>
      <c r="D80" s="18">
        <f>18683+485</f>
        <v>19168</v>
      </c>
      <c r="E80" s="18">
        <v>60678</v>
      </c>
      <c r="F80" s="18">
        <v>1759</v>
      </c>
      <c r="G80" s="78">
        <f>Population!DK121+Population!DL121</f>
        <v>226400</v>
      </c>
      <c r="H80" s="65">
        <f>Population!DM121+Population!DN121</f>
        <v>64814</v>
      </c>
      <c r="I80" s="70">
        <f>Population!DP121</f>
        <v>143806</v>
      </c>
      <c r="J80" s="18">
        <f>Population!DR121</f>
        <v>30982</v>
      </c>
      <c r="K80" s="18">
        <f>Population!DO121+Population!DT121</f>
        <v>604475</v>
      </c>
      <c r="L80" s="18">
        <f>Population!CW121+Population!CX121+Population!BX121+Population!CQ121+Population!CR121</f>
        <v>22555</v>
      </c>
      <c r="M80" s="18">
        <f>Population!DS121</f>
        <v>53091</v>
      </c>
      <c r="N80" s="77">
        <f t="shared" si="32"/>
        <v>854909</v>
      </c>
      <c r="O80" s="69">
        <f>Population!DU121</f>
        <v>138422</v>
      </c>
      <c r="P80" s="18">
        <f>Population!DV121</f>
        <v>503986</v>
      </c>
      <c r="Q80" s="21">
        <f>Population!CU121+Population!CV121+Population!CP121</f>
        <v>35159</v>
      </c>
      <c r="R80" s="75">
        <f t="shared" ref="R80" si="37">SUM(O80:Q80)</f>
        <v>677567</v>
      </c>
      <c r="S80" s="100">
        <f t="shared" ref="S80" si="38">G80+N80+R80+H80</f>
        <v>1823690</v>
      </c>
      <c r="T80" s="20">
        <f>Population!CF121</f>
        <v>91170</v>
      </c>
      <c r="U80" s="20">
        <f>SUM(Population!G121:K121,Population!N121)</f>
        <v>100129</v>
      </c>
      <c r="V80" s="74">
        <v>3748</v>
      </c>
      <c r="W80" s="18">
        <v>4217</v>
      </c>
      <c r="X80" s="101">
        <f t="shared" ref="X80" si="39">SUM(T80:W80)</f>
        <v>199264</v>
      </c>
      <c r="Y80" s="71">
        <f t="shared" ref="Y80" si="40">S80+X80</f>
        <v>2022954</v>
      </c>
    </row>
    <row r="81" spans="1:25" x14ac:dyDescent="0.25">
      <c r="A81" s="17">
        <v>45413</v>
      </c>
      <c r="B81" s="17"/>
      <c r="C81" s="72">
        <f t="shared" si="25"/>
        <v>142507</v>
      </c>
      <c r="D81" s="18">
        <f>19124+444</f>
        <v>19568</v>
      </c>
      <c r="E81" s="18">
        <v>61665</v>
      </c>
      <c r="F81" s="18">
        <v>1777</v>
      </c>
      <c r="G81" s="78">
        <f>Population!DK122+Population!DL122</f>
        <v>225517</v>
      </c>
      <c r="H81" s="65">
        <f>Population!DM122+Population!DN122</f>
        <v>66043</v>
      </c>
      <c r="I81" s="70">
        <f>Population!DP122</f>
        <v>143634</v>
      </c>
      <c r="J81" s="18">
        <f>Population!DR122</f>
        <v>27899</v>
      </c>
      <c r="K81" s="18">
        <f>Population!DO122+Population!DT122</f>
        <v>592428</v>
      </c>
      <c r="L81" s="18">
        <f>Population!CW122+Population!CX122+Population!BX122+Population!CQ122+Population!CR122</f>
        <v>23200</v>
      </c>
      <c r="M81" s="18">
        <f>Population!DS122</f>
        <v>53568</v>
      </c>
      <c r="N81" s="77">
        <f t="shared" ref="N81" si="41">SUM(I81:M81)</f>
        <v>840729</v>
      </c>
      <c r="O81" s="69">
        <f>Population!DU122</f>
        <v>136208</v>
      </c>
      <c r="P81" s="18">
        <f>Population!DV122</f>
        <v>499483</v>
      </c>
      <c r="Q81" s="21">
        <f>Population!CU122+Population!CV122+Population!CP122</f>
        <v>36821</v>
      </c>
      <c r="R81" s="75">
        <f t="shared" ref="R81" si="42">SUM(O81:Q81)</f>
        <v>672512</v>
      </c>
      <c r="S81" s="100">
        <f t="shared" ref="S81" si="43">G81+N81+R81+H81</f>
        <v>1804801</v>
      </c>
      <c r="T81" s="20">
        <f>Population!CF122</f>
        <v>90203</v>
      </c>
      <c r="U81" s="20">
        <f>SUM(Population!G122:K122,Population!N122)</f>
        <v>99679</v>
      </c>
      <c r="V81" s="74">
        <v>3667</v>
      </c>
      <c r="W81" s="18">
        <v>4315</v>
      </c>
      <c r="X81" s="101">
        <f t="shared" ref="X81" si="44">SUM(T81:W81)</f>
        <v>197864</v>
      </c>
      <c r="Y81" s="71">
        <f t="shared" ref="Y81" si="45">S81+X81</f>
        <v>2002665</v>
      </c>
    </row>
    <row r="82" spans="1:25" x14ac:dyDescent="0.25">
      <c r="A82" s="17">
        <v>45444</v>
      </c>
      <c r="B82" s="17"/>
      <c r="C82" s="72">
        <f t="shared" si="25"/>
        <v>144151</v>
      </c>
      <c r="D82" s="18">
        <f>18724+469</f>
        <v>19193</v>
      </c>
      <c r="E82" s="18">
        <v>60703</v>
      </c>
      <c r="F82" s="18">
        <v>1764</v>
      </c>
      <c r="G82" s="78">
        <f>Population!DK123+Population!DL123</f>
        <v>225811</v>
      </c>
      <c r="H82" s="65">
        <f>Population!DM123+Population!DN123</f>
        <v>67157</v>
      </c>
      <c r="I82" s="70">
        <f>Population!DP123</f>
        <v>142125</v>
      </c>
      <c r="J82" s="18">
        <f>Population!DR123</f>
        <v>28653</v>
      </c>
      <c r="K82" s="18">
        <f>Population!DO123+Population!DT123</f>
        <v>590825</v>
      </c>
      <c r="L82" s="18">
        <f>Population!CW123+Population!CX123+Population!BX123+Population!CQ123+Population!CR123</f>
        <v>23966</v>
      </c>
      <c r="M82" s="18">
        <f>Population!DS123</f>
        <v>53162</v>
      </c>
      <c r="N82" s="77">
        <f t="shared" ref="N82" si="46">SUM(I82:M82)</f>
        <v>838731</v>
      </c>
      <c r="O82" s="69">
        <f>Population!DU123</f>
        <v>134105</v>
      </c>
      <c r="P82" s="18">
        <f>Population!DV123</f>
        <v>492546</v>
      </c>
      <c r="Q82" s="21">
        <f>Population!CU123+Population!CV123+Population!CP123</f>
        <v>37888</v>
      </c>
      <c r="R82" s="75">
        <f t="shared" ref="R82" si="47">SUM(O82:Q82)</f>
        <v>664539</v>
      </c>
      <c r="S82" s="100">
        <f t="shared" ref="S82" si="48">G82+N82+R82+H82</f>
        <v>1796238</v>
      </c>
      <c r="T82" s="20">
        <f>Population!CF123</f>
        <v>92496</v>
      </c>
      <c r="U82" s="20">
        <f>SUM(Population!G123:K123,Population!N123)</f>
        <v>98035</v>
      </c>
      <c r="V82" s="74">
        <v>3844</v>
      </c>
      <c r="W82" s="18">
        <v>4394</v>
      </c>
      <c r="X82" s="101">
        <f t="shared" ref="X82" si="49">SUM(T82:W82)</f>
        <v>198769</v>
      </c>
      <c r="Y82" s="71">
        <f t="shared" ref="Y82" si="50">S82+X82</f>
        <v>1995007</v>
      </c>
    </row>
    <row r="83" spans="1:25" ht="9" customHeight="1" x14ac:dyDescent="0.25">
      <c r="A83" s="17"/>
      <c r="B83" s="17"/>
      <c r="C83" s="72"/>
      <c r="D83" s="18"/>
      <c r="E83" s="18"/>
      <c r="F83" s="18"/>
      <c r="G83" s="78"/>
      <c r="H83" s="65"/>
      <c r="I83" s="70"/>
      <c r="J83" s="18"/>
      <c r="K83" s="18"/>
      <c r="L83" s="18"/>
      <c r="M83" s="18"/>
      <c r="N83" s="77"/>
      <c r="O83" s="69"/>
      <c r="P83" s="18"/>
      <c r="Q83" s="21"/>
      <c r="R83" s="75"/>
      <c r="S83" s="100"/>
      <c r="T83" s="20"/>
      <c r="U83" s="20"/>
      <c r="V83" s="74"/>
      <c r="W83" s="18"/>
      <c r="X83" s="101"/>
      <c r="Y83" s="71"/>
    </row>
    <row r="84" spans="1:25" ht="15.6" hidden="1" customHeight="1" x14ac:dyDescent="0.25">
      <c r="A84" s="17">
        <v>45474</v>
      </c>
      <c r="B84" s="17"/>
      <c r="C84" s="72"/>
      <c r="D84" s="18"/>
      <c r="E84" s="18"/>
      <c r="F84" s="18"/>
      <c r="G84" s="78"/>
      <c r="H84" s="65"/>
      <c r="I84" s="70"/>
      <c r="J84" s="18"/>
      <c r="K84" s="18"/>
      <c r="L84" s="18"/>
      <c r="M84" s="18"/>
      <c r="N84" s="77"/>
      <c r="O84" s="69"/>
      <c r="P84" s="18"/>
      <c r="Q84" s="21"/>
      <c r="R84" s="75"/>
      <c r="S84" s="100"/>
      <c r="T84" s="20"/>
      <c r="U84" s="20"/>
      <c r="V84" s="74"/>
      <c r="W84" s="18"/>
      <c r="X84" s="101"/>
      <c r="Y84" s="71"/>
    </row>
    <row r="85" spans="1:25" ht="13.2" hidden="1" customHeight="1" x14ac:dyDescent="0.25">
      <c r="A85" s="17">
        <v>45505</v>
      </c>
      <c r="B85" s="17"/>
      <c r="C85" s="72"/>
      <c r="D85" s="18"/>
      <c r="E85" s="18"/>
      <c r="F85" s="18"/>
      <c r="G85" s="78"/>
      <c r="H85" s="65"/>
      <c r="I85" s="70"/>
      <c r="J85" s="18"/>
      <c r="K85" s="18"/>
      <c r="L85" s="18"/>
      <c r="M85" s="18"/>
      <c r="N85" s="77"/>
      <c r="O85" s="69"/>
      <c r="P85" s="18"/>
      <c r="Q85" s="21"/>
      <c r="R85" s="75"/>
      <c r="S85" s="100"/>
      <c r="T85" s="20"/>
      <c r="U85" s="20"/>
      <c r="V85" s="74"/>
      <c r="W85" s="18"/>
      <c r="X85" s="101"/>
      <c r="Y85" s="71"/>
    </row>
    <row r="86" spans="1:25" ht="13.8" hidden="1" customHeight="1" x14ac:dyDescent="0.25">
      <c r="A86" s="17">
        <v>45536</v>
      </c>
      <c r="B86" s="17"/>
      <c r="C86" s="72"/>
      <c r="D86" s="18"/>
      <c r="E86" s="18"/>
      <c r="F86" s="18"/>
      <c r="G86" s="78"/>
      <c r="H86" s="65"/>
      <c r="I86" s="70"/>
      <c r="J86" s="18"/>
      <c r="K86" s="18"/>
      <c r="L86" s="18"/>
      <c r="M86" s="18"/>
      <c r="N86" s="77"/>
      <c r="O86" s="69"/>
      <c r="P86" s="18"/>
      <c r="Q86" s="21"/>
      <c r="R86" s="75"/>
      <c r="S86" s="100"/>
      <c r="T86" s="20"/>
      <c r="U86" s="20"/>
      <c r="V86" s="74"/>
      <c r="W86" s="18"/>
      <c r="X86" s="101"/>
      <c r="Y86" s="71"/>
    </row>
    <row r="87" spans="1:25" ht="12.6" hidden="1" customHeight="1" x14ac:dyDescent="0.25">
      <c r="A87" s="17">
        <v>45566</v>
      </c>
      <c r="B87" s="17"/>
      <c r="C87" s="72"/>
      <c r="D87" s="18"/>
      <c r="E87" s="18"/>
      <c r="F87" s="18"/>
      <c r="G87" s="78"/>
      <c r="H87" s="65"/>
      <c r="I87" s="70"/>
      <c r="J87" s="18"/>
      <c r="K87" s="18"/>
      <c r="L87" s="18"/>
      <c r="M87" s="18"/>
      <c r="N87" s="77"/>
      <c r="O87" s="69"/>
      <c r="P87" s="18"/>
      <c r="Q87" s="21"/>
      <c r="R87" s="75"/>
      <c r="S87" s="100"/>
      <c r="T87" s="20"/>
      <c r="U87" s="20"/>
      <c r="V87" s="74"/>
      <c r="W87" s="18"/>
      <c r="X87" s="101"/>
      <c r="Y87" s="71"/>
    </row>
    <row r="88" spans="1:25" ht="12.6" hidden="1" customHeight="1" x14ac:dyDescent="0.25">
      <c r="A88" s="17">
        <v>45597</v>
      </c>
      <c r="B88" s="17"/>
      <c r="C88" s="72"/>
      <c r="D88" s="18"/>
      <c r="E88" s="18"/>
      <c r="F88" s="18"/>
      <c r="G88" s="78"/>
      <c r="H88" s="65"/>
      <c r="I88" s="70"/>
      <c r="J88" s="18"/>
      <c r="K88" s="18"/>
      <c r="L88" s="69"/>
      <c r="M88" s="18"/>
      <c r="N88" s="77"/>
      <c r="O88" s="69"/>
      <c r="P88" s="18"/>
      <c r="Q88" s="21"/>
      <c r="R88" s="75"/>
      <c r="S88" s="100"/>
      <c r="T88" s="20"/>
      <c r="U88" s="20"/>
      <c r="V88" s="74"/>
      <c r="W88" s="18"/>
      <c r="X88" s="101"/>
      <c r="Y88" s="71"/>
    </row>
    <row r="89" spans="1:25" hidden="1" x14ac:dyDescent="0.25">
      <c r="A89" s="17">
        <v>45627</v>
      </c>
      <c r="B89" s="17"/>
      <c r="C89" s="72"/>
      <c r="D89" s="18"/>
      <c r="E89" s="18"/>
      <c r="F89" s="18"/>
      <c r="G89" s="78"/>
      <c r="H89" s="65"/>
      <c r="I89" s="70"/>
      <c r="J89" s="18"/>
      <c r="K89" s="18"/>
      <c r="L89" s="18"/>
      <c r="M89" s="18"/>
      <c r="N89" s="77"/>
      <c r="O89" s="69"/>
      <c r="P89" s="18"/>
      <c r="Q89" s="21"/>
      <c r="R89" s="75"/>
      <c r="S89" s="100"/>
      <c r="T89" s="20"/>
      <c r="U89" s="20"/>
      <c r="V89" s="74"/>
      <c r="W89" s="18"/>
      <c r="X89" s="101"/>
      <c r="Y89" s="71"/>
    </row>
    <row r="90" spans="1:25" hidden="1" x14ac:dyDescent="0.25">
      <c r="A90" s="17">
        <v>45658</v>
      </c>
      <c r="B90" s="17"/>
      <c r="C90" s="72"/>
      <c r="D90" s="18"/>
      <c r="E90" s="18"/>
      <c r="F90" s="18"/>
      <c r="G90" s="78"/>
      <c r="H90" s="65"/>
      <c r="I90" s="70"/>
      <c r="J90" s="18"/>
      <c r="K90" s="18"/>
      <c r="L90" s="18"/>
      <c r="M90" s="18"/>
      <c r="N90" s="77"/>
      <c r="O90" s="69"/>
      <c r="P90" s="18"/>
      <c r="Q90" s="21"/>
      <c r="R90" s="75"/>
      <c r="S90" s="100"/>
      <c r="T90" s="20"/>
      <c r="U90" s="20"/>
      <c r="V90" s="74"/>
      <c r="W90" s="18"/>
      <c r="X90" s="101"/>
      <c r="Y90" s="71"/>
    </row>
    <row r="91" spans="1:25" hidden="1" x14ac:dyDescent="0.25">
      <c r="A91" s="17">
        <v>45689</v>
      </c>
      <c r="B91" s="17"/>
      <c r="C91" s="72"/>
      <c r="D91" s="18"/>
      <c r="E91" s="18"/>
      <c r="F91" s="18"/>
      <c r="G91" s="78"/>
      <c r="H91" s="65"/>
      <c r="I91" s="70"/>
      <c r="J91" s="18"/>
      <c r="K91" s="18"/>
      <c r="L91" s="18"/>
      <c r="M91" s="18"/>
      <c r="N91" s="77"/>
      <c r="O91" s="69"/>
      <c r="P91" s="18"/>
      <c r="Q91" s="21"/>
      <c r="R91" s="75"/>
      <c r="S91" s="100"/>
      <c r="T91" s="20"/>
      <c r="U91" s="20"/>
      <c r="V91" s="74"/>
      <c r="W91" s="18"/>
      <c r="X91" s="101"/>
      <c r="Y91" s="71"/>
    </row>
    <row r="92" spans="1:25" hidden="1" x14ac:dyDescent="0.25">
      <c r="A92" s="17">
        <v>45717</v>
      </c>
      <c r="B92" s="17"/>
      <c r="C92" s="72"/>
      <c r="D92" s="18"/>
      <c r="E92" s="18"/>
      <c r="F92" s="18"/>
      <c r="G92" s="78"/>
      <c r="H92" s="65"/>
      <c r="I92" s="70"/>
      <c r="J92" s="18"/>
      <c r="K92" s="18"/>
      <c r="L92" s="18"/>
      <c r="M92" s="18"/>
      <c r="N92" s="77"/>
      <c r="O92" s="69"/>
      <c r="P92" s="18"/>
      <c r="Q92" s="21"/>
      <c r="R92" s="75"/>
      <c r="S92" s="100"/>
      <c r="T92" s="20"/>
      <c r="U92" s="20"/>
      <c r="V92" s="74"/>
      <c r="W92" s="18"/>
      <c r="X92" s="101"/>
      <c r="Y92" s="71"/>
    </row>
    <row r="93" spans="1:25" hidden="1" x14ac:dyDescent="0.25">
      <c r="A93" s="17">
        <v>45748</v>
      </c>
      <c r="B93" s="17"/>
      <c r="C93" s="72"/>
      <c r="D93" s="18"/>
      <c r="E93" s="18"/>
      <c r="F93" s="18"/>
      <c r="G93" s="78"/>
      <c r="H93" s="65"/>
      <c r="I93" s="70"/>
      <c r="J93" s="18"/>
      <c r="K93" s="18"/>
      <c r="L93" s="18"/>
      <c r="M93" s="18"/>
      <c r="N93" s="77"/>
      <c r="O93" s="69"/>
      <c r="P93" s="18"/>
      <c r="Q93" s="21"/>
      <c r="R93" s="75"/>
      <c r="S93" s="100"/>
      <c r="T93" s="20"/>
      <c r="U93" s="20"/>
      <c r="V93" s="74"/>
      <c r="W93" s="18"/>
      <c r="X93" s="101"/>
      <c r="Y93" s="71"/>
    </row>
    <row r="94" spans="1:25" hidden="1" x14ac:dyDescent="0.25">
      <c r="A94" s="17">
        <v>45778</v>
      </c>
      <c r="B94" s="17"/>
      <c r="C94" s="72"/>
      <c r="D94" s="18"/>
      <c r="E94" s="18"/>
      <c r="F94" s="18"/>
      <c r="G94" s="78"/>
      <c r="H94" s="65"/>
      <c r="I94" s="70"/>
      <c r="J94" s="18"/>
      <c r="K94" s="18"/>
      <c r="L94" s="18"/>
      <c r="M94" s="18"/>
      <c r="N94" s="77"/>
      <c r="O94" s="69"/>
      <c r="P94" s="18"/>
      <c r="Q94" s="21"/>
      <c r="R94" s="75"/>
      <c r="S94" s="100"/>
      <c r="T94" s="20"/>
      <c r="U94" s="20"/>
      <c r="V94" s="74"/>
      <c r="W94" s="18"/>
      <c r="X94" s="101"/>
      <c r="Y94" s="71"/>
    </row>
    <row r="95" spans="1:25" hidden="1" x14ac:dyDescent="0.25">
      <c r="A95" s="17">
        <v>45809</v>
      </c>
      <c r="B95" s="17"/>
      <c r="C95" s="72"/>
      <c r="D95" s="18"/>
      <c r="E95" s="18"/>
      <c r="F95" s="18"/>
      <c r="G95" s="78"/>
      <c r="H95" s="65"/>
      <c r="I95" s="70"/>
      <c r="J95" s="18"/>
      <c r="K95" s="18"/>
      <c r="L95" s="18"/>
      <c r="M95" s="18"/>
      <c r="N95" s="77"/>
      <c r="O95" s="69"/>
      <c r="P95" s="18"/>
      <c r="Q95" s="21"/>
      <c r="R95" s="75"/>
      <c r="S95" s="100"/>
      <c r="T95" s="20"/>
      <c r="U95" s="20"/>
      <c r="V95" s="74"/>
      <c r="W95" s="18"/>
      <c r="X95" s="101"/>
      <c r="Y95" s="71"/>
    </row>
    <row r="96" spans="1:25" x14ac:dyDescent="0.2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  <c r="O96" s="19"/>
      <c r="P96" s="19"/>
      <c r="Q96" s="18"/>
      <c r="R96" s="19"/>
      <c r="S96" s="19"/>
      <c r="T96" s="20"/>
      <c r="U96" s="20"/>
      <c r="V96" s="18"/>
      <c r="W96" s="18"/>
      <c r="X96" s="19"/>
      <c r="Y96" s="43"/>
    </row>
    <row r="97" spans="1:25" x14ac:dyDescent="0.25">
      <c r="A97" s="40" t="s">
        <v>103</v>
      </c>
      <c r="B97" s="40"/>
      <c r="L97" s="18"/>
      <c r="Q97" s="19"/>
      <c r="V97" s="18"/>
      <c r="W97" s="18"/>
    </row>
    <row r="98" spans="1:25" x14ac:dyDescent="0.25">
      <c r="A98" s="41" t="s">
        <v>339</v>
      </c>
      <c r="B98" s="41"/>
      <c r="C98" s="42">
        <f>AVERAGE(C6:C17)</f>
        <v>153482.58333333334</v>
      </c>
      <c r="D98" s="42">
        <f t="shared" ref="D98:Y98" si="51">AVERAGE(D6:D17)</f>
        <v>19649.083333333332</v>
      </c>
      <c r="E98" s="42">
        <f t="shared" si="51"/>
        <v>49135.916666666664</v>
      </c>
      <c r="F98" s="42">
        <f t="shared" si="51"/>
        <v>1236.1666666666667</v>
      </c>
      <c r="G98" s="42">
        <f t="shared" si="51"/>
        <v>223503.75</v>
      </c>
      <c r="H98" s="42">
        <f t="shared" si="51"/>
        <v>62199.916666666664</v>
      </c>
      <c r="I98" s="42">
        <f t="shared" si="51"/>
        <v>112338.16666666667</v>
      </c>
      <c r="J98" s="42">
        <f t="shared" si="51"/>
        <v>15111.5</v>
      </c>
      <c r="K98" s="42">
        <f t="shared" si="51"/>
        <v>506812.25</v>
      </c>
      <c r="L98" s="42">
        <f>AVERAGE(L6:L17)</f>
        <v>9067.75</v>
      </c>
      <c r="M98" s="42">
        <f t="shared" si="51"/>
        <v>88732.5</v>
      </c>
      <c r="N98" s="42">
        <f t="shared" si="51"/>
        <v>732062.16666666663</v>
      </c>
      <c r="O98" s="42">
        <f t="shared" si="51"/>
        <v>44312.166666666664</v>
      </c>
      <c r="P98" s="42">
        <f t="shared" si="51"/>
        <v>76912.833333333328</v>
      </c>
      <c r="Q98" s="42">
        <f t="shared" si="51"/>
        <v>1064.9166666666667</v>
      </c>
      <c r="R98" s="42">
        <f t="shared" si="51"/>
        <v>122289.91666666667</v>
      </c>
      <c r="S98" s="42">
        <f t="shared" si="51"/>
        <v>1018830.75</v>
      </c>
      <c r="T98" s="42">
        <f t="shared" si="51"/>
        <v>64641.416666666664</v>
      </c>
      <c r="U98" s="42">
        <f t="shared" si="51"/>
        <v>71324.75</v>
      </c>
      <c r="V98" s="42">
        <f t="shared" si="51"/>
        <v>1218.8333333333333</v>
      </c>
      <c r="W98" s="42">
        <f t="shared" si="51"/>
        <v>0</v>
      </c>
      <c r="X98" s="42">
        <f t="shared" si="51"/>
        <v>137185</v>
      </c>
      <c r="Y98" s="42">
        <f t="shared" si="51"/>
        <v>1156015.75</v>
      </c>
    </row>
    <row r="99" spans="1:25" s="6" customFormat="1" x14ac:dyDescent="0.25">
      <c r="A99" s="41" t="s">
        <v>173</v>
      </c>
      <c r="B99" s="41"/>
      <c r="C99" s="42">
        <f>AVERAGE(C19:C30)</f>
        <v>150994</v>
      </c>
      <c r="D99" s="42">
        <f t="shared" ref="D99:Y99" si="52">AVERAGE(D19:D30)</f>
        <v>19845.666666666668</v>
      </c>
      <c r="E99" s="42">
        <f t="shared" si="52"/>
        <v>50880.166666666664</v>
      </c>
      <c r="F99" s="42">
        <f t="shared" si="52"/>
        <v>1316.6666666666667</v>
      </c>
      <c r="G99" s="42">
        <f t="shared" si="52"/>
        <v>223036.5</v>
      </c>
      <c r="H99" s="42">
        <f t="shared" si="52"/>
        <v>64880.25</v>
      </c>
      <c r="I99" s="42">
        <f t="shared" si="52"/>
        <v>108704.5</v>
      </c>
      <c r="J99" s="42">
        <f t="shared" si="52"/>
        <v>14170.75</v>
      </c>
      <c r="K99" s="42">
        <f t="shared" si="52"/>
        <v>522458.33333333331</v>
      </c>
      <c r="L99" s="42">
        <f>AVERAGE(L20:L32)</f>
        <v>1452.75</v>
      </c>
      <c r="M99" s="42">
        <f t="shared" si="52"/>
        <v>43787.5</v>
      </c>
      <c r="N99" s="42">
        <f t="shared" si="52"/>
        <v>690529.58333333337</v>
      </c>
      <c r="O99" s="42">
        <f t="shared" si="52"/>
        <v>112513.33333333333</v>
      </c>
      <c r="P99" s="42">
        <f t="shared" si="52"/>
        <v>231695.83333333334</v>
      </c>
      <c r="Q99" s="42">
        <f t="shared" si="52"/>
        <v>12667</v>
      </c>
      <c r="R99" s="42">
        <f t="shared" si="52"/>
        <v>356876.16666666669</v>
      </c>
      <c r="S99" s="42">
        <f t="shared" si="52"/>
        <v>1311216.75</v>
      </c>
      <c r="T99" s="42">
        <f t="shared" si="52"/>
        <v>71743.333333333328</v>
      </c>
      <c r="U99" s="42">
        <f t="shared" si="52"/>
        <v>74669.166666666672</v>
      </c>
      <c r="V99" s="42">
        <f t="shared" si="52"/>
        <v>1586.9166666666667</v>
      </c>
      <c r="W99" s="42">
        <f t="shared" si="52"/>
        <v>0</v>
      </c>
      <c r="X99" s="42">
        <f t="shared" si="52"/>
        <v>147999.41666666666</v>
      </c>
      <c r="Y99" s="42">
        <f t="shared" si="52"/>
        <v>1459216.1666666667</v>
      </c>
    </row>
    <row r="100" spans="1:25" s="6" customFormat="1" x14ac:dyDescent="0.25">
      <c r="A100" s="41" t="s">
        <v>188</v>
      </c>
      <c r="B100" s="41"/>
      <c r="C100" s="42">
        <f>AVERAGE(C32:C43)</f>
        <v>156175.16666666666</v>
      </c>
      <c r="D100" s="42">
        <f t="shared" ref="D100:Y100" si="53">AVERAGE(D32:D43)</f>
        <v>19443.75</v>
      </c>
      <c r="E100" s="42">
        <f t="shared" si="53"/>
        <v>54092.416666666664</v>
      </c>
      <c r="F100" s="42">
        <f t="shared" si="53"/>
        <v>1459.3333333333333</v>
      </c>
      <c r="G100" s="42">
        <f t="shared" si="53"/>
        <v>231170.66666666666</v>
      </c>
      <c r="H100" s="42">
        <f t="shared" si="53"/>
        <v>66967.333333333328</v>
      </c>
      <c r="I100" s="42">
        <f t="shared" si="53"/>
        <v>130855.41666666667</v>
      </c>
      <c r="J100" s="42">
        <f t="shared" si="53"/>
        <v>20559.083333333332</v>
      </c>
      <c r="K100" s="42">
        <f t="shared" si="53"/>
        <v>584056.83333333337</v>
      </c>
      <c r="L100" s="42">
        <f>AVERAGE(L34:L46)</f>
        <v>1599.0833333333333</v>
      </c>
      <c r="M100" s="42">
        <f t="shared" si="53"/>
        <v>45737.583333333336</v>
      </c>
      <c r="N100" s="42">
        <f t="shared" si="53"/>
        <v>782821.25</v>
      </c>
      <c r="O100" s="42">
        <f t="shared" si="53"/>
        <v>134722.66666666666</v>
      </c>
      <c r="P100" s="42">
        <f t="shared" si="53"/>
        <v>346072.5</v>
      </c>
      <c r="Q100" s="42">
        <f t="shared" si="53"/>
        <v>18296.416666666668</v>
      </c>
      <c r="R100" s="42">
        <f t="shared" si="53"/>
        <v>499091.58333333331</v>
      </c>
      <c r="S100" s="42">
        <f t="shared" si="53"/>
        <v>1580050.8333333333</v>
      </c>
      <c r="T100" s="42">
        <f t="shared" si="53"/>
        <v>79719.833333333328</v>
      </c>
      <c r="U100" s="42">
        <f t="shared" si="53"/>
        <v>78955.5</v>
      </c>
      <c r="V100" s="42">
        <f t="shared" si="53"/>
        <v>1634.5833333333333</v>
      </c>
      <c r="W100" s="42">
        <f t="shared" si="53"/>
        <v>0</v>
      </c>
      <c r="X100" s="42">
        <f t="shared" si="53"/>
        <v>160309.91666666666</v>
      </c>
      <c r="Y100" s="42">
        <f t="shared" si="53"/>
        <v>1740360.75</v>
      </c>
    </row>
    <row r="101" spans="1:25" s="6" customFormat="1" x14ac:dyDescent="0.25">
      <c r="A101" s="41" t="s">
        <v>189</v>
      </c>
      <c r="B101" s="41"/>
      <c r="C101" s="42">
        <f>AVERAGE(C45:C56)</f>
        <v>158575.83333333334</v>
      </c>
      <c r="D101" s="42">
        <f t="shared" ref="D101:Y101" si="54">AVERAGE(D45:D56)</f>
        <v>19519.25</v>
      </c>
      <c r="E101" s="42">
        <f t="shared" si="54"/>
        <v>56061.25</v>
      </c>
      <c r="F101" s="42">
        <f t="shared" si="54"/>
        <v>1544.1666666666667</v>
      </c>
      <c r="G101" s="42">
        <f t="shared" si="54"/>
        <v>235700.5</v>
      </c>
      <c r="H101" s="42">
        <f t="shared" si="54"/>
        <v>66123.083333333328</v>
      </c>
      <c r="I101" s="42">
        <f t="shared" si="54"/>
        <v>150486.33333333334</v>
      </c>
      <c r="J101" s="42">
        <f t="shared" si="54"/>
        <v>22946.333333333332</v>
      </c>
      <c r="K101" s="42">
        <f t="shared" si="54"/>
        <v>635808</v>
      </c>
      <c r="L101" s="42">
        <f>AVERAGE(L48:L60)</f>
        <v>1786.4166666666667</v>
      </c>
      <c r="M101" s="42">
        <f t="shared" si="54"/>
        <v>48512.25</v>
      </c>
      <c r="N101" s="42">
        <f t="shared" si="54"/>
        <v>859292.91666666663</v>
      </c>
      <c r="O101" s="42">
        <f t="shared" si="54"/>
        <v>152122.58333333334</v>
      </c>
      <c r="P101" s="42">
        <f t="shared" si="54"/>
        <v>445551.08333333331</v>
      </c>
      <c r="Q101" s="42">
        <f t="shared" si="54"/>
        <v>16750.833333333332</v>
      </c>
      <c r="R101" s="42">
        <f t="shared" si="54"/>
        <v>614424.5</v>
      </c>
      <c r="S101" s="42">
        <f t="shared" si="54"/>
        <v>1775541</v>
      </c>
      <c r="T101" s="42">
        <f t="shared" si="54"/>
        <v>89148.75</v>
      </c>
      <c r="U101" s="42">
        <f t="shared" si="54"/>
        <v>80226.25</v>
      </c>
      <c r="V101" s="42">
        <f t="shared" si="54"/>
        <v>1928.5</v>
      </c>
      <c r="W101" s="42">
        <f t="shared" si="54"/>
        <v>2452.5</v>
      </c>
      <c r="X101" s="42">
        <f t="shared" si="54"/>
        <v>173756</v>
      </c>
      <c r="Y101" s="42">
        <f t="shared" si="54"/>
        <v>1949297</v>
      </c>
    </row>
    <row r="102" spans="1:25" s="6" customFormat="1" x14ac:dyDescent="0.25">
      <c r="A102" s="41" t="s">
        <v>223</v>
      </c>
      <c r="B102" s="41"/>
      <c r="C102" s="42">
        <f>AVERAGE(C58:C69)</f>
        <v>159341.91666666666</v>
      </c>
      <c r="D102" s="42">
        <f t="shared" ref="D102:Y102" si="55">AVERAGE(D58:D69)</f>
        <v>19850.416666666668</v>
      </c>
      <c r="E102" s="42">
        <f t="shared" si="55"/>
        <v>58880.083333333336</v>
      </c>
      <c r="F102" s="42">
        <f t="shared" si="55"/>
        <v>1655.5833333333333</v>
      </c>
      <c r="G102" s="42">
        <f t="shared" si="55"/>
        <v>239728</v>
      </c>
      <c r="H102" s="42">
        <f t="shared" si="55"/>
        <v>64920.083333333336</v>
      </c>
      <c r="I102" s="42">
        <f t="shared" si="55"/>
        <v>160855.16666666666</v>
      </c>
      <c r="J102" s="42">
        <f t="shared" si="55"/>
        <v>25504.166666666668</v>
      </c>
      <c r="K102" s="42">
        <f t="shared" si="55"/>
        <v>672106.08333333337</v>
      </c>
      <c r="L102" s="42">
        <f>AVERAGE(L62:L73)</f>
        <v>11354.363636363636</v>
      </c>
      <c r="M102" s="42">
        <f t="shared" si="55"/>
        <v>50089.5</v>
      </c>
      <c r="N102" s="42">
        <f t="shared" si="55"/>
        <v>916305.41666666663</v>
      </c>
      <c r="O102" s="42">
        <f t="shared" si="55"/>
        <v>164755.83333333334</v>
      </c>
      <c r="P102" s="42">
        <f t="shared" si="55"/>
        <v>528410.16666666663</v>
      </c>
      <c r="Q102" s="42">
        <f t="shared" si="55"/>
        <v>21146.166666666668</v>
      </c>
      <c r="R102" s="42">
        <f t="shared" si="55"/>
        <v>714312.16666666663</v>
      </c>
      <c r="S102" s="42">
        <f t="shared" si="55"/>
        <v>1935265.6666666667</v>
      </c>
      <c r="T102" s="42">
        <f t="shared" si="55"/>
        <v>101018.41666666667</v>
      </c>
      <c r="U102" s="42">
        <f t="shared" si="55"/>
        <v>81322.666666666672</v>
      </c>
      <c r="V102" s="42">
        <f t="shared" si="55"/>
        <v>2810.25</v>
      </c>
      <c r="W102" s="42">
        <f t="shared" si="55"/>
        <v>4562.166666666667</v>
      </c>
      <c r="X102" s="42">
        <f t="shared" si="55"/>
        <v>189713.5</v>
      </c>
      <c r="Y102" s="42">
        <f t="shared" si="55"/>
        <v>2124979.1666666665</v>
      </c>
    </row>
    <row r="103" spans="1:25" s="6" customFormat="1" x14ac:dyDescent="0.25">
      <c r="A103" s="41" t="s">
        <v>381</v>
      </c>
      <c r="B103" s="41"/>
      <c r="C103" s="42">
        <f t="shared" ref="C103:K103" si="56">AVERAGE(C71:C82)</f>
        <v>148845</v>
      </c>
      <c r="D103" s="42">
        <f t="shared" si="56"/>
        <v>19766.5</v>
      </c>
      <c r="E103" s="42">
        <f t="shared" si="56"/>
        <v>60485.583333333336</v>
      </c>
      <c r="F103" s="42">
        <f t="shared" si="56"/>
        <v>1776.6666666666667</v>
      </c>
      <c r="G103" s="42">
        <f t="shared" si="56"/>
        <v>230873.75</v>
      </c>
      <c r="H103" s="42">
        <f t="shared" si="56"/>
        <v>64000</v>
      </c>
      <c r="I103" s="42">
        <f t="shared" si="56"/>
        <v>150501.91666666666</v>
      </c>
      <c r="J103" s="42">
        <f t="shared" si="56"/>
        <v>29753.416666666668</v>
      </c>
      <c r="K103" s="42">
        <f t="shared" si="56"/>
        <v>631480.08333333337</v>
      </c>
      <c r="L103" s="42">
        <f>AVERAGE(L75:L97)</f>
        <v>20896.375</v>
      </c>
      <c r="M103" s="42">
        <f>AVERAGE(M71:M82)</f>
        <v>53995.75</v>
      </c>
      <c r="N103" s="42">
        <f>AVERAGE(N71:N81)</f>
        <v>888937.09090909094</v>
      </c>
      <c r="O103" s="42">
        <f>AVERAGE(O71:O82)</f>
        <v>149889</v>
      </c>
      <c r="P103" s="42">
        <f>AVERAGE(P71:P82)</f>
        <v>529080.08333333337</v>
      </c>
      <c r="Q103" s="42">
        <f>AVERAGE(Q71:Q82)</f>
        <v>32320.666666666668</v>
      </c>
      <c r="R103" s="42">
        <f>AVERAGE(R71:R82)</f>
        <v>711289.75</v>
      </c>
      <c r="S103" s="42">
        <f>AVERAGE(S71:S82)</f>
        <v>1890916.75</v>
      </c>
      <c r="T103" s="42">
        <f>AVERAGE(T71:T81)</f>
        <v>96707.272727272721</v>
      </c>
      <c r="U103" s="42">
        <f>AVERAGE(U71:U82)</f>
        <v>92961.166666666672</v>
      </c>
      <c r="V103" s="42">
        <f>AVERAGE(V71:V82)</f>
        <v>3549.5833333333335</v>
      </c>
      <c r="W103" s="42">
        <f>AVERAGE(W71:W81)</f>
        <v>4454</v>
      </c>
      <c r="X103" s="42">
        <f>AVERAGE(X71:X82)</f>
        <v>197316.08333333334</v>
      </c>
      <c r="Y103" s="42">
        <f>AVERAGE(Y71:Y82)</f>
        <v>2088232.8333333333</v>
      </c>
    </row>
    <row r="104" spans="1:25" s="6" customFormat="1" ht="27.6" hidden="1" customHeight="1" x14ac:dyDescent="0.25">
      <c r="A104" s="147" t="s">
        <v>105</v>
      </c>
      <c r="B104" s="22"/>
      <c r="H104" s="40"/>
      <c r="V104" s="39"/>
      <c r="Y104" s="23"/>
    </row>
    <row r="105" spans="1:25" s="6" customFormat="1" ht="12.75" hidden="1" customHeight="1" x14ac:dyDescent="0.25">
      <c r="A105" s="28" t="s">
        <v>340</v>
      </c>
      <c r="B105" s="29"/>
      <c r="C105" s="31">
        <f>IF((G105-D105-E105)&gt;C6,C6,G105-D105-E105)</f>
        <v>153727</v>
      </c>
      <c r="D105" s="24">
        <v>12581</v>
      </c>
      <c r="E105" s="24">
        <v>39226</v>
      </c>
      <c r="F105" s="24">
        <v>0</v>
      </c>
      <c r="G105" s="106">
        <f>212460-(1958+873+33)</f>
        <v>209596</v>
      </c>
      <c r="H105" s="31">
        <v>0</v>
      </c>
      <c r="I105" s="24">
        <f>117604+1958-J105</f>
        <v>106120</v>
      </c>
      <c r="J105" s="24">
        <v>13442</v>
      </c>
      <c r="K105" s="24">
        <f>481394+876</f>
        <v>482270</v>
      </c>
      <c r="L105" s="24">
        <v>0</v>
      </c>
      <c r="M105" s="24">
        <v>0</v>
      </c>
      <c r="N105" s="1">
        <f t="shared" ref="N105:N118" si="57">SUM(H105:M105)</f>
        <v>601832</v>
      </c>
      <c r="O105" s="24"/>
      <c r="P105" s="24"/>
      <c r="Q105" s="24">
        <v>0</v>
      </c>
      <c r="R105" s="24">
        <v>0</v>
      </c>
      <c r="S105" s="105">
        <f t="shared" ref="S105:S110" si="58">G105+N105+Q105</f>
        <v>811428</v>
      </c>
      <c r="T105" s="38">
        <f>60969+33</f>
        <v>61002</v>
      </c>
      <c r="U105" s="38">
        <v>68061</v>
      </c>
      <c r="V105" s="38">
        <v>992</v>
      </c>
      <c r="W105" s="38">
        <v>0</v>
      </c>
      <c r="X105" s="105">
        <f t="shared" ref="X105:X116" si="59">SUM(T105:V105)</f>
        <v>130055</v>
      </c>
      <c r="Y105" s="103">
        <f t="shared" ref="Y105:Y116" si="60">X105+S105</f>
        <v>941483</v>
      </c>
    </row>
    <row r="106" spans="1:25" s="6" customFormat="1" ht="12.75" hidden="1" customHeight="1" x14ac:dyDescent="0.25">
      <c r="A106" s="28" t="s">
        <v>341</v>
      </c>
      <c r="B106" s="29"/>
      <c r="C106" s="31">
        <f>IF((G106-D106-E106)&gt;C7,C7,G106-D106-E106)</f>
        <v>150069</v>
      </c>
      <c r="D106" s="24">
        <v>19577</v>
      </c>
      <c r="E106" s="24">
        <v>40097</v>
      </c>
      <c r="F106" s="24">
        <v>0</v>
      </c>
      <c r="G106" s="106">
        <f>212601-(1958+868+32)</f>
        <v>209743</v>
      </c>
      <c r="H106" s="31">
        <v>0</v>
      </c>
      <c r="I106" s="24">
        <f>85246+34407+1958-J106</f>
        <v>107847</v>
      </c>
      <c r="J106" s="24">
        <v>13764</v>
      </c>
      <c r="K106" s="24">
        <f>369645+114856+868</f>
        <v>485369</v>
      </c>
      <c r="L106" s="24">
        <v>0</v>
      </c>
      <c r="M106" s="24">
        <v>0</v>
      </c>
      <c r="N106" s="1">
        <f t="shared" si="57"/>
        <v>606980</v>
      </c>
      <c r="O106" s="24"/>
      <c r="P106" s="24"/>
      <c r="Q106" s="24">
        <v>0</v>
      </c>
      <c r="R106" s="24">
        <v>0</v>
      </c>
      <c r="S106" s="105">
        <f t="shared" si="58"/>
        <v>816723</v>
      </c>
      <c r="T106" s="38">
        <f>48947+12140+32</f>
        <v>61119</v>
      </c>
      <c r="U106" s="38">
        <f>55546+12263</f>
        <v>67809</v>
      </c>
      <c r="V106" s="38">
        <f>757+236</f>
        <v>993</v>
      </c>
      <c r="W106" s="38">
        <v>0</v>
      </c>
      <c r="X106" s="105">
        <f t="shared" si="59"/>
        <v>129921</v>
      </c>
      <c r="Y106" s="103">
        <f t="shared" si="60"/>
        <v>946644</v>
      </c>
    </row>
    <row r="107" spans="1:25" s="6" customFormat="1" ht="12.75" hidden="1" customHeight="1" x14ac:dyDescent="0.25">
      <c r="A107" s="28" t="s">
        <v>342</v>
      </c>
      <c r="B107" s="29"/>
      <c r="C107" s="31">
        <f>IF((G107-D107-E107)&gt;C8,C8,G107-D107-E107)</f>
        <v>149378</v>
      </c>
      <c r="D107" s="24">
        <v>19789</v>
      </c>
      <c r="E107" s="24">
        <v>40410</v>
      </c>
      <c r="F107" s="24">
        <v>0</v>
      </c>
      <c r="G107" s="106">
        <f>212433-(1948+875+33)</f>
        <v>209577</v>
      </c>
      <c r="H107" s="31">
        <v>0</v>
      </c>
      <c r="I107" s="24">
        <f>53558+68627+1948-J107</f>
        <v>109917</v>
      </c>
      <c r="J107" s="24">
        <v>14216</v>
      </c>
      <c r="K107" s="24">
        <f>248664+240064+875</f>
        <v>489603</v>
      </c>
      <c r="L107" s="24">
        <v>0</v>
      </c>
      <c r="M107" s="24">
        <v>0</v>
      </c>
      <c r="N107" s="1">
        <f t="shared" si="57"/>
        <v>613736</v>
      </c>
      <c r="O107" s="24"/>
      <c r="P107" s="24"/>
      <c r="Q107" s="24">
        <v>0</v>
      </c>
      <c r="R107" s="24">
        <v>0</v>
      </c>
      <c r="S107" s="105">
        <f t="shared" si="58"/>
        <v>823313</v>
      </c>
      <c r="T107" s="38">
        <f>35358+26064+33</f>
        <v>61455</v>
      </c>
      <c r="U107" s="38">
        <f>40774+27606</f>
        <v>68380</v>
      </c>
      <c r="V107" s="38">
        <f>552+469</f>
        <v>1021</v>
      </c>
      <c r="W107" s="38">
        <v>0</v>
      </c>
      <c r="X107" s="105">
        <f t="shared" si="59"/>
        <v>130856</v>
      </c>
      <c r="Y107" s="103">
        <f t="shared" si="60"/>
        <v>954169</v>
      </c>
    </row>
    <row r="108" spans="1:25" s="6" customFormat="1" ht="12.75" hidden="1" customHeight="1" x14ac:dyDescent="0.25">
      <c r="A108" s="28" t="s">
        <v>343</v>
      </c>
      <c r="B108" s="29"/>
      <c r="C108" s="31">
        <f>IF((G108-D108-E108)&gt;C9,C9,G108-D108-E108)</f>
        <v>149606</v>
      </c>
      <c r="D108" s="24">
        <v>19957</v>
      </c>
      <c r="E108" s="24">
        <v>40141</v>
      </c>
      <c r="F108" s="24">
        <v>0</v>
      </c>
      <c r="G108" s="106">
        <f>212513-(1962+808+39)</f>
        <v>209704</v>
      </c>
      <c r="H108" s="31">
        <v>0</v>
      </c>
      <c r="I108" s="24">
        <f>(34225+89322+1962)-J108</f>
        <v>111397</v>
      </c>
      <c r="J108" s="24">
        <f>3788+10324</f>
        <v>14112</v>
      </c>
      <c r="K108" s="24">
        <f>132076+360915+808</f>
        <v>493799</v>
      </c>
      <c r="L108" s="24">
        <v>0</v>
      </c>
      <c r="M108" s="24">
        <v>0</v>
      </c>
      <c r="N108" s="1">
        <f t="shared" si="57"/>
        <v>619308</v>
      </c>
      <c r="O108" s="24"/>
      <c r="P108" s="24"/>
      <c r="Q108" s="24">
        <v>0</v>
      </c>
      <c r="R108" s="24">
        <v>0</v>
      </c>
      <c r="S108" s="105">
        <f t="shared" si="58"/>
        <v>829012</v>
      </c>
      <c r="T108" s="38">
        <f>15305+46709+39</f>
        <v>62053</v>
      </c>
      <c r="U108" s="38">
        <f>16259+52619</f>
        <v>68878</v>
      </c>
      <c r="V108" s="38">
        <f>226+814</f>
        <v>1040</v>
      </c>
      <c r="W108" s="38">
        <v>0</v>
      </c>
      <c r="X108" s="105">
        <f t="shared" si="59"/>
        <v>131971</v>
      </c>
      <c r="Y108" s="103">
        <f t="shared" si="60"/>
        <v>960983</v>
      </c>
    </row>
    <row r="109" spans="1:25" s="6" customFormat="1" ht="12.75" hidden="1" customHeight="1" x14ac:dyDescent="0.25">
      <c r="A109" s="28" t="s">
        <v>344</v>
      </c>
      <c r="B109" s="29"/>
      <c r="C109" s="31">
        <f>IF((G109-D109-E109)&gt;C10,C10,G109-D109-E109)</f>
        <v>149253</v>
      </c>
      <c r="D109" s="24">
        <v>20206</v>
      </c>
      <c r="E109" s="24">
        <v>40480</v>
      </c>
      <c r="F109" s="24">
        <v>0</v>
      </c>
      <c r="G109" s="106">
        <f>212737-(1933+821+44)</f>
        <v>209939</v>
      </c>
      <c r="H109" s="31">
        <v>0</v>
      </c>
      <c r="I109" s="24">
        <f>(20316+104734+1933)-J109</f>
        <v>112788</v>
      </c>
      <c r="J109" s="24">
        <f>2104+11998+93</f>
        <v>14195</v>
      </c>
      <c r="K109" s="24">
        <f>76673+420655+821</f>
        <v>498149</v>
      </c>
      <c r="L109" s="24">
        <v>0</v>
      </c>
      <c r="M109" s="24">
        <v>0</v>
      </c>
      <c r="N109" s="1">
        <f t="shared" si="57"/>
        <v>625132</v>
      </c>
      <c r="O109" s="24"/>
      <c r="P109" s="24"/>
      <c r="Q109" s="24">
        <v>0</v>
      </c>
      <c r="R109" s="24">
        <v>0</v>
      </c>
      <c r="S109" s="105">
        <f t="shared" si="58"/>
        <v>835071</v>
      </c>
      <c r="T109" s="38">
        <f>8056+54673+44</f>
        <v>62773</v>
      </c>
      <c r="U109" s="38">
        <f>8511+60887</f>
        <v>69398</v>
      </c>
      <c r="V109" s="38">
        <f>104+938</f>
        <v>1042</v>
      </c>
      <c r="W109" s="38">
        <v>0</v>
      </c>
      <c r="X109" s="105">
        <f t="shared" si="59"/>
        <v>133213</v>
      </c>
      <c r="Y109" s="103">
        <f t="shared" si="60"/>
        <v>968284</v>
      </c>
    </row>
    <row r="110" spans="1:25" s="6" customFormat="1" ht="12.75" hidden="1" customHeight="1" x14ac:dyDescent="0.25">
      <c r="A110" s="28" t="s">
        <v>345</v>
      </c>
      <c r="B110" s="29"/>
      <c r="C110" s="31">
        <f>IF((G110-D110-E110)&gt;C11,C11,G110-D110-E110)</f>
        <v>144416</v>
      </c>
      <c r="D110" s="24">
        <v>20594</v>
      </c>
      <c r="E110" s="24">
        <v>40883</v>
      </c>
      <c r="F110" s="24">
        <v>0</v>
      </c>
      <c r="G110" s="106">
        <f>208726-(2003+46+784)</f>
        <v>205893</v>
      </c>
      <c r="H110" s="31">
        <v>0</v>
      </c>
      <c r="I110" s="24">
        <f>(126579+2003)-J110</f>
        <v>114253</v>
      </c>
      <c r="J110" s="24">
        <f>105+14224</f>
        <v>14329</v>
      </c>
      <c r="K110" s="24">
        <f>500403+784</f>
        <v>501187</v>
      </c>
      <c r="L110" s="24">
        <v>0</v>
      </c>
      <c r="M110" s="24">
        <v>0</v>
      </c>
      <c r="N110" s="1">
        <f t="shared" si="57"/>
        <v>629769</v>
      </c>
      <c r="O110" s="24"/>
      <c r="P110" s="24"/>
      <c r="Q110" s="24">
        <v>0</v>
      </c>
      <c r="R110" s="24">
        <v>0</v>
      </c>
      <c r="S110" s="105">
        <f t="shared" si="58"/>
        <v>835662</v>
      </c>
      <c r="T110" s="38">
        <f>46+63172</f>
        <v>63218</v>
      </c>
      <c r="U110" s="38">
        <f>69525</f>
        <v>69525</v>
      </c>
      <c r="V110" s="38">
        <v>1053</v>
      </c>
      <c r="W110" s="38">
        <v>0</v>
      </c>
      <c r="X110" s="105">
        <f t="shared" si="59"/>
        <v>133796</v>
      </c>
      <c r="Y110" s="103">
        <f t="shared" si="60"/>
        <v>969458</v>
      </c>
    </row>
    <row r="111" spans="1:25" s="6" customFormat="1" ht="12.75" hidden="1" customHeight="1" x14ac:dyDescent="0.25">
      <c r="A111" s="28" t="s">
        <v>346</v>
      </c>
      <c r="B111" s="29"/>
      <c r="C111" s="31">
        <f>IF((G111-D111-E111)&gt;C12,C12,G111-D111-E111)</f>
        <v>151377</v>
      </c>
      <c r="D111" s="24">
        <v>20825</v>
      </c>
      <c r="E111" s="24">
        <v>41730</v>
      </c>
      <c r="F111" s="24">
        <v>0</v>
      </c>
      <c r="G111" s="106">
        <f>239147-(2173+51+831+22160)</f>
        <v>213932</v>
      </c>
      <c r="H111" s="31">
        <v>0</v>
      </c>
      <c r="I111" s="24">
        <f>(121478+2173)-J111</f>
        <v>109443</v>
      </c>
      <c r="J111" s="24">
        <f>14087+121</f>
        <v>14208</v>
      </c>
      <c r="K111" s="24">
        <f>501381+831</f>
        <v>502212</v>
      </c>
      <c r="L111" s="24">
        <v>0</v>
      </c>
      <c r="M111" s="24">
        <v>0</v>
      </c>
      <c r="N111" s="1">
        <f t="shared" si="57"/>
        <v>625863</v>
      </c>
      <c r="O111" s="24">
        <f>932+41231+444+28110</f>
        <v>70717</v>
      </c>
      <c r="P111" s="24">
        <f>20220+64792+564+20904</f>
        <v>106480</v>
      </c>
      <c r="Q111" s="24">
        <v>0</v>
      </c>
      <c r="R111" s="106">
        <f t="shared" ref="R111:R116" si="61">SUM(O111:P111)</f>
        <v>177197</v>
      </c>
      <c r="S111" s="105">
        <f t="shared" ref="S111:S116" si="62">G111+N111+R111</f>
        <v>1016992</v>
      </c>
      <c r="T111" s="38">
        <f>64010+51</f>
        <v>64061</v>
      </c>
      <c r="U111" s="38">
        <f>70990</f>
        <v>70990</v>
      </c>
      <c r="V111" s="38">
        <v>1164</v>
      </c>
      <c r="W111" s="38">
        <v>0</v>
      </c>
      <c r="X111" s="105">
        <f t="shared" si="59"/>
        <v>136215</v>
      </c>
      <c r="Y111" s="103">
        <f t="shared" si="60"/>
        <v>1153207</v>
      </c>
    </row>
    <row r="112" spans="1:25" s="6" customFormat="1" ht="12.75" hidden="1" customHeight="1" x14ac:dyDescent="0.25">
      <c r="A112" s="28" t="s">
        <v>347</v>
      </c>
      <c r="B112" s="29"/>
      <c r="C112" s="31">
        <f>IF((G112-D112-E112)&gt;C13,C13,G112-D112-E112)</f>
        <v>150247</v>
      </c>
      <c r="D112" s="24">
        <v>21268</v>
      </c>
      <c r="E112" s="24">
        <v>41991</v>
      </c>
      <c r="F112" s="24">
        <v>0</v>
      </c>
      <c r="G112" s="106">
        <f>240415-(23860+2188+50+811)</f>
        <v>213506</v>
      </c>
      <c r="H112" s="31">
        <v>0</v>
      </c>
      <c r="I112" s="24">
        <f>119763+2188-J112</f>
        <v>107880</v>
      </c>
      <c r="J112" s="24">
        <f>13960+111</f>
        <v>14071</v>
      </c>
      <c r="K112" s="24">
        <f>503302+811</f>
        <v>504113</v>
      </c>
      <c r="L112" s="24">
        <v>0</v>
      </c>
      <c r="M112" s="24">
        <v>0</v>
      </c>
      <c r="N112" s="1">
        <f t="shared" si="57"/>
        <v>626064</v>
      </c>
      <c r="O112" s="24">
        <f>1112+46782+504+32428</f>
        <v>80826</v>
      </c>
      <c r="P112" s="24">
        <f>21408+81636+836+25874</f>
        <v>129754</v>
      </c>
      <c r="Q112" s="24">
        <v>0</v>
      </c>
      <c r="R112" s="106">
        <f t="shared" si="61"/>
        <v>210580</v>
      </c>
      <c r="S112" s="105">
        <f t="shared" si="62"/>
        <v>1050150</v>
      </c>
      <c r="T112" s="38">
        <f>64733+50</f>
        <v>64783</v>
      </c>
      <c r="U112" s="38">
        <f>71450</f>
        <v>71450</v>
      </c>
      <c r="V112" s="38">
        <v>1189</v>
      </c>
      <c r="W112" s="38">
        <v>0</v>
      </c>
      <c r="X112" s="105">
        <f t="shared" si="59"/>
        <v>137422</v>
      </c>
      <c r="Y112" s="103">
        <f t="shared" si="60"/>
        <v>1187572</v>
      </c>
    </row>
    <row r="113" spans="1:25" s="6" customFormat="1" ht="12.75" hidden="1" customHeight="1" x14ac:dyDescent="0.25">
      <c r="A113" s="28" t="s">
        <v>348</v>
      </c>
      <c r="B113" s="29"/>
      <c r="C113" s="31">
        <f>IF((G113-D113-E113)&gt;C14,C14,G113-D113-E113)</f>
        <v>149303</v>
      </c>
      <c r="D113" s="24">
        <v>21575</v>
      </c>
      <c r="E113" s="24">
        <v>42256</v>
      </c>
      <c r="F113" s="24">
        <v>0</v>
      </c>
      <c r="G113" s="106">
        <f>240896-(24730+2186+49+797)</f>
        <v>213134</v>
      </c>
      <c r="H113" s="31">
        <v>0</v>
      </c>
      <c r="I113" s="24">
        <f>117744+2186-J113</f>
        <v>106117</v>
      </c>
      <c r="J113" s="24">
        <f>13688+125</f>
        <v>13813</v>
      </c>
      <c r="K113" s="24">
        <f>503377+797</f>
        <v>504174</v>
      </c>
      <c r="L113" s="24">
        <v>0</v>
      </c>
      <c r="M113" s="24">
        <v>0</v>
      </c>
      <c r="N113" s="1">
        <f t="shared" si="57"/>
        <v>624104</v>
      </c>
      <c r="O113" s="24">
        <f>1168+49861+540+34253</f>
        <v>85822</v>
      </c>
      <c r="P113" s="24">
        <f>21949+90926+1073+27367</f>
        <v>141315</v>
      </c>
      <c r="Q113" s="24">
        <v>0</v>
      </c>
      <c r="R113" s="106">
        <f t="shared" si="61"/>
        <v>227137</v>
      </c>
      <c r="S113" s="105">
        <f t="shared" si="62"/>
        <v>1064375</v>
      </c>
      <c r="T113" s="38">
        <f>49+64672</f>
        <v>64721</v>
      </c>
      <c r="U113" s="38">
        <f>71131</f>
        <v>71131</v>
      </c>
      <c r="V113" s="38">
        <v>1195</v>
      </c>
      <c r="W113" s="38">
        <v>0</v>
      </c>
      <c r="X113" s="105">
        <f t="shared" si="59"/>
        <v>137047</v>
      </c>
      <c r="Y113" s="103">
        <f t="shared" si="60"/>
        <v>1201422</v>
      </c>
    </row>
    <row r="114" spans="1:25" s="6" customFormat="1" ht="12.75" hidden="1" customHeight="1" x14ac:dyDescent="0.25">
      <c r="A114" s="28" t="s">
        <v>349</v>
      </c>
      <c r="B114" s="29"/>
      <c r="C114" s="31">
        <f>IF((G114-D114-E114)&gt;C15,C15,G114-D114-E114)</f>
        <v>148833</v>
      </c>
      <c r="D114" s="24">
        <v>21925</v>
      </c>
      <c r="E114" s="24">
        <v>42615</v>
      </c>
      <c r="F114" s="24">
        <v>0</v>
      </c>
      <c r="G114" s="106">
        <f>241565-(25157+2187+49+799)</f>
        <v>213373</v>
      </c>
      <c r="H114" s="31">
        <v>0</v>
      </c>
      <c r="I114" s="24">
        <f>116514+2187-J114</f>
        <v>105141</v>
      </c>
      <c r="J114" s="24">
        <f>13438+122</f>
        <v>13560</v>
      </c>
      <c r="K114" s="24">
        <f>504498+799</f>
        <v>505297</v>
      </c>
      <c r="L114" s="24">
        <v>0</v>
      </c>
      <c r="M114" s="24">
        <v>0</v>
      </c>
      <c r="N114" s="1">
        <f t="shared" si="57"/>
        <v>623998</v>
      </c>
      <c r="O114" s="24">
        <f>1163+52484+516+35815</f>
        <v>89978</v>
      </c>
      <c r="P114" s="24">
        <f>22251+102161+1227+28898</f>
        <v>154537</v>
      </c>
      <c r="Q114" s="24">
        <v>0</v>
      </c>
      <c r="R114" s="106">
        <f t="shared" si="61"/>
        <v>244515</v>
      </c>
      <c r="S114" s="105">
        <f t="shared" si="62"/>
        <v>1081886</v>
      </c>
      <c r="T114" s="38">
        <f>64852+49</f>
        <v>64901</v>
      </c>
      <c r="U114" s="38">
        <v>70593</v>
      </c>
      <c r="V114" s="38">
        <v>1181</v>
      </c>
      <c r="W114" s="38">
        <v>0</v>
      </c>
      <c r="X114" s="105">
        <f t="shared" si="59"/>
        <v>136675</v>
      </c>
      <c r="Y114" s="103">
        <f t="shared" si="60"/>
        <v>1218561</v>
      </c>
    </row>
    <row r="115" spans="1:25" s="6" customFormat="1" ht="12.75" hidden="1" customHeight="1" x14ac:dyDescent="0.25">
      <c r="A115" s="28" t="s">
        <v>350</v>
      </c>
      <c r="B115" s="29"/>
      <c r="C115" s="31">
        <f>IF((G115-D115-E115)&gt;C16,C16,G115-D115-E115)</f>
        <v>148355</v>
      </c>
      <c r="D115" s="24">
        <v>22233</v>
      </c>
      <c r="E115" s="24">
        <v>42955</v>
      </c>
      <c r="F115" s="24">
        <v>0</v>
      </c>
      <c r="G115" s="106">
        <f>242423-(25866+2181+45+788)</f>
        <v>213543</v>
      </c>
      <c r="H115" s="31">
        <v>0</v>
      </c>
      <c r="I115" s="24">
        <f>115684+2181-J115</f>
        <v>104170</v>
      </c>
      <c r="J115" s="24">
        <v>13695</v>
      </c>
      <c r="K115" s="31">
        <f>507039+788</f>
        <v>507827</v>
      </c>
      <c r="L115" s="24">
        <v>0</v>
      </c>
      <c r="M115" s="24">
        <v>0</v>
      </c>
      <c r="N115" s="1">
        <f t="shared" si="57"/>
        <v>625692</v>
      </c>
      <c r="O115" s="24">
        <f>1186+55287+541+37539</f>
        <v>94553</v>
      </c>
      <c r="P115" s="24">
        <f>22713+112427+1426+30362</f>
        <v>166928</v>
      </c>
      <c r="Q115" s="24">
        <v>0</v>
      </c>
      <c r="R115" s="106">
        <f t="shared" si="61"/>
        <v>261481</v>
      </c>
      <c r="S115" s="105">
        <f t="shared" si="62"/>
        <v>1100716</v>
      </c>
      <c r="T115" s="38">
        <f>65185+45</f>
        <v>65230</v>
      </c>
      <c r="U115" s="38">
        <f>70939</f>
        <v>70939</v>
      </c>
      <c r="V115" s="38">
        <v>1202</v>
      </c>
      <c r="W115" s="38">
        <v>0</v>
      </c>
      <c r="X115" s="105">
        <f t="shared" si="59"/>
        <v>137371</v>
      </c>
      <c r="Y115" s="103">
        <f t="shared" si="60"/>
        <v>1238087</v>
      </c>
    </row>
    <row r="116" spans="1:25" s="6" customFormat="1" ht="12.75" hidden="1" customHeight="1" x14ac:dyDescent="0.25">
      <c r="A116" s="28" t="s">
        <v>351</v>
      </c>
      <c r="B116" s="29"/>
      <c r="C116" s="31">
        <f>IF((G116-D116-E116)&gt;C17,C17,G116-D116-E116)</f>
        <v>147887</v>
      </c>
      <c r="D116" s="24">
        <v>22516</v>
      </c>
      <c r="E116" s="24">
        <v>43330</v>
      </c>
      <c r="F116" s="24">
        <v>0</v>
      </c>
      <c r="G116" s="106">
        <f>243429-(26681+2193+48+774)</f>
        <v>213733</v>
      </c>
      <c r="H116" s="31">
        <v>0</v>
      </c>
      <c r="I116" s="24">
        <f>114823+2193-J116</f>
        <v>103219</v>
      </c>
      <c r="J116" s="24">
        <f>13667+130</f>
        <v>13797</v>
      </c>
      <c r="K116" s="31">
        <f>508828+774</f>
        <v>509602</v>
      </c>
      <c r="L116" s="24">
        <v>0</v>
      </c>
      <c r="M116" s="24">
        <v>0</v>
      </c>
      <c r="N116" s="1">
        <f t="shared" si="57"/>
        <v>626618</v>
      </c>
      <c r="O116" s="24">
        <f>1259+57468+563+38692</f>
        <v>97982</v>
      </c>
      <c r="P116" s="24">
        <f>23249+119881+1610+31413</f>
        <v>176153</v>
      </c>
      <c r="Q116" s="24">
        <v>0</v>
      </c>
      <c r="R116" s="106">
        <f t="shared" si="61"/>
        <v>274135</v>
      </c>
      <c r="S116" s="105">
        <f t="shared" si="62"/>
        <v>1114486</v>
      </c>
      <c r="T116" s="38">
        <f>65543+48</f>
        <v>65591</v>
      </c>
      <c r="U116" s="38">
        <f>71019</f>
        <v>71019</v>
      </c>
      <c r="V116" s="38">
        <v>1256</v>
      </c>
      <c r="W116" s="38">
        <v>0</v>
      </c>
      <c r="X116" s="105">
        <f t="shared" si="59"/>
        <v>137866</v>
      </c>
      <c r="Y116" s="103">
        <f t="shared" si="60"/>
        <v>1252352</v>
      </c>
    </row>
    <row r="117" spans="1:25" s="6" customFormat="1" ht="12.75" hidden="1" customHeight="1" x14ac:dyDescent="0.25">
      <c r="A117" s="28"/>
      <c r="B117" s="29"/>
      <c r="C117" s="24"/>
      <c r="D117" s="24"/>
      <c r="E117" s="24"/>
      <c r="F117" s="106"/>
      <c r="G117" s="31"/>
      <c r="H117" s="24"/>
      <c r="I117" s="24"/>
      <c r="J117" s="31"/>
      <c r="K117" s="24"/>
      <c r="L117" s="24"/>
      <c r="M117" s="1"/>
      <c r="N117" s="24"/>
      <c r="O117" s="24"/>
      <c r="P117" s="24"/>
      <c r="Q117" s="24">
        <v>0</v>
      </c>
      <c r="R117" s="102"/>
      <c r="S117" s="24"/>
      <c r="T117" s="38"/>
      <c r="U117" s="38"/>
      <c r="V117" s="38"/>
      <c r="W117" s="38"/>
      <c r="X117" s="105"/>
    </row>
    <row r="118" spans="1:25" s="24" customFormat="1" ht="12.75" hidden="1" customHeight="1" x14ac:dyDescent="0.25">
      <c r="A118" s="28" t="s">
        <v>161</v>
      </c>
      <c r="B118" s="29"/>
      <c r="C118" s="31">
        <f>IF((G118-D118-E118)&gt;C19,C19,G118-D118-E118)</f>
        <v>147214</v>
      </c>
      <c r="D118" s="24">
        <v>22801</v>
      </c>
      <c r="E118" s="24">
        <v>43623</v>
      </c>
      <c r="F118" s="24">
        <v>0</v>
      </c>
      <c r="G118" s="106">
        <f>244548-(27919+2176+52+763)</f>
        <v>213638</v>
      </c>
      <c r="H118" s="31">
        <v>0</v>
      </c>
      <c r="I118" s="24">
        <f>114294+2176-J118</f>
        <v>102779</v>
      </c>
      <c r="J118" s="24">
        <f>13565+126</f>
        <v>13691</v>
      </c>
      <c r="K118" s="31">
        <f>509258+763</f>
        <v>510021</v>
      </c>
      <c r="L118" s="24">
        <v>0</v>
      </c>
      <c r="M118" s="24">
        <v>0</v>
      </c>
      <c r="N118" s="1">
        <f t="shared" si="57"/>
        <v>626491</v>
      </c>
      <c r="O118" s="24">
        <f>1396+58367+693+39507</f>
        <v>99963</v>
      </c>
      <c r="P118" s="24">
        <f>23944+125462+1886+32314</f>
        <v>183606</v>
      </c>
      <c r="Q118" s="24">
        <v>0</v>
      </c>
      <c r="R118" s="106">
        <f>SUM(O118:P118)</f>
        <v>283569</v>
      </c>
      <c r="S118" s="1">
        <f>G118+N118+R118</f>
        <v>1123698</v>
      </c>
      <c r="T118" s="38">
        <f>65816+52</f>
        <v>65868</v>
      </c>
      <c r="U118" s="38">
        <v>71366</v>
      </c>
      <c r="V118" s="38">
        <v>1314</v>
      </c>
      <c r="W118" s="38">
        <v>0</v>
      </c>
      <c r="X118" s="105">
        <f>SUM(T118:V118)</f>
        <v>138548</v>
      </c>
      <c r="Y118" s="103">
        <f>X118+S118</f>
        <v>1262246</v>
      </c>
    </row>
    <row r="119" spans="1:25" s="24" customFormat="1" ht="12.75" hidden="1" customHeight="1" x14ac:dyDescent="0.25">
      <c r="A119" s="28" t="s">
        <v>162</v>
      </c>
      <c r="B119" s="29"/>
      <c r="C119" s="31">
        <f>IF((G119-D119-E119)&gt;C20,C20,G119-D119-E119)</f>
        <v>148197</v>
      </c>
      <c r="D119" s="24">
        <v>16871</v>
      </c>
      <c r="E119" s="24">
        <v>48104</v>
      </c>
      <c r="F119" s="24">
        <v>0</v>
      </c>
      <c r="G119" s="106">
        <f>244862-(28734+2156+52+748)</f>
        <v>213172</v>
      </c>
      <c r="H119" s="106">
        <v>0</v>
      </c>
      <c r="I119" s="31">
        <f>114027+2156-J119</f>
        <v>102700</v>
      </c>
      <c r="J119" s="24">
        <f>13370+113</f>
        <v>13483</v>
      </c>
      <c r="K119" s="31">
        <f>508438+748</f>
        <v>509186</v>
      </c>
      <c r="L119" s="24">
        <v>0</v>
      </c>
      <c r="M119" s="24">
        <v>0</v>
      </c>
      <c r="N119" s="102">
        <f t="shared" ref="N119:N129" si="63">SUM(I119:M119)</f>
        <v>625369</v>
      </c>
      <c r="O119" s="24">
        <f>1566+59081+753+40194</f>
        <v>101594</v>
      </c>
      <c r="P119" s="24">
        <f>24300+130932+2115+33173</f>
        <v>190520</v>
      </c>
      <c r="Q119" s="24">
        <v>0</v>
      </c>
      <c r="R119" s="106">
        <f t="shared" ref="R119:R129" si="64">SUM(O119:Q119)</f>
        <v>292114</v>
      </c>
      <c r="S119" s="105">
        <f t="shared" ref="S119:S129" si="65">G119+N119+R119+H119</f>
        <v>1130655</v>
      </c>
      <c r="T119" s="38">
        <f>65854+52+0</f>
        <v>65906</v>
      </c>
      <c r="U119" s="38">
        <v>71794</v>
      </c>
      <c r="V119" s="38">
        <v>1317</v>
      </c>
      <c r="W119" s="38">
        <v>0</v>
      </c>
      <c r="X119" s="105">
        <f t="shared" ref="X119:X181" si="66">SUM(T119:W119)</f>
        <v>139017</v>
      </c>
      <c r="Y119" s="103">
        <f t="shared" ref="Y119:Y129" si="67">X119+S119</f>
        <v>1269672</v>
      </c>
    </row>
    <row r="120" spans="1:25" s="24" customFormat="1" ht="12.75" hidden="1" customHeight="1" x14ac:dyDescent="0.25">
      <c r="A120" s="28" t="s">
        <v>163</v>
      </c>
      <c r="B120" s="29"/>
      <c r="C120" s="31">
        <f>IF((G120-D120-E120)&gt;C21,C21,G120-D120-E120)</f>
        <v>148208</v>
      </c>
      <c r="D120" s="24">
        <v>16760</v>
      </c>
      <c r="E120" s="24">
        <v>48340</v>
      </c>
      <c r="F120" s="24">
        <v>0</v>
      </c>
      <c r="G120" s="106">
        <f>242995-(26748+2141+49+749)</f>
        <v>213308</v>
      </c>
      <c r="H120" s="106">
        <v>0</v>
      </c>
      <c r="I120" s="31">
        <f>114260+2141-J120</f>
        <v>102808</v>
      </c>
      <c r="J120" s="24">
        <f>13479+114</f>
        <v>13593</v>
      </c>
      <c r="K120" s="31">
        <f>507575+749</f>
        <v>508324</v>
      </c>
      <c r="L120" s="24">
        <v>0</v>
      </c>
      <c r="M120" s="24">
        <v>0</v>
      </c>
      <c r="N120" s="102">
        <f t="shared" si="63"/>
        <v>624725</v>
      </c>
      <c r="O120" s="24">
        <f>1534+59690+713+40985</f>
        <v>102922</v>
      </c>
      <c r="P120" s="24">
        <f>22445+138825+2056+34348</f>
        <v>197674</v>
      </c>
      <c r="Q120" s="24">
        <v>0</v>
      </c>
      <c r="R120" s="106">
        <f t="shared" si="64"/>
        <v>300596</v>
      </c>
      <c r="S120" s="105">
        <f t="shared" si="65"/>
        <v>1138629</v>
      </c>
      <c r="T120" s="38">
        <f>65825+49+0</f>
        <v>65874</v>
      </c>
      <c r="U120" s="38">
        <v>72626</v>
      </c>
      <c r="V120" s="38">
        <v>1335</v>
      </c>
      <c r="W120" s="38">
        <v>0</v>
      </c>
      <c r="X120" s="105">
        <f t="shared" si="66"/>
        <v>139835</v>
      </c>
      <c r="Y120" s="103">
        <f t="shared" si="67"/>
        <v>1278464</v>
      </c>
    </row>
    <row r="121" spans="1:25" s="24" customFormat="1" ht="12.75" hidden="1" customHeight="1" x14ac:dyDescent="0.25">
      <c r="A121" s="28" t="s">
        <v>164</v>
      </c>
      <c r="B121" s="29"/>
      <c r="C121" s="31">
        <f>IF((G121-D121-E121)&gt;C22,C22,G121-D121-E121)</f>
        <v>148333</v>
      </c>
      <c r="D121" s="24">
        <v>16735</v>
      </c>
      <c r="E121" s="24">
        <v>48690</v>
      </c>
      <c r="F121" s="24">
        <v>0</v>
      </c>
      <c r="G121" s="106">
        <f>243395-(26672+2171+51+743)</f>
        <v>213758</v>
      </c>
      <c r="H121" s="106">
        <v>0</v>
      </c>
      <c r="I121" s="31">
        <f>115265+2171-J121</f>
        <v>104084</v>
      </c>
      <c r="J121" s="24">
        <f>13240+112</f>
        <v>13352</v>
      </c>
      <c r="K121" s="31">
        <f>509549+743</f>
        <v>510292</v>
      </c>
      <c r="L121" s="24">
        <v>0</v>
      </c>
      <c r="M121" s="24">
        <v>0</v>
      </c>
      <c r="N121" s="102">
        <f t="shared" si="63"/>
        <v>627728</v>
      </c>
      <c r="O121" s="24">
        <f>1601+61103+729+41960</f>
        <v>105393</v>
      </c>
      <c r="P121" s="24">
        <f>22241+145299+2101+35029</f>
        <v>204670</v>
      </c>
      <c r="Q121" s="24">
        <v>0</v>
      </c>
      <c r="R121" s="106">
        <f t="shared" si="64"/>
        <v>310063</v>
      </c>
      <c r="S121" s="105">
        <f t="shared" si="65"/>
        <v>1151549</v>
      </c>
      <c r="T121" s="38">
        <f>66379+51+0</f>
        <v>66430</v>
      </c>
      <c r="U121" s="38">
        <v>73483</v>
      </c>
      <c r="V121" s="38">
        <v>1375</v>
      </c>
      <c r="W121" s="38">
        <v>0</v>
      </c>
      <c r="X121" s="105">
        <f t="shared" si="66"/>
        <v>141288</v>
      </c>
      <c r="Y121" s="103">
        <f t="shared" si="67"/>
        <v>1292837</v>
      </c>
    </row>
    <row r="122" spans="1:25" s="24" customFormat="1" ht="12.75" hidden="1" customHeight="1" x14ac:dyDescent="0.25">
      <c r="A122" s="28" t="s">
        <v>165</v>
      </c>
      <c r="B122" s="29"/>
      <c r="C122" s="31">
        <f>IF((G122-D122-E122)&gt;C23,C23,G122-D122-E122)</f>
        <v>147699</v>
      </c>
      <c r="D122" s="24">
        <v>16854</v>
      </c>
      <c r="E122" s="24">
        <v>48885</v>
      </c>
      <c r="F122" s="24">
        <v>0</v>
      </c>
      <c r="G122" s="106">
        <f>243505-(27087+2182+49+749)</f>
        <v>213438</v>
      </c>
      <c r="H122" s="106">
        <v>0</v>
      </c>
      <c r="I122" s="31">
        <f>115349+2182-J122</f>
        <v>104543</v>
      </c>
      <c r="J122" s="24">
        <f>12886+102</f>
        <v>12988</v>
      </c>
      <c r="K122" s="31">
        <f>510167+749</f>
        <v>510916</v>
      </c>
      <c r="L122" s="24">
        <v>0</v>
      </c>
      <c r="M122" s="24">
        <v>0</v>
      </c>
      <c r="N122" s="102">
        <f t="shared" si="63"/>
        <v>628447</v>
      </c>
      <c r="O122" s="24">
        <f>1684+61498+730+42048</f>
        <v>105960</v>
      </c>
      <c r="P122" s="24">
        <f>22525+147312+2148+32616</f>
        <v>204601</v>
      </c>
      <c r="Q122" s="24">
        <v>0</v>
      </c>
      <c r="R122" s="106">
        <f t="shared" si="64"/>
        <v>310561</v>
      </c>
      <c r="S122" s="105">
        <f t="shared" si="65"/>
        <v>1152446</v>
      </c>
      <c r="T122" s="38">
        <f>66522+49+0</f>
        <v>66571</v>
      </c>
      <c r="U122" s="38">
        <v>73578</v>
      </c>
      <c r="V122" s="38">
        <v>1362</v>
      </c>
      <c r="W122" s="38">
        <v>0</v>
      </c>
      <c r="X122" s="105">
        <f t="shared" si="66"/>
        <v>141511</v>
      </c>
      <c r="Y122" s="103">
        <f t="shared" si="67"/>
        <v>1293957</v>
      </c>
    </row>
    <row r="123" spans="1:25" s="24" customFormat="1" ht="12.75" hidden="1" customHeight="1" x14ac:dyDescent="0.25">
      <c r="A123" s="28" t="s">
        <v>166</v>
      </c>
      <c r="B123" s="29"/>
      <c r="C123" s="31">
        <f>IF((G123-D123-E123)&gt;C24,C24,G123-D123-E123)</f>
        <v>147398</v>
      </c>
      <c r="D123" s="24">
        <v>16963</v>
      </c>
      <c r="E123" s="24">
        <v>49228</v>
      </c>
      <c r="F123" s="24">
        <v>0</v>
      </c>
      <c r="G123" s="106">
        <f>243987-(27406+2185+49+758)</f>
        <v>213589</v>
      </c>
      <c r="H123" s="106">
        <v>0</v>
      </c>
      <c r="I123" s="31">
        <f>115485+2185-J123</f>
        <v>104843</v>
      </c>
      <c r="J123" s="24">
        <f>12722+105</f>
        <v>12827</v>
      </c>
      <c r="K123" s="31">
        <f>512194+758</f>
        <v>512952</v>
      </c>
      <c r="L123" s="24">
        <v>0</v>
      </c>
      <c r="M123" s="24">
        <v>0</v>
      </c>
      <c r="N123" s="102">
        <f t="shared" si="63"/>
        <v>630622</v>
      </c>
      <c r="O123" s="24">
        <f>1692+62763+747+43581</f>
        <v>108783</v>
      </c>
      <c r="P123" s="24">
        <f>22710+152116+2257+34784</f>
        <v>211867</v>
      </c>
      <c r="Q123" s="24">
        <v>0</v>
      </c>
      <c r="R123" s="106">
        <f t="shared" si="64"/>
        <v>320650</v>
      </c>
      <c r="S123" s="105">
        <f t="shared" si="65"/>
        <v>1164861</v>
      </c>
      <c r="T123" s="38">
        <f>69030+49+0</f>
        <v>69079</v>
      </c>
      <c r="U123" s="38">
        <v>73411</v>
      </c>
      <c r="V123" s="38">
        <v>1453</v>
      </c>
      <c r="W123" s="38">
        <v>0</v>
      </c>
      <c r="X123" s="105">
        <f t="shared" si="66"/>
        <v>143943</v>
      </c>
      <c r="Y123" s="103">
        <f t="shared" si="67"/>
        <v>1308804</v>
      </c>
    </row>
    <row r="124" spans="1:25" s="24" customFormat="1" ht="12.75" hidden="1" customHeight="1" x14ac:dyDescent="0.25">
      <c r="A124" s="28" t="s">
        <v>167</v>
      </c>
      <c r="B124" s="29"/>
      <c r="C124" s="31">
        <f>IF((G124-D124-E124)&gt;C25,C25,G124-D124-E124)</f>
        <v>147415</v>
      </c>
      <c r="D124" s="24">
        <v>16969</v>
      </c>
      <c r="E124" s="24">
        <v>49300</v>
      </c>
      <c r="F124" s="24">
        <v>0</v>
      </c>
      <c r="G124" s="106">
        <f>245452-(28804+2163+50+751)</f>
        <v>213684</v>
      </c>
      <c r="H124" s="106">
        <v>0</v>
      </c>
      <c r="I124" s="31">
        <f>116103+2163-J124</f>
        <v>105631</v>
      </c>
      <c r="J124" s="24">
        <f>12532+103</f>
        <v>12635</v>
      </c>
      <c r="K124" s="31">
        <f>516914+751</f>
        <v>517665</v>
      </c>
      <c r="L124" s="24">
        <v>0</v>
      </c>
      <c r="M124" s="24">
        <v>0</v>
      </c>
      <c r="N124" s="102">
        <f t="shared" si="63"/>
        <v>635931</v>
      </c>
      <c r="O124" s="24">
        <f>1789+64936+824+46886</f>
        <v>114435</v>
      </c>
      <c r="P124" s="24">
        <f>23632+164869+2559+42381</f>
        <v>233441</v>
      </c>
      <c r="Q124" s="24">
        <v>0</v>
      </c>
      <c r="R124" s="106">
        <f t="shared" si="64"/>
        <v>347876</v>
      </c>
      <c r="S124" s="105">
        <f t="shared" si="65"/>
        <v>1197491</v>
      </c>
      <c r="T124" s="38">
        <f>73696+50+0</f>
        <v>73746</v>
      </c>
      <c r="U124" s="38">
        <v>73710</v>
      </c>
      <c r="V124" s="38">
        <v>1623</v>
      </c>
      <c r="W124" s="38">
        <v>0</v>
      </c>
      <c r="X124" s="105">
        <f t="shared" si="66"/>
        <v>149079</v>
      </c>
      <c r="Y124" s="103">
        <f t="shared" si="67"/>
        <v>1346570</v>
      </c>
    </row>
    <row r="125" spans="1:25" s="24" customFormat="1" ht="12.75" hidden="1" customHeight="1" x14ac:dyDescent="0.25">
      <c r="A125" s="28" t="s">
        <v>168</v>
      </c>
      <c r="B125" s="29"/>
      <c r="C125" s="31">
        <f>IF((G125-D125-E125)&gt;C26,C26,G125-D125-E125)</f>
        <v>146160</v>
      </c>
      <c r="D125" s="24">
        <v>16824</v>
      </c>
      <c r="E125" s="24">
        <v>49477</v>
      </c>
      <c r="F125" s="24">
        <v>0</v>
      </c>
      <c r="G125" s="106">
        <f>244668-(29298+2118+49+742)</f>
        <v>212461</v>
      </c>
      <c r="H125" s="106">
        <v>0</v>
      </c>
      <c r="I125" s="31">
        <f>115603+2118-J125</f>
        <v>105219</v>
      </c>
      <c r="J125" s="24">
        <f>12403+99</f>
        <v>12502</v>
      </c>
      <c r="K125" s="31">
        <f>515789+742</f>
        <v>516531</v>
      </c>
      <c r="L125" s="24">
        <v>0</v>
      </c>
      <c r="M125" s="24">
        <v>0</v>
      </c>
      <c r="N125" s="102">
        <f t="shared" si="63"/>
        <v>634252</v>
      </c>
      <c r="O125" s="24">
        <f>1816+65446+870+47874</f>
        <v>116006</v>
      </c>
      <c r="P125" s="24">
        <f>23917+169177+2695+44094</f>
        <v>239883</v>
      </c>
      <c r="Q125" s="24">
        <v>0</v>
      </c>
      <c r="R125" s="106">
        <f t="shared" si="64"/>
        <v>355889</v>
      </c>
      <c r="S125" s="105">
        <f t="shared" si="65"/>
        <v>1202602</v>
      </c>
      <c r="T125" s="38">
        <f>74413+49+0</f>
        <v>74462</v>
      </c>
      <c r="U125" s="38">
        <v>73929</v>
      </c>
      <c r="V125" s="38">
        <v>1581</v>
      </c>
      <c r="W125" s="38">
        <v>0</v>
      </c>
      <c r="X125" s="105">
        <f t="shared" si="66"/>
        <v>149972</v>
      </c>
      <c r="Y125" s="103">
        <f t="shared" si="67"/>
        <v>1352574</v>
      </c>
    </row>
    <row r="126" spans="1:25" s="24" customFormat="1" ht="12.75" hidden="1" customHeight="1" x14ac:dyDescent="0.25">
      <c r="A126" s="28" t="s">
        <v>169</v>
      </c>
      <c r="B126" s="29"/>
      <c r="C126" s="31">
        <f>IF((G126-D126-E126)&gt;C27,C27,G126-D126-E126)</f>
        <v>146551</v>
      </c>
      <c r="D126" s="24">
        <v>16687</v>
      </c>
      <c r="E126" s="24">
        <v>49495</v>
      </c>
      <c r="F126" s="24">
        <v>0</v>
      </c>
      <c r="G126" s="106">
        <f>245272-(29622+2120+53+744)</f>
        <v>212733</v>
      </c>
      <c r="H126" s="106">
        <v>0</v>
      </c>
      <c r="I126" s="31">
        <f>116356+2120-J126</f>
        <v>105880</v>
      </c>
      <c r="J126" s="24">
        <f>12494+102</f>
        <v>12596</v>
      </c>
      <c r="K126" s="31">
        <f>517825+744</f>
        <v>518569</v>
      </c>
      <c r="L126" s="24">
        <v>0</v>
      </c>
      <c r="M126" s="24">
        <v>0</v>
      </c>
      <c r="N126" s="102">
        <f t="shared" si="63"/>
        <v>637045</v>
      </c>
      <c r="O126" s="24">
        <f>1811+65960+922+48197</f>
        <v>116890</v>
      </c>
      <c r="P126" s="24">
        <f>24111+174048+2778+44728</f>
        <v>245665</v>
      </c>
      <c r="Q126" s="24">
        <v>0</v>
      </c>
      <c r="R126" s="106">
        <f t="shared" si="64"/>
        <v>362555</v>
      </c>
      <c r="S126" s="105">
        <f t="shared" si="65"/>
        <v>1212333</v>
      </c>
      <c r="T126" s="38">
        <f>74679+53+0</f>
        <v>74732</v>
      </c>
      <c r="U126" s="38">
        <v>74494</v>
      </c>
      <c r="V126" s="38">
        <v>1496</v>
      </c>
      <c r="W126" s="38">
        <v>0</v>
      </c>
      <c r="X126" s="105">
        <f t="shared" si="66"/>
        <v>150722</v>
      </c>
      <c r="Y126" s="103">
        <f t="shared" si="67"/>
        <v>1363055</v>
      </c>
    </row>
    <row r="127" spans="1:25" s="24" customFormat="1" ht="12.75" hidden="1" customHeight="1" x14ac:dyDescent="0.25">
      <c r="A127" s="28" t="s">
        <v>170</v>
      </c>
      <c r="B127" s="29"/>
      <c r="C127" s="31">
        <f>IF((G127-D127-E127)&gt;C28,C28,G127-D127-E127)</f>
        <v>147267</v>
      </c>
      <c r="D127" s="24">
        <v>16709</v>
      </c>
      <c r="E127" s="24">
        <v>49600</v>
      </c>
      <c r="F127" s="24">
        <v>0</v>
      </c>
      <c r="G127" s="106">
        <f>246909-(30377+2146+55+755)</f>
        <v>213576</v>
      </c>
      <c r="H127" s="106">
        <v>0</v>
      </c>
      <c r="I127" s="31">
        <f>117609+2146-J127</f>
        <v>106604</v>
      </c>
      <c r="J127" s="24">
        <f>13046+105</f>
        <v>13151</v>
      </c>
      <c r="K127" s="31">
        <f>520883+755</f>
        <v>521638</v>
      </c>
      <c r="L127" s="24">
        <v>0</v>
      </c>
      <c r="M127" s="24">
        <v>0</v>
      </c>
      <c r="N127" s="102">
        <f t="shared" si="63"/>
        <v>641393</v>
      </c>
      <c r="O127" s="24">
        <f>1861+66362+976+48347</f>
        <v>117546</v>
      </c>
      <c r="P127" s="24">
        <f>24604+178731+2936+45232</f>
        <v>251503</v>
      </c>
      <c r="Q127" s="24">
        <v>0</v>
      </c>
      <c r="R127" s="106">
        <f t="shared" si="64"/>
        <v>369049</v>
      </c>
      <c r="S127" s="105">
        <f t="shared" si="65"/>
        <v>1224018</v>
      </c>
      <c r="T127" s="38">
        <f>75132+55+0</f>
        <v>75187</v>
      </c>
      <c r="U127" s="38">
        <v>75205</v>
      </c>
      <c r="V127" s="38">
        <v>1568</v>
      </c>
      <c r="W127" s="38">
        <v>0</v>
      </c>
      <c r="X127" s="105">
        <f t="shared" si="66"/>
        <v>151960</v>
      </c>
      <c r="Y127" s="103">
        <f t="shared" si="67"/>
        <v>1375978</v>
      </c>
    </row>
    <row r="128" spans="1:25" s="24" customFormat="1" ht="12.75" hidden="1" customHeight="1" x14ac:dyDescent="0.25">
      <c r="A128" s="28" t="s">
        <v>171</v>
      </c>
      <c r="B128" s="29"/>
      <c r="C128" s="31">
        <f>IF((G128-D128-E128)&gt;C29,C29,G128-D128-E128)</f>
        <v>151079</v>
      </c>
      <c r="D128" s="24">
        <v>16913</v>
      </c>
      <c r="E128" s="24">
        <v>50213</v>
      </c>
      <c r="F128" s="24">
        <v>0</v>
      </c>
      <c r="G128" s="106">
        <f>253294-(31947+2301+59+782)</f>
        <v>218205</v>
      </c>
      <c r="H128" s="106">
        <v>0</v>
      </c>
      <c r="I128" s="31">
        <f>125871+2301-J128</f>
        <v>113268</v>
      </c>
      <c r="J128" s="24">
        <f>14771+133</f>
        <v>14904</v>
      </c>
      <c r="K128" s="31">
        <f>539159+782</f>
        <v>539941</v>
      </c>
      <c r="L128" s="24">
        <v>0</v>
      </c>
      <c r="M128" s="24">
        <v>0</v>
      </c>
      <c r="N128" s="102">
        <f t="shared" si="63"/>
        <v>668113</v>
      </c>
      <c r="O128" s="24">
        <f>68419+1915+49993+1014</f>
        <v>121341</v>
      </c>
      <c r="P128" s="24">
        <f>192159+25865+47208+3153</f>
        <v>268385</v>
      </c>
      <c r="Q128" s="24">
        <v>0</v>
      </c>
      <c r="R128" s="106">
        <f t="shared" si="64"/>
        <v>389726</v>
      </c>
      <c r="S128" s="105">
        <f t="shared" si="65"/>
        <v>1276044</v>
      </c>
      <c r="T128" s="38">
        <f>76387+59+0</f>
        <v>76446</v>
      </c>
      <c r="U128" s="38">
        <v>76274</v>
      </c>
      <c r="V128" s="38">
        <v>1692</v>
      </c>
      <c r="W128" s="38">
        <v>0</v>
      </c>
      <c r="X128" s="105">
        <f t="shared" si="66"/>
        <v>154412</v>
      </c>
      <c r="Y128" s="103">
        <f t="shared" si="67"/>
        <v>1430456</v>
      </c>
    </row>
    <row r="129" spans="1:25" s="24" customFormat="1" ht="12.75" hidden="1" customHeight="1" x14ac:dyDescent="0.25">
      <c r="A129" s="28" t="s">
        <v>172</v>
      </c>
      <c r="B129" s="29"/>
      <c r="C129" s="31">
        <f>IF((G129-D129-E129)&gt;C32,C32,G129-D129-E129)</f>
        <v>151164</v>
      </c>
      <c r="D129" s="24">
        <v>17252</v>
      </c>
      <c r="E129" s="24">
        <v>50972</v>
      </c>
      <c r="F129" s="24">
        <v>0</v>
      </c>
      <c r="G129" s="106">
        <f>255694-(33094+2367+61+784)</f>
        <v>219388</v>
      </c>
      <c r="H129" s="106">
        <v>0</v>
      </c>
      <c r="I129" s="31">
        <f>129843+2367-J129</f>
        <v>116230</v>
      </c>
      <c r="J129" s="24">
        <f>15847+133</f>
        <v>15980</v>
      </c>
      <c r="K129" s="31">
        <f>547375+784</f>
        <v>548159</v>
      </c>
      <c r="L129" s="24">
        <v>0</v>
      </c>
      <c r="M129" s="24">
        <v>0</v>
      </c>
      <c r="N129" s="102">
        <f t="shared" si="63"/>
        <v>680369</v>
      </c>
      <c r="O129" s="24">
        <f>69613+2015+50600+1057</f>
        <v>123285</v>
      </c>
      <c r="P129" s="24">
        <f>199038+26684+48084+3338</f>
        <v>277144</v>
      </c>
      <c r="Q129" s="24">
        <v>0</v>
      </c>
      <c r="R129" s="106">
        <f t="shared" si="64"/>
        <v>400429</v>
      </c>
      <c r="S129" s="105">
        <f t="shared" si="65"/>
        <v>1300186</v>
      </c>
      <c r="T129" s="38">
        <f>77024+61+0</f>
        <v>77085</v>
      </c>
      <c r="U129" s="38">
        <v>76281</v>
      </c>
      <c r="V129" s="38">
        <v>1783</v>
      </c>
      <c r="W129" s="38">
        <v>0</v>
      </c>
      <c r="X129" s="105">
        <f t="shared" si="66"/>
        <v>155149</v>
      </c>
      <c r="Y129" s="103">
        <f t="shared" si="67"/>
        <v>1455335</v>
      </c>
    </row>
    <row r="130" spans="1:25" s="24" customFormat="1" ht="12.75" hidden="1" customHeight="1" x14ac:dyDescent="0.25">
      <c r="A130" s="28"/>
      <c r="B130" s="29"/>
      <c r="C130" s="31"/>
      <c r="G130" s="106"/>
      <c r="H130" s="106"/>
      <c r="I130" s="31"/>
      <c r="K130" s="31"/>
      <c r="L130" s="31"/>
      <c r="N130" s="102"/>
      <c r="R130" s="106"/>
      <c r="S130" s="105"/>
      <c r="T130" s="38"/>
      <c r="U130" s="38"/>
      <c r="V130" s="38"/>
      <c r="W130" s="38"/>
      <c r="X130" s="105"/>
      <c r="Y130" s="103"/>
    </row>
    <row r="131" spans="1:25" s="24" customFormat="1" ht="12.75" hidden="1" customHeight="1" x14ac:dyDescent="0.25">
      <c r="A131" s="28" t="s">
        <v>174</v>
      </c>
      <c r="B131" s="29"/>
      <c r="C131" s="31">
        <f>IF((G131-D131-E131)&gt;C32,C32,G131-D131-E131)</f>
        <v>151617</v>
      </c>
      <c r="D131" s="24">
        <v>17285</v>
      </c>
      <c r="E131" s="24">
        <v>51370</v>
      </c>
      <c r="F131" s="24">
        <v>0</v>
      </c>
      <c r="G131" s="106">
        <f>257676-(34113+2441+61+789)</f>
        <v>220272</v>
      </c>
      <c r="H131" s="106">
        <v>0</v>
      </c>
      <c r="I131" s="31">
        <f>133002+2441-J131</f>
        <v>118550</v>
      </c>
      <c r="J131" s="24">
        <f>16745+148</f>
        <v>16893</v>
      </c>
      <c r="K131" s="31">
        <f>554670+789</f>
        <v>555459</v>
      </c>
      <c r="L131" s="31">
        <v>0</v>
      </c>
      <c r="M131" s="24">
        <v>0</v>
      </c>
      <c r="N131" s="102">
        <f>SUM(I131:M131)</f>
        <v>690902</v>
      </c>
      <c r="O131" s="24">
        <f>70627+2088+51109+1089</f>
        <v>124913</v>
      </c>
      <c r="P131" s="24">
        <f>205516+27481+48847+3455</f>
        <v>285299</v>
      </c>
      <c r="Q131" s="24">
        <v>0</v>
      </c>
      <c r="R131" s="106">
        <f>SUM(O131:Q131)</f>
        <v>410212</v>
      </c>
      <c r="S131" s="105">
        <f>G131+N131+R131+H131</f>
        <v>1321386</v>
      </c>
      <c r="T131" s="38">
        <f>77616+61+0</f>
        <v>77677</v>
      </c>
      <c r="U131" s="38">
        <v>76185</v>
      </c>
      <c r="V131" s="38">
        <v>1860</v>
      </c>
      <c r="W131" s="38">
        <v>0</v>
      </c>
      <c r="X131" s="105">
        <f t="shared" si="66"/>
        <v>155722</v>
      </c>
      <c r="Y131" s="103">
        <f t="shared" ref="Y131:Y142" si="68">X131+S131</f>
        <v>1477108</v>
      </c>
    </row>
    <row r="132" spans="1:25" s="24" customFormat="1" ht="12.75" hidden="1" customHeight="1" x14ac:dyDescent="0.25">
      <c r="A132" s="28" t="s">
        <v>175</v>
      </c>
      <c r="B132" s="29"/>
      <c r="C132" s="31">
        <f>IF((G132-D132-E132)&gt;C33,C33,G132-D132-E132)</f>
        <v>152229</v>
      </c>
      <c r="D132" s="24">
        <v>17254</v>
      </c>
      <c r="E132" s="24">
        <v>51567</v>
      </c>
      <c r="F132" s="24">
        <v>0</v>
      </c>
      <c r="G132" s="106">
        <f>260228-(35841+2500+61+776)</f>
        <v>221050</v>
      </c>
      <c r="H132" s="106">
        <v>0</v>
      </c>
      <c r="I132" s="31">
        <f>135422+2500-J132</f>
        <v>120561</v>
      </c>
      <c r="J132" s="24">
        <f>17207+154</f>
        <v>17361</v>
      </c>
      <c r="K132" s="31">
        <f>558047+776</f>
        <v>558823</v>
      </c>
      <c r="L132" s="31">
        <v>0</v>
      </c>
      <c r="M132" s="24">
        <v>0</v>
      </c>
      <c r="N132" s="102">
        <f t="shared" ref="N132:N142" si="69">SUM(I132:M132)</f>
        <v>696745</v>
      </c>
      <c r="O132" s="24">
        <f>2187+71309+1158+51467</f>
        <v>126121</v>
      </c>
      <c r="P132" s="24">
        <f>28816+212562+3680+49954</f>
        <v>295012</v>
      </c>
      <c r="Q132" s="24">
        <v>0</v>
      </c>
      <c r="R132" s="106">
        <f t="shared" ref="R132:R142" si="70">SUM(O132:Q132)</f>
        <v>421133</v>
      </c>
      <c r="S132" s="105">
        <f t="shared" ref="S132:S142" si="71">G132+N132+R132+H132</f>
        <v>1338928</v>
      </c>
      <c r="T132" s="38">
        <f>77677+61+0</f>
        <v>77738</v>
      </c>
      <c r="U132" s="38">
        <v>76553</v>
      </c>
      <c r="V132" s="38">
        <v>1643</v>
      </c>
      <c r="W132" s="38">
        <v>0</v>
      </c>
      <c r="X132" s="105">
        <f t="shared" si="66"/>
        <v>155934</v>
      </c>
      <c r="Y132" s="103">
        <f t="shared" si="68"/>
        <v>1494862</v>
      </c>
    </row>
    <row r="133" spans="1:25" s="24" customFormat="1" ht="12.75" hidden="1" customHeight="1" x14ac:dyDescent="0.25">
      <c r="A133" s="28" t="s">
        <v>178</v>
      </c>
      <c r="B133" s="29"/>
      <c r="C133" s="31">
        <f>IF((G133-D133-E133)&gt;C34,C34,G133-D133-E133)</f>
        <v>152498</v>
      </c>
      <c r="D133" s="24">
        <v>17165</v>
      </c>
      <c r="E133" s="24">
        <v>51809</v>
      </c>
      <c r="F133" s="24">
        <v>0</v>
      </c>
      <c r="G133" s="106">
        <f>261578-(36696+2566+57+787)</f>
        <v>221472</v>
      </c>
      <c r="H133" s="106">
        <v>0</v>
      </c>
      <c r="I133" s="31">
        <f>137316+2566-J133</f>
        <v>122502</v>
      </c>
      <c r="J133" s="24">
        <f>17221+159</f>
        <v>17380</v>
      </c>
      <c r="K133" s="31">
        <f>563705+787</f>
        <v>564492</v>
      </c>
      <c r="L133" s="31">
        <v>0</v>
      </c>
      <c r="M133" s="24">
        <v>0</v>
      </c>
      <c r="N133" s="102">
        <f t="shared" si="69"/>
        <v>704374</v>
      </c>
      <c r="O133" s="24">
        <f>2229+72291+1191+51922</f>
        <v>127633</v>
      </c>
      <c r="P133" s="24">
        <f>29500+219478+3776+50869</f>
        <v>303623</v>
      </c>
      <c r="Q133" s="24">
        <v>0</v>
      </c>
      <c r="R133" s="106">
        <f t="shared" si="70"/>
        <v>431256</v>
      </c>
      <c r="S133" s="105">
        <f t="shared" si="71"/>
        <v>1357102</v>
      </c>
      <c r="T133" s="38">
        <f>77861+57+0</f>
        <v>77918</v>
      </c>
      <c r="U133" s="38">
        <v>76622</v>
      </c>
      <c r="V133" s="38">
        <v>1490</v>
      </c>
      <c r="W133" s="38">
        <v>0</v>
      </c>
      <c r="X133" s="105">
        <f t="shared" si="66"/>
        <v>156030</v>
      </c>
      <c r="Y133" s="103">
        <f t="shared" si="68"/>
        <v>1513132</v>
      </c>
    </row>
    <row r="134" spans="1:25" s="24" customFormat="1" ht="12.75" hidden="1" customHeight="1" x14ac:dyDescent="0.25">
      <c r="A134" s="28" t="s">
        <v>179</v>
      </c>
      <c r="B134" s="29"/>
      <c r="C134" s="31">
        <f>IF((G134-D134-E134)&gt;C35,C35,G134-D134-E134)</f>
        <v>152969</v>
      </c>
      <c r="D134" s="24">
        <v>17061</v>
      </c>
      <c r="E134" s="24">
        <v>52042</v>
      </c>
      <c r="F134" s="24">
        <v>0</v>
      </c>
      <c r="G134" s="106">
        <f>263199-(37639+2636+60+792)</f>
        <v>222072</v>
      </c>
      <c r="H134" s="106">
        <v>0</v>
      </c>
      <c r="I134" s="31">
        <f>139962+2636-J134</f>
        <v>124787</v>
      </c>
      <c r="J134" s="24">
        <f>17643+168</f>
        <v>17811</v>
      </c>
      <c r="K134" s="31">
        <f>570387+792</f>
        <v>571179</v>
      </c>
      <c r="L134" s="31">
        <v>0</v>
      </c>
      <c r="M134" s="24">
        <v>0</v>
      </c>
      <c r="N134" s="102">
        <f t="shared" si="69"/>
        <v>713777</v>
      </c>
      <c r="O134" s="24">
        <f>2280+73314+1188+52408</f>
        <v>129190</v>
      </c>
      <c r="P134" s="24">
        <f>30245+227426+3926+51351</f>
        <v>312948</v>
      </c>
      <c r="Q134" s="24">
        <v>0</v>
      </c>
      <c r="R134" s="106">
        <f t="shared" si="70"/>
        <v>442138</v>
      </c>
      <c r="S134" s="105">
        <f t="shared" si="71"/>
        <v>1377987</v>
      </c>
      <c r="T134" s="38">
        <f>77774+60+0</f>
        <v>77834</v>
      </c>
      <c r="U134" s="38">
        <v>76975</v>
      </c>
      <c r="V134" s="38">
        <v>1435</v>
      </c>
      <c r="W134" s="38">
        <v>0</v>
      </c>
      <c r="X134" s="105">
        <f t="shared" si="66"/>
        <v>156244</v>
      </c>
      <c r="Y134" s="103">
        <f t="shared" si="68"/>
        <v>1534231</v>
      </c>
    </row>
    <row r="135" spans="1:25" s="24" customFormat="1" ht="12.75" hidden="1" customHeight="1" x14ac:dyDescent="0.25">
      <c r="A135" s="28" t="s">
        <v>180</v>
      </c>
      <c r="B135" s="29"/>
      <c r="C135" s="31">
        <f>IF((G135-D135-E135)&gt;C36,C36,G135-D135-E135)</f>
        <v>153170</v>
      </c>
      <c r="D135" s="24">
        <v>17021</v>
      </c>
      <c r="E135" s="24">
        <v>52339</v>
      </c>
      <c r="F135" s="24">
        <v>0</v>
      </c>
      <c r="G135" s="106">
        <f>264739-(38625+2712+62+810)</f>
        <v>222530</v>
      </c>
      <c r="H135" s="106">
        <v>0</v>
      </c>
      <c r="I135" s="31">
        <f>141849+2712-J135</f>
        <v>126373</v>
      </c>
      <c r="J135" s="24">
        <f>18002+186</f>
        <v>18188</v>
      </c>
      <c r="K135" s="31">
        <f>575309+810</f>
        <v>576119</v>
      </c>
      <c r="L135" s="31">
        <v>0</v>
      </c>
      <c r="M135" s="24">
        <v>0</v>
      </c>
      <c r="N135" s="102">
        <f t="shared" si="69"/>
        <v>720680</v>
      </c>
      <c r="O135" s="24">
        <f>2352+74306+1216+52916</f>
        <v>130790</v>
      </c>
      <c r="P135" s="24">
        <f>31009+233874+4048+51444</f>
        <v>320375</v>
      </c>
      <c r="Q135" s="24">
        <v>0</v>
      </c>
      <c r="R135" s="106">
        <f t="shared" si="70"/>
        <v>451165</v>
      </c>
      <c r="S135" s="105">
        <f t="shared" si="71"/>
        <v>1394375</v>
      </c>
      <c r="T135" s="38">
        <f>77848+62+0</f>
        <v>77910</v>
      </c>
      <c r="U135" s="38">
        <v>77511</v>
      </c>
      <c r="V135" s="38">
        <v>1407</v>
      </c>
      <c r="W135" s="38">
        <v>0</v>
      </c>
      <c r="X135" s="105">
        <f t="shared" si="66"/>
        <v>156828</v>
      </c>
      <c r="Y135" s="103">
        <f t="shared" si="68"/>
        <v>1551203</v>
      </c>
    </row>
    <row r="136" spans="1:25" s="24" customFormat="1" ht="12.75" hidden="1" customHeight="1" x14ac:dyDescent="0.25">
      <c r="A136" s="28" t="s">
        <v>181</v>
      </c>
      <c r="B136" s="29"/>
      <c r="C136" s="31">
        <f>IF((G136-D136-E136)&gt;C37,C37,G136-D136-E136)</f>
        <v>153687</v>
      </c>
      <c r="D136" s="24">
        <v>16950</v>
      </c>
      <c r="E136" s="24">
        <v>52698</v>
      </c>
      <c r="F136" s="24">
        <v>0</v>
      </c>
      <c r="G136" s="106">
        <f>266492-(39494+2777+64+822)</f>
        <v>223335</v>
      </c>
      <c r="H136" s="106">
        <v>0</v>
      </c>
      <c r="I136" s="31">
        <f>144213+2777-J136</f>
        <v>128448</v>
      </c>
      <c r="J136" s="24">
        <f>18344+198</f>
        <v>18542</v>
      </c>
      <c r="K136" s="31">
        <f>581119+822</f>
        <v>581941</v>
      </c>
      <c r="L136" s="31">
        <v>0</v>
      </c>
      <c r="M136" s="24">
        <v>0</v>
      </c>
      <c r="N136" s="102">
        <f t="shared" si="69"/>
        <v>728931</v>
      </c>
      <c r="O136" s="24">
        <f>2367+75542+1247+53712</f>
        <v>132868</v>
      </c>
      <c r="P136" s="24">
        <f>31675+242371+4205+53504</f>
        <v>331755</v>
      </c>
      <c r="Q136" s="24">
        <v>0</v>
      </c>
      <c r="R136" s="106">
        <f t="shared" si="70"/>
        <v>464623</v>
      </c>
      <c r="S136" s="105">
        <f t="shared" si="71"/>
        <v>1416889</v>
      </c>
      <c r="T136" s="38">
        <f>78459+64+0</f>
        <v>78523</v>
      </c>
      <c r="U136" s="38">
        <v>78398</v>
      </c>
      <c r="V136" s="38">
        <v>1459</v>
      </c>
      <c r="W136" s="38">
        <v>0</v>
      </c>
      <c r="X136" s="105">
        <f t="shared" si="66"/>
        <v>158380</v>
      </c>
      <c r="Y136" s="103">
        <f t="shared" si="68"/>
        <v>1575269</v>
      </c>
    </row>
    <row r="137" spans="1:25" s="24" customFormat="1" ht="12.75" hidden="1" customHeight="1" x14ac:dyDescent="0.25">
      <c r="A137" s="28" t="s">
        <v>182</v>
      </c>
      <c r="B137" s="29"/>
      <c r="C137" s="31">
        <f>IF((G137-D137-E137)&gt;C38,C38,G137-D137-E137)</f>
        <v>154009</v>
      </c>
      <c r="D137" s="24">
        <v>16625</v>
      </c>
      <c r="E137" s="24">
        <v>52898</v>
      </c>
      <c r="F137" s="24">
        <v>0</v>
      </c>
      <c r="G137" s="106">
        <f>268045-(40806+2810+65+832)</f>
        <v>223532</v>
      </c>
      <c r="H137" s="106">
        <v>0</v>
      </c>
      <c r="I137" s="31">
        <f>146481+2810-J137</f>
        <v>130564</v>
      </c>
      <c r="J137" s="24">
        <f>18525+202</f>
        <v>18727</v>
      </c>
      <c r="K137" s="31">
        <f>586688+832</f>
        <v>587520</v>
      </c>
      <c r="L137" s="31">
        <v>0</v>
      </c>
      <c r="M137" s="24">
        <v>0</v>
      </c>
      <c r="N137" s="102">
        <f t="shared" si="69"/>
        <v>736811</v>
      </c>
      <c r="O137" s="24">
        <f>2447+76708+1290+54700</f>
        <v>135145</v>
      </c>
      <c r="P137" s="24">
        <f>32691+253511+4378+56772</f>
        <v>347352</v>
      </c>
      <c r="Q137" s="24">
        <v>0</v>
      </c>
      <c r="R137" s="106">
        <f t="shared" si="70"/>
        <v>482497</v>
      </c>
      <c r="S137" s="105">
        <f t="shared" si="71"/>
        <v>1442840</v>
      </c>
      <c r="T137" s="38">
        <f>79590+65+0</f>
        <v>79655</v>
      </c>
      <c r="U137" s="38">
        <v>79219</v>
      </c>
      <c r="V137" s="38">
        <v>1498</v>
      </c>
      <c r="W137" s="38">
        <v>0</v>
      </c>
      <c r="X137" s="105">
        <f t="shared" si="66"/>
        <v>160372</v>
      </c>
      <c r="Y137" s="103">
        <f t="shared" si="68"/>
        <v>1603212</v>
      </c>
    </row>
    <row r="138" spans="1:25" s="24" customFormat="1" ht="12.75" hidden="1" customHeight="1" x14ac:dyDescent="0.25">
      <c r="A138" s="28" t="s">
        <v>183</v>
      </c>
      <c r="B138" s="29"/>
      <c r="C138" s="31">
        <f>IF((G138-D138-E138)&gt;C39,C39,G138-D138-E138)</f>
        <v>153948</v>
      </c>
      <c r="D138" s="24">
        <v>16331</v>
      </c>
      <c r="E138" s="24">
        <v>53058</v>
      </c>
      <c r="F138" s="24">
        <v>0</v>
      </c>
      <c r="G138" s="106">
        <f>269398-(42244+2898+65+854)</f>
        <v>223337</v>
      </c>
      <c r="H138" s="106">
        <v>0</v>
      </c>
      <c r="I138" s="31">
        <f>148040+2898-J138</f>
        <v>132025</v>
      </c>
      <c r="J138" s="24">
        <f>18706+207</f>
        <v>18913</v>
      </c>
      <c r="K138" s="31">
        <f>590038+854</f>
        <v>590892</v>
      </c>
      <c r="L138" s="31">
        <v>0</v>
      </c>
      <c r="M138" s="24">
        <v>0</v>
      </c>
      <c r="N138" s="102">
        <f t="shared" si="69"/>
        <v>741830</v>
      </c>
      <c r="O138" s="24">
        <f>2529+77116+1327+55334</f>
        <v>136306</v>
      </c>
      <c r="P138" s="24">
        <f>33804+258675+4584+57702</f>
        <v>354765</v>
      </c>
      <c r="Q138" s="24">
        <v>0</v>
      </c>
      <c r="R138" s="106">
        <f t="shared" si="70"/>
        <v>491071</v>
      </c>
      <c r="S138" s="105">
        <f t="shared" si="71"/>
        <v>1456238</v>
      </c>
      <c r="T138" s="38">
        <f>79994+65+0</f>
        <v>80059</v>
      </c>
      <c r="U138" s="38">
        <v>79683</v>
      </c>
      <c r="V138" s="38">
        <v>1537</v>
      </c>
      <c r="W138" s="38">
        <v>0</v>
      </c>
      <c r="X138" s="105">
        <f t="shared" si="66"/>
        <v>161279</v>
      </c>
      <c r="Y138" s="103">
        <f t="shared" si="68"/>
        <v>1617517</v>
      </c>
    </row>
    <row r="139" spans="1:25" s="24" customFormat="1" ht="12.75" hidden="1" customHeight="1" x14ac:dyDescent="0.25">
      <c r="A139" s="28" t="s">
        <v>184</v>
      </c>
      <c r="B139" s="29"/>
      <c r="C139" s="31">
        <f>IF((G139-D139-E139)&gt;C40,C40,G139-D139-E139)</f>
        <v>154632</v>
      </c>
      <c r="D139" s="24">
        <v>16112</v>
      </c>
      <c r="E139" s="24">
        <v>53165</v>
      </c>
      <c r="F139" s="24">
        <v>0</v>
      </c>
      <c r="G139" s="106">
        <f>271482-(43687+2959+67+860)</f>
        <v>223909</v>
      </c>
      <c r="H139" s="106">
        <v>0</v>
      </c>
      <c r="I139" s="31">
        <f>150158+2959-J139</f>
        <v>134004</v>
      </c>
      <c r="J139" s="24">
        <f>18895+218</f>
        <v>19113</v>
      </c>
      <c r="K139" s="31">
        <f>594164+860</f>
        <v>595024</v>
      </c>
      <c r="L139" s="31">
        <v>0</v>
      </c>
      <c r="M139" s="24">
        <v>0</v>
      </c>
      <c r="N139" s="102">
        <f t="shared" si="69"/>
        <v>748141</v>
      </c>
      <c r="O139" s="24">
        <f>2615+77653+1375+56057</f>
        <v>137700</v>
      </c>
      <c r="P139" s="24">
        <f>34867+264697+4830+58373</f>
        <v>362767</v>
      </c>
      <c r="Q139" s="24">
        <v>0</v>
      </c>
      <c r="R139" s="106">
        <f t="shared" si="70"/>
        <v>500467</v>
      </c>
      <c r="S139" s="105">
        <f t="shared" si="71"/>
        <v>1472517</v>
      </c>
      <c r="T139" s="38">
        <f>80444+67+0</f>
        <v>80511</v>
      </c>
      <c r="U139" s="38">
        <v>80188</v>
      </c>
      <c r="V139" s="38">
        <v>1568</v>
      </c>
      <c r="W139" s="38">
        <v>0</v>
      </c>
      <c r="X139" s="105">
        <f t="shared" si="66"/>
        <v>162267</v>
      </c>
      <c r="Y139" s="103">
        <f t="shared" si="68"/>
        <v>1634784</v>
      </c>
    </row>
    <row r="140" spans="1:25" s="24" customFormat="1" ht="12.75" hidden="1" customHeight="1" x14ac:dyDescent="0.25">
      <c r="A140" s="28" t="s">
        <v>185</v>
      </c>
      <c r="B140" s="29"/>
      <c r="C140" s="31">
        <f>IF((G140-D140-E140)&gt;C41,C41,G140-D140-E140)</f>
        <v>154983</v>
      </c>
      <c r="D140" s="24">
        <v>16296</v>
      </c>
      <c r="E140" s="24">
        <v>53221</v>
      </c>
      <c r="F140" s="24">
        <v>0</v>
      </c>
      <c r="G140" s="106">
        <f>273513-(45073+3013+68+859)</f>
        <v>224500</v>
      </c>
      <c r="H140" s="106">
        <v>0</v>
      </c>
      <c r="I140" s="31">
        <f>151528+3013-J140</f>
        <v>135213</v>
      </c>
      <c r="J140" s="24">
        <f>19100+228</f>
        <v>19328</v>
      </c>
      <c r="K140" s="31">
        <f>597671+859</f>
        <v>598530</v>
      </c>
      <c r="L140" s="31">
        <v>0</v>
      </c>
      <c r="M140" s="24">
        <v>0</v>
      </c>
      <c r="N140" s="102">
        <f t="shared" si="69"/>
        <v>753071</v>
      </c>
      <c r="O140" s="24">
        <f>2675+78285+1452+56741</f>
        <v>139153</v>
      </c>
      <c r="P140" s="24">
        <f>35946+269691+5000+59131</f>
        <v>369768</v>
      </c>
      <c r="Q140" s="24">
        <v>0</v>
      </c>
      <c r="R140" s="106">
        <f t="shared" si="70"/>
        <v>508921</v>
      </c>
      <c r="S140" s="105">
        <f t="shared" si="71"/>
        <v>1486492</v>
      </c>
      <c r="T140" s="38">
        <f>80933+68+0</f>
        <v>81001</v>
      </c>
      <c r="U140" s="38">
        <v>80498</v>
      </c>
      <c r="V140" s="38">
        <v>1564</v>
      </c>
      <c r="W140" s="38">
        <v>0</v>
      </c>
      <c r="X140" s="105">
        <f t="shared" si="66"/>
        <v>163063</v>
      </c>
      <c r="Y140" s="103">
        <f t="shared" si="68"/>
        <v>1649555</v>
      </c>
    </row>
    <row r="141" spans="1:25" s="24" customFormat="1" ht="12.75" hidden="1" customHeight="1" x14ac:dyDescent="0.25">
      <c r="A141" s="28" t="s">
        <v>186</v>
      </c>
      <c r="B141" s="29"/>
      <c r="C141" s="31">
        <f>IF((G141-D141-E141)&gt;C42,C42,G141-D141-E141)</f>
        <v>155277</v>
      </c>
      <c r="D141" s="24">
        <v>16415</v>
      </c>
      <c r="E141" s="24">
        <v>53350</v>
      </c>
      <c r="F141" s="24">
        <v>0</v>
      </c>
      <c r="G141" s="106">
        <f>275092-(46041+3083+69+857)</f>
        <v>225042</v>
      </c>
      <c r="H141" s="106">
        <v>0</v>
      </c>
      <c r="I141" s="31">
        <f>152813+3083-J141</f>
        <v>136338</v>
      </c>
      <c r="J141" s="24">
        <f>19318+240</f>
        <v>19558</v>
      </c>
      <c r="K141" s="31">
        <f>600564+857</f>
        <v>601421</v>
      </c>
      <c r="L141" s="31">
        <v>0</v>
      </c>
      <c r="M141" s="24">
        <v>0</v>
      </c>
      <c r="N141" s="102">
        <f t="shared" si="69"/>
        <v>757317</v>
      </c>
      <c r="O141" s="24">
        <f>2727+78933+1488+57383</f>
        <v>140531</v>
      </c>
      <c r="P141" s="24">
        <f>36684+274451+5142+60098</f>
        <v>376375</v>
      </c>
      <c r="Q141" s="24">
        <v>0</v>
      </c>
      <c r="R141" s="106">
        <f t="shared" si="70"/>
        <v>516906</v>
      </c>
      <c r="S141" s="105">
        <f t="shared" si="71"/>
        <v>1499265</v>
      </c>
      <c r="T141" s="38">
        <f>81455+69+0</f>
        <v>81524</v>
      </c>
      <c r="U141" s="38">
        <v>80465</v>
      </c>
      <c r="V141" s="38">
        <v>1598</v>
      </c>
      <c r="W141" s="38">
        <v>0</v>
      </c>
      <c r="X141" s="105">
        <f t="shared" si="66"/>
        <v>163587</v>
      </c>
      <c r="Y141" s="103">
        <f t="shared" si="68"/>
        <v>1662852</v>
      </c>
    </row>
    <row r="142" spans="1:25" s="24" customFormat="1" ht="12.75" hidden="1" customHeight="1" x14ac:dyDescent="0.25">
      <c r="A142" s="28" t="s">
        <v>187</v>
      </c>
      <c r="B142" s="29"/>
      <c r="C142" s="31">
        <f>IF((G142-D142-E142)&gt;C43,C43,G142-D142-E142)</f>
        <v>155371</v>
      </c>
      <c r="D142" s="24">
        <v>16621</v>
      </c>
      <c r="E142" s="24">
        <v>53486</v>
      </c>
      <c r="F142" s="24">
        <v>0</v>
      </c>
      <c r="G142" s="106">
        <f>276741-(47190+3140+71+862)</f>
        <v>225478</v>
      </c>
      <c r="H142" s="106">
        <v>0</v>
      </c>
      <c r="I142" s="31">
        <f>154729+3140-J142</f>
        <v>137941</v>
      </c>
      <c r="J142" s="109">
        <f>19680+248</f>
        <v>19928</v>
      </c>
      <c r="K142" s="31">
        <f>604801+862</f>
        <v>605663</v>
      </c>
      <c r="L142" s="31">
        <v>0</v>
      </c>
      <c r="M142" s="24">
        <v>0</v>
      </c>
      <c r="N142" s="102">
        <f t="shared" si="69"/>
        <v>763532</v>
      </c>
      <c r="O142" s="24">
        <f>2822+79576+1529+57939</f>
        <v>141866</v>
      </c>
      <c r="P142" s="24">
        <f>37574+279246+5265+60880</f>
        <v>382965</v>
      </c>
      <c r="Q142" s="24">
        <v>0</v>
      </c>
      <c r="R142" s="106">
        <f t="shared" si="70"/>
        <v>524831</v>
      </c>
      <c r="S142" s="105">
        <f t="shared" si="71"/>
        <v>1513841</v>
      </c>
      <c r="T142" s="38">
        <f>82267+71+3</f>
        <v>82341</v>
      </c>
      <c r="U142" s="38">
        <v>80440</v>
      </c>
      <c r="V142" s="38">
        <v>1631</v>
      </c>
      <c r="W142" s="38">
        <v>0</v>
      </c>
      <c r="X142" s="105">
        <f t="shared" si="66"/>
        <v>164412</v>
      </c>
      <c r="Y142" s="103">
        <f t="shared" si="68"/>
        <v>1678253</v>
      </c>
    </row>
    <row r="143" spans="1:25" s="24" customFormat="1" ht="12.75" hidden="1" customHeight="1" x14ac:dyDescent="0.25">
      <c r="A143" s="28"/>
      <c r="B143" s="29"/>
      <c r="C143" s="31"/>
      <c r="G143" s="106"/>
      <c r="H143" s="106"/>
      <c r="I143" s="31"/>
      <c r="K143" s="31"/>
      <c r="L143" s="31"/>
      <c r="N143" s="102"/>
      <c r="R143" s="106"/>
      <c r="S143" s="105"/>
      <c r="T143" s="38"/>
      <c r="U143" s="38"/>
      <c r="V143" s="38"/>
      <c r="W143" s="38"/>
      <c r="X143" s="105"/>
      <c r="Y143" s="103"/>
    </row>
    <row r="144" spans="1:25" s="24" customFormat="1" ht="12.75" hidden="1" customHeight="1" x14ac:dyDescent="0.25">
      <c r="A144" s="28" t="s">
        <v>190</v>
      </c>
      <c r="B144" s="29"/>
      <c r="C144" s="31">
        <f>IF((G144-D144-E144)&gt;C45,C45,G144-D144-E144)</f>
        <v>155031</v>
      </c>
      <c r="D144" s="24">
        <v>16650</v>
      </c>
      <c r="E144" s="24">
        <v>53538</v>
      </c>
      <c r="F144" s="24">
        <v>0</v>
      </c>
      <c r="G144" s="106">
        <f>277615-(48264+3194+69+869)</f>
        <v>225219</v>
      </c>
      <c r="H144" s="106">
        <v>0</v>
      </c>
      <c r="I144" s="31">
        <f>156371+3194-J144</f>
        <v>139234</v>
      </c>
      <c r="J144" s="24">
        <f>20069+262</f>
        <v>20331</v>
      </c>
      <c r="K144" s="31">
        <f>609118+869</f>
        <v>609987</v>
      </c>
      <c r="L144" s="31">
        <v>0</v>
      </c>
      <c r="M144" s="24">
        <v>0</v>
      </c>
      <c r="N144" s="102">
        <f>SUM(I144:M144)</f>
        <v>769552</v>
      </c>
      <c r="O144" s="24">
        <f>2892+79961+1604+58441</f>
        <v>142898</v>
      </c>
      <c r="P144" s="24">
        <f>38366+283304+5402+61397</f>
        <v>388469</v>
      </c>
      <c r="Q144" s="24">
        <v>0</v>
      </c>
      <c r="R144" s="106">
        <f>SUM(O144:Q144)</f>
        <v>531367</v>
      </c>
      <c r="S144" s="105">
        <f>G144+N144+R144+H144</f>
        <v>1526138</v>
      </c>
      <c r="T144" s="38">
        <f>82912+69+2</f>
        <v>82983</v>
      </c>
      <c r="U144" s="38">
        <v>80251</v>
      </c>
      <c r="V144" s="38">
        <v>1651</v>
      </c>
      <c r="W144" s="38">
        <v>0</v>
      </c>
      <c r="X144" s="105">
        <f t="shared" si="66"/>
        <v>164885</v>
      </c>
      <c r="Y144" s="103">
        <f t="shared" ref="Y144:Y155" si="72">X144+S144</f>
        <v>1691023</v>
      </c>
    </row>
    <row r="145" spans="1:25" s="24" customFormat="1" ht="12.75" hidden="1" customHeight="1" x14ac:dyDescent="0.25">
      <c r="A145" s="28" t="s">
        <v>191</v>
      </c>
      <c r="B145" s="29"/>
      <c r="C145" s="31">
        <f>IF((G145-D145-E145)&gt;C46,C46,G145-D145-E145)</f>
        <v>154949</v>
      </c>
      <c r="D145" s="24">
        <v>16726</v>
      </c>
      <c r="E145" s="24">
        <v>53702</v>
      </c>
      <c r="F145" s="24">
        <v>0</v>
      </c>
      <c r="G145" s="106">
        <f>279232-(49687+3226+71+871)</f>
        <v>225377</v>
      </c>
      <c r="H145" s="106">
        <v>0</v>
      </c>
      <c r="I145" s="31">
        <f>158272+3226-J145</f>
        <v>140810</v>
      </c>
      <c r="J145" s="24">
        <f>20426+262</f>
        <v>20688</v>
      </c>
      <c r="K145" s="31">
        <f>613152+871</f>
        <v>614023</v>
      </c>
      <c r="L145" s="31">
        <v>0</v>
      </c>
      <c r="M145" s="24">
        <v>0</v>
      </c>
      <c r="N145" s="102">
        <f t="shared" ref="N145:N155" si="73">SUM(I145:M145)</f>
        <v>775521</v>
      </c>
      <c r="O145" s="24">
        <f>2968+80317+1658+58843</f>
        <v>143786</v>
      </c>
      <c r="P145" s="24">
        <f>39468+287180+5593+61886</f>
        <v>394127</v>
      </c>
      <c r="Q145" s="24">
        <v>0</v>
      </c>
      <c r="R145" s="106">
        <f t="shared" ref="R145:R155" si="74">SUM(O145:Q145)</f>
        <v>537913</v>
      </c>
      <c r="S145" s="105">
        <f t="shared" ref="S145:S155" si="75">G145+N145+R145+H145</f>
        <v>1538811</v>
      </c>
      <c r="T145" s="38">
        <f>83683+71+2</f>
        <v>83756</v>
      </c>
      <c r="U145" s="38">
        <v>80233</v>
      </c>
      <c r="V145" s="38">
        <v>1943</v>
      </c>
      <c r="W145" s="38">
        <v>0</v>
      </c>
      <c r="X145" s="105">
        <f t="shared" si="66"/>
        <v>165932</v>
      </c>
      <c r="Y145" s="103">
        <f t="shared" si="72"/>
        <v>1704743</v>
      </c>
    </row>
    <row r="146" spans="1:25" s="24" customFormat="1" ht="12.75" hidden="1" customHeight="1" x14ac:dyDescent="0.25">
      <c r="A146" s="28" t="s">
        <v>193</v>
      </c>
      <c r="B146" s="29"/>
      <c r="C146" s="31">
        <f>IF((G146-D146-E146)&gt;C47,C47,G146-D146-E146)</f>
        <v>155354</v>
      </c>
      <c r="D146" s="24">
        <v>16771</v>
      </c>
      <c r="E146" s="24">
        <v>53878</v>
      </c>
      <c r="F146" s="24">
        <v>0</v>
      </c>
      <c r="G146" s="106">
        <f>280994-(50747+3290+71+883)</f>
        <v>226003</v>
      </c>
      <c r="H146" s="106">
        <v>0</v>
      </c>
      <c r="I146" s="31">
        <f>160382+3290-J146</f>
        <v>142593</v>
      </c>
      <c r="J146" s="24">
        <f>20812+267</f>
        <v>21079</v>
      </c>
      <c r="K146" s="31">
        <f>618469+883</f>
        <v>619352</v>
      </c>
      <c r="L146" s="31">
        <v>0</v>
      </c>
      <c r="M146" s="24">
        <v>0</v>
      </c>
      <c r="N146" s="102">
        <f t="shared" si="73"/>
        <v>783024</v>
      </c>
      <c r="O146" s="24">
        <f>3020+80760+1706+59761</f>
        <v>145247</v>
      </c>
      <c r="P146" s="24">
        <f>40276+294602+5745+63177</f>
        <v>403800</v>
      </c>
      <c r="Q146" s="24">
        <v>0</v>
      </c>
      <c r="R146" s="106">
        <f t="shared" si="74"/>
        <v>549047</v>
      </c>
      <c r="S146" s="105">
        <f t="shared" si="75"/>
        <v>1558074</v>
      </c>
      <c r="T146" s="38">
        <f>84887+71+1</f>
        <v>84959</v>
      </c>
      <c r="U146" s="38">
        <v>80075</v>
      </c>
      <c r="V146" s="38">
        <v>2692</v>
      </c>
      <c r="W146" s="38">
        <v>0</v>
      </c>
      <c r="X146" s="105">
        <f t="shared" si="66"/>
        <v>167726</v>
      </c>
      <c r="Y146" s="103">
        <f t="shared" si="72"/>
        <v>1725800</v>
      </c>
    </row>
    <row r="147" spans="1:25" s="24" customFormat="1" ht="12.75" hidden="1" customHeight="1" x14ac:dyDescent="0.25">
      <c r="A147" s="28" t="s">
        <v>194</v>
      </c>
      <c r="B147" s="29"/>
      <c r="C147" s="31">
        <f>IF((G147-D147-E147)&gt;C48,C48,G147-D147-E147)</f>
        <v>156040</v>
      </c>
      <c r="D147" s="24">
        <v>16797</v>
      </c>
      <c r="E147" s="24">
        <v>53767</v>
      </c>
      <c r="F147" s="24">
        <v>0</v>
      </c>
      <c r="G147" s="106">
        <f>282630-(51722+3351+70+883)</f>
        <v>226604</v>
      </c>
      <c r="H147" s="106">
        <v>0</v>
      </c>
      <c r="I147" s="31">
        <f>162022+3351-J147</f>
        <v>143994</v>
      </c>
      <c r="J147" s="24">
        <f>21104+275</f>
        <v>21379</v>
      </c>
      <c r="K147" s="31">
        <f>622898+883</f>
        <v>623781</v>
      </c>
      <c r="L147" s="31">
        <v>0</v>
      </c>
      <c r="M147" s="24">
        <v>0</v>
      </c>
      <c r="N147" s="102">
        <f t="shared" si="73"/>
        <v>789154</v>
      </c>
      <c r="O147" s="24">
        <f>3073+81158+1746+60401</f>
        <v>146378</v>
      </c>
      <c r="P147" s="24">
        <f>41029+300045+5874+63875</f>
        <v>410823</v>
      </c>
      <c r="Q147" s="24">
        <v>0</v>
      </c>
      <c r="R147" s="106">
        <f t="shared" si="74"/>
        <v>557201</v>
      </c>
      <c r="S147" s="105">
        <f t="shared" si="75"/>
        <v>1572959</v>
      </c>
      <c r="T147" s="38">
        <f>85945+70+0</f>
        <v>86015</v>
      </c>
      <c r="U147" s="38">
        <v>79796</v>
      </c>
      <c r="V147" s="38">
        <v>3314</v>
      </c>
      <c r="W147" s="38">
        <v>0</v>
      </c>
      <c r="X147" s="105">
        <f t="shared" si="66"/>
        <v>169125</v>
      </c>
      <c r="Y147" s="103">
        <f t="shared" si="72"/>
        <v>1742084</v>
      </c>
    </row>
    <row r="148" spans="1:25" s="24" customFormat="1" ht="12.75" hidden="1" customHeight="1" x14ac:dyDescent="0.25">
      <c r="A148" s="28" t="s">
        <v>195</v>
      </c>
      <c r="B148" s="29"/>
      <c r="C148" s="31">
        <f>IF((G148-D148-E148)&gt;C49,C49,G148-D148-E148)</f>
        <v>155857</v>
      </c>
      <c r="D148" s="24">
        <v>17011</v>
      </c>
      <c r="E148" s="24">
        <v>54340</v>
      </c>
      <c r="F148" s="24">
        <v>0</v>
      </c>
      <c r="G148" s="106">
        <f>284528-(52916+3430+72+902)</f>
        <v>227208</v>
      </c>
      <c r="H148" s="106">
        <v>0</v>
      </c>
      <c r="I148" s="31">
        <f>163832+3430-J148</f>
        <v>145565</v>
      </c>
      <c r="J148" s="24">
        <f>21413+284</f>
        <v>21697</v>
      </c>
      <c r="K148" s="31">
        <f>626479+902</f>
        <v>627381</v>
      </c>
      <c r="L148" s="31">
        <v>0</v>
      </c>
      <c r="M148" s="24">
        <v>0</v>
      </c>
      <c r="N148" s="102">
        <f t="shared" si="73"/>
        <v>794643</v>
      </c>
      <c r="O148" s="24">
        <f>3111+81230+1787+61051</f>
        <v>147179</v>
      </c>
      <c r="P148" s="24">
        <f>42014+305099+6004+64369</f>
        <v>417486</v>
      </c>
      <c r="Q148" s="24">
        <v>0</v>
      </c>
      <c r="R148" s="106">
        <f t="shared" si="74"/>
        <v>564665</v>
      </c>
      <c r="S148" s="105">
        <f t="shared" si="75"/>
        <v>1586516</v>
      </c>
      <c r="T148" s="38">
        <f>87122+72+0</f>
        <v>87194</v>
      </c>
      <c r="U148" s="38">
        <v>79753</v>
      </c>
      <c r="V148" s="38">
        <v>3802</v>
      </c>
      <c r="W148" s="38">
        <v>0</v>
      </c>
      <c r="X148" s="105">
        <f t="shared" si="66"/>
        <v>170749</v>
      </c>
      <c r="Y148" s="103">
        <f t="shared" si="72"/>
        <v>1757265</v>
      </c>
    </row>
    <row r="149" spans="1:25" s="24" customFormat="1" ht="12.75" hidden="1" customHeight="1" x14ac:dyDescent="0.25">
      <c r="A149" s="28" t="s">
        <v>196</v>
      </c>
      <c r="B149" s="29"/>
      <c r="C149" s="31">
        <f>IF((G149-D149-E149)&gt;C50,C50,G149-D149-E149)</f>
        <v>156132</v>
      </c>
      <c r="D149" s="24">
        <v>16960</v>
      </c>
      <c r="E149" s="24">
        <v>54589</v>
      </c>
      <c r="F149" s="24">
        <v>0</v>
      </c>
      <c r="G149" s="106">
        <f>286067-(53908+3492+75+911)</f>
        <v>227681</v>
      </c>
      <c r="H149" s="106">
        <v>0</v>
      </c>
      <c r="I149" s="31">
        <f>163716+3492-J149</f>
        <v>148656</v>
      </c>
      <c r="J149" s="24">
        <f>18280+272</f>
        <v>18552</v>
      </c>
      <c r="K149" s="31">
        <f>630923+911</f>
        <v>631834</v>
      </c>
      <c r="L149" s="31">
        <v>0</v>
      </c>
      <c r="M149" s="24">
        <v>0</v>
      </c>
      <c r="N149" s="102">
        <f t="shared" si="73"/>
        <v>799042</v>
      </c>
      <c r="O149" s="24">
        <f>82683+3214+62652+1815</f>
        <v>150364</v>
      </c>
      <c r="P149" s="24">
        <f>311707+42757+65757+6211</f>
        <v>426432</v>
      </c>
      <c r="Q149" s="24">
        <v>0</v>
      </c>
      <c r="R149" s="106">
        <f t="shared" si="74"/>
        <v>576796</v>
      </c>
      <c r="S149" s="105">
        <f t="shared" si="75"/>
        <v>1603519</v>
      </c>
      <c r="T149" s="38">
        <f>88117+75+0</f>
        <v>88192</v>
      </c>
      <c r="U149" s="38">
        <v>79829</v>
      </c>
      <c r="V149" s="38">
        <v>4243</v>
      </c>
      <c r="W149" s="38">
        <v>0</v>
      </c>
      <c r="X149" s="105">
        <f t="shared" si="66"/>
        <v>172264</v>
      </c>
      <c r="Y149" s="103">
        <f t="shared" si="72"/>
        <v>1775783</v>
      </c>
    </row>
    <row r="150" spans="1:25" s="24" customFormat="1" ht="12.75" hidden="1" customHeight="1" x14ac:dyDescent="0.25">
      <c r="A150" s="28" t="s">
        <v>197</v>
      </c>
      <c r="B150" s="29"/>
      <c r="C150" s="31">
        <f>IF((G150-D150-E150)&gt;C51,C51,G150-D150-E150)</f>
        <v>156312</v>
      </c>
      <c r="D150" s="24">
        <v>16989</v>
      </c>
      <c r="E150" s="24">
        <v>54745</v>
      </c>
      <c r="F150" s="24">
        <v>0</v>
      </c>
      <c r="G150" s="106">
        <f>287884-(55298+3545+77+918)</f>
        <v>228046</v>
      </c>
      <c r="H150" s="106">
        <v>0</v>
      </c>
      <c r="I150" s="31">
        <f>166106+3545-J150</f>
        <v>150650</v>
      </c>
      <c r="J150" s="24">
        <f>18717+284</f>
        <v>19001</v>
      </c>
      <c r="K150" s="31">
        <f>635968+918</f>
        <v>636886</v>
      </c>
      <c r="L150" s="31">
        <v>0</v>
      </c>
      <c r="M150" s="24">
        <v>0</v>
      </c>
      <c r="N150" s="102">
        <f t="shared" si="73"/>
        <v>806537</v>
      </c>
      <c r="O150" s="24">
        <f>82928+3289+63675+1903</f>
        <v>151795</v>
      </c>
      <c r="P150" s="24">
        <f>318045+43775+67523+6331</f>
        <v>435674</v>
      </c>
      <c r="Q150" s="24">
        <v>0</v>
      </c>
      <c r="R150" s="106">
        <f t="shared" si="74"/>
        <v>587469</v>
      </c>
      <c r="S150" s="105">
        <f t="shared" si="75"/>
        <v>1622052</v>
      </c>
      <c r="T150" s="38">
        <f>89707+77+0</f>
        <v>89784</v>
      </c>
      <c r="U150" s="38">
        <v>79814</v>
      </c>
      <c r="V150" s="38">
        <v>4510</v>
      </c>
      <c r="W150" s="38">
        <v>0</v>
      </c>
      <c r="X150" s="105">
        <f t="shared" si="66"/>
        <v>174108</v>
      </c>
      <c r="Y150" s="103">
        <f t="shared" si="72"/>
        <v>1796160</v>
      </c>
    </row>
    <row r="151" spans="1:25" s="24" customFormat="1" ht="12.75" hidden="1" customHeight="1" x14ac:dyDescent="0.25">
      <c r="A151" s="28" t="s">
        <v>198</v>
      </c>
      <c r="B151" s="29"/>
      <c r="C151" s="31">
        <f>IF((G151-D151-E151)&gt;C52,C52,G151-D151-E151)</f>
        <v>156488</v>
      </c>
      <c r="D151" s="24">
        <v>16901</v>
      </c>
      <c r="E151" s="24">
        <v>54714</v>
      </c>
      <c r="F151" s="24">
        <v>0</v>
      </c>
      <c r="G151" s="106">
        <f>288908-(56223+3584+77+921)</f>
        <v>228103</v>
      </c>
      <c r="H151" s="106">
        <v>0</v>
      </c>
      <c r="I151" s="31">
        <f>167188+3584-J151</f>
        <v>152106</v>
      </c>
      <c r="J151" s="24">
        <f>18381+285</f>
        <v>18666</v>
      </c>
      <c r="K151" s="31">
        <f>640097+921</f>
        <v>641018</v>
      </c>
      <c r="L151" s="31">
        <v>0</v>
      </c>
      <c r="M151" s="24">
        <v>0</v>
      </c>
      <c r="N151" s="102">
        <f t="shared" si="73"/>
        <v>811790</v>
      </c>
      <c r="O151" s="24">
        <f>83371+3305+64528+1942</f>
        <v>153146</v>
      </c>
      <c r="P151" s="24">
        <f>323173+44493+68561+6483</f>
        <v>442710</v>
      </c>
      <c r="Q151" s="24">
        <v>0</v>
      </c>
      <c r="R151" s="106">
        <f t="shared" si="74"/>
        <v>595856</v>
      </c>
      <c r="S151" s="105">
        <f t="shared" si="75"/>
        <v>1635749</v>
      </c>
      <c r="T151" s="38">
        <f>90868+77+1</f>
        <v>90946</v>
      </c>
      <c r="U151" s="38">
        <v>80044</v>
      </c>
      <c r="V151" s="38">
        <v>4627</v>
      </c>
      <c r="W151" s="38">
        <v>0</v>
      </c>
      <c r="X151" s="105">
        <f t="shared" si="66"/>
        <v>175617</v>
      </c>
      <c r="Y151" s="103">
        <f t="shared" si="72"/>
        <v>1811366</v>
      </c>
    </row>
    <row r="152" spans="1:25" s="24" customFormat="1" ht="12.75" hidden="1" customHeight="1" x14ac:dyDescent="0.25">
      <c r="A152" s="28" t="s">
        <v>199</v>
      </c>
      <c r="B152" s="29"/>
      <c r="C152" s="31">
        <f>IF((G152-D152-E152)&gt;C53,C53,G152-D152-E152)</f>
        <v>157140</v>
      </c>
      <c r="D152" s="24">
        <v>16844</v>
      </c>
      <c r="E152" s="24">
        <v>54760</v>
      </c>
      <c r="F152" s="24">
        <v>0</v>
      </c>
      <c r="G152" s="106">
        <f>290701-(57308+3630+75+944)</f>
        <v>228744</v>
      </c>
      <c r="H152" s="106">
        <v>0</v>
      </c>
      <c r="I152" s="31">
        <f>168775+3630-J152</f>
        <v>153721</v>
      </c>
      <c r="J152" s="24">
        <f>18400+284</f>
        <v>18684</v>
      </c>
      <c r="K152" s="31">
        <f>644095+944</f>
        <v>645039</v>
      </c>
      <c r="L152" s="31">
        <v>0</v>
      </c>
      <c r="M152" s="24">
        <v>0</v>
      </c>
      <c r="N152" s="102">
        <f t="shared" si="73"/>
        <v>817444</v>
      </c>
      <c r="O152" s="24">
        <f>83622+3338+65455+2011</f>
        <v>154426</v>
      </c>
      <c r="P152" s="24">
        <f>327318+45310+69176+6649</f>
        <v>448453</v>
      </c>
      <c r="Q152" s="24">
        <v>0</v>
      </c>
      <c r="R152" s="106">
        <f t="shared" si="74"/>
        <v>602879</v>
      </c>
      <c r="S152" s="105">
        <f t="shared" si="75"/>
        <v>1649067</v>
      </c>
      <c r="T152" s="38">
        <f>91883+75+1</f>
        <v>91959</v>
      </c>
      <c r="U152" s="38">
        <v>80203</v>
      </c>
      <c r="V152" s="38">
        <v>4931</v>
      </c>
      <c r="W152" s="38">
        <v>0</v>
      </c>
      <c r="X152" s="105">
        <f t="shared" si="66"/>
        <v>177093</v>
      </c>
      <c r="Y152" s="103">
        <f t="shared" si="72"/>
        <v>1826160</v>
      </c>
    </row>
    <row r="153" spans="1:25" s="24" customFormat="1" ht="12.75" hidden="1" customHeight="1" x14ac:dyDescent="0.25">
      <c r="A153" s="28" t="s">
        <v>200</v>
      </c>
      <c r="B153" s="29"/>
      <c r="C153" s="31">
        <f>IF((G153-D153-E153)&gt;C54,C54,G153-D153-E153)</f>
        <v>157107</v>
      </c>
      <c r="D153" s="24">
        <v>16925</v>
      </c>
      <c r="E153" s="24">
        <v>54989</v>
      </c>
      <c r="F153" s="24">
        <v>0</v>
      </c>
      <c r="G153" s="106">
        <f>292086-(58326+3701+76+962)</f>
        <v>229021</v>
      </c>
      <c r="H153" s="106">
        <v>0</v>
      </c>
      <c r="I153" s="31">
        <f>170050+3701-J153</f>
        <v>155253</v>
      </c>
      <c r="J153" s="24">
        <f>18202+296</f>
        <v>18498</v>
      </c>
      <c r="K153" s="31">
        <f>647784+962</f>
        <v>648746</v>
      </c>
      <c r="L153" s="31">
        <v>0</v>
      </c>
      <c r="M153" s="24">
        <v>0</v>
      </c>
      <c r="N153" s="102">
        <f t="shared" si="73"/>
        <v>822497</v>
      </c>
      <c r="O153" s="24">
        <f>83971+3360+66330+2061</f>
        <v>155722</v>
      </c>
      <c r="P153" s="24">
        <f>332799+46099+70062+6806</f>
        <v>455766</v>
      </c>
      <c r="Q153" s="24">
        <v>0</v>
      </c>
      <c r="R153" s="106">
        <f t="shared" si="74"/>
        <v>611488</v>
      </c>
      <c r="S153" s="105">
        <f t="shared" si="75"/>
        <v>1663006</v>
      </c>
      <c r="T153" s="38">
        <f>92814+76+3</f>
        <v>92893</v>
      </c>
      <c r="U153" s="38">
        <v>80359</v>
      </c>
      <c r="V153" s="38">
        <v>5204</v>
      </c>
      <c r="W153" s="38">
        <v>0</v>
      </c>
      <c r="X153" s="105">
        <f t="shared" si="66"/>
        <v>178456</v>
      </c>
      <c r="Y153" s="103">
        <f t="shared" si="72"/>
        <v>1841462</v>
      </c>
    </row>
    <row r="154" spans="1:25" s="24" customFormat="1" ht="12.75" hidden="1" customHeight="1" x14ac:dyDescent="0.25">
      <c r="A154" s="28" t="s">
        <v>201</v>
      </c>
      <c r="B154" s="29"/>
      <c r="C154" s="31">
        <f>IF((G154-D154-E154)&gt;C55,C55,G154-D154-E154)</f>
        <v>155919</v>
      </c>
      <c r="D154" s="24">
        <v>16936</v>
      </c>
      <c r="E154" s="24">
        <v>55321</v>
      </c>
      <c r="F154" s="24">
        <v>0</v>
      </c>
      <c r="G154" s="106">
        <f>292357-(59432+3717+75+957)</f>
        <v>228176</v>
      </c>
      <c r="H154" s="106">
        <v>0</v>
      </c>
      <c r="I154" s="31">
        <f>170735+3717-J154</f>
        <v>156056</v>
      </c>
      <c r="J154" s="24">
        <f>18099+297</f>
        <v>18396</v>
      </c>
      <c r="K154" s="31">
        <f>649770+957</f>
        <v>650727</v>
      </c>
      <c r="L154" s="31">
        <v>0</v>
      </c>
      <c r="M154" s="24">
        <v>0</v>
      </c>
      <c r="N154" s="102">
        <f t="shared" si="73"/>
        <v>825179</v>
      </c>
      <c r="O154" s="24">
        <f>84295+3412+67370+2121</f>
        <v>157198</v>
      </c>
      <c r="P154" s="24">
        <f>339586+47008+70698+6891</f>
        <v>464183</v>
      </c>
      <c r="Q154" s="24">
        <v>0</v>
      </c>
      <c r="R154" s="106">
        <f t="shared" si="74"/>
        <v>621381</v>
      </c>
      <c r="S154" s="105">
        <f t="shared" si="75"/>
        <v>1674736</v>
      </c>
      <c r="T154" s="38">
        <f>93686+75+1</f>
        <v>93762</v>
      </c>
      <c r="U154" s="38">
        <v>79327</v>
      </c>
      <c r="V154" s="38">
        <v>5430</v>
      </c>
      <c r="W154" s="38">
        <v>0</v>
      </c>
      <c r="X154" s="105">
        <f t="shared" si="66"/>
        <v>178519</v>
      </c>
      <c r="Y154" s="103">
        <f t="shared" si="72"/>
        <v>1853255</v>
      </c>
    </row>
    <row r="155" spans="1:25" s="24" customFormat="1" ht="12.75" hidden="1" customHeight="1" x14ac:dyDescent="0.25">
      <c r="A155" s="28" t="s">
        <v>202</v>
      </c>
      <c r="B155" s="29"/>
      <c r="C155" s="31">
        <f>IF((G155-D155-E155)&gt;C56,C56,G155-D155-E155)</f>
        <v>157705</v>
      </c>
      <c r="D155" s="24">
        <v>16723</v>
      </c>
      <c r="E155" s="24">
        <v>55386</v>
      </c>
      <c r="F155" s="24">
        <v>0</v>
      </c>
      <c r="G155" s="106">
        <f>295296-(60659+3782+77+964)</f>
        <v>229814</v>
      </c>
      <c r="H155" s="106">
        <v>0</v>
      </c>
      <c r="I155" s="31">
        <f>171469+3782-J155</f>
        <v>157019</v>
      </c>
      <c r="J155" s="24">
        <f>17933+299</f>
        <v>18232</v>
      </c>
      <c r="K155" s="31">
        <f>652246+964</f>
        <v>653210</v>
      </c>
      <c r="L155" s="31">
        <v>0</v>
      </c>
      <c r="M155" s="24">
        <v>0</v>
      </c>
      <c r="N155" s="102">
        <f t="shared" si="73"/>
        <v>828461</v>
      </c>
      <c r="O155" s="24">
        <f>84875+3444+67929+2177</f>
        <v>158425</v>
      </c>
      <c r="P155" s="24">
        <f>344404+47955+71168+7083</f>
        <v>470610</v>
      </c>
      <c r="Q155" s="24">
        <v>0</v>
      </c>
      <c r="R155" s="106">
        <f t="shared" si="74"/>
        <v>629035</v>
      </c>
      <c r="S155" s="105">
        <f t="shared" si="75"/>
        <v>1687310</v>
      </c>
      <c r="T155" s="38">
        <f>94469+77+2</f>
        <v>94548</v>
      </c>
      <c r="U155" s="38">
        <v>78442</v>
      </c>
      <c r="V155" s="38">
        <v>5797</v>
      </c>
      <c r="W155" s="38">
        <v>0</v>
      </c>
      <c r="X155" s="105">
        <f t="shared" si="66"/>
        <v>178787</v>
      </c>
      <c r="Y155" s="103">
        <f t="shared" si="72"/>
        <v>1866097</v>
      </c>
    </row>
    <row r="156" spans="1:25" s="24" customFormat="1" ht="12.75" hidden="1" customHeight="1" x14ac:dyDescent="0.25">
      <c r="A156" s="66"/>
      <c r="B156" s="29"/>
      <c r="C156" s="31"/>
      <c r="G156" s="106"/>
      <c r="H156" s="106"/>
      <c r="I156" s="31"/>
      <c r="K156" s="31"/>
      <c r="L156" s="31"/>
      <c r="N156" s="102"/>
      <c r="R156" s="106"/>
      <c r="S156" s="105"/>
      <c r="T156" s="38"/>
      <c r="U156" s="38"/>
      <c r="V156" s="38"/>
      <c r="W156" s="38"/>
      <c r="X156" s="105"/>
      <c r="Y156" s="103"/>
    </row>
    <row r="157" spans="1:25" s="24" customFormat="1" ht="12.75" hidden="1" customHeight="1" x14ac:dyDescent="0.25">
      <c r="A157" s="28" t="s">
        <v>203</v>
      </c>
      <c r="B157" s="29"/>
      <c r="C157" s="31">
        <f>IF((G157-D157-E157)&gt;C58,C58,G157-D157-E157)</f>
        <v>157721</v>
      </c>
      <c r="D157" s="24">
        <v>16942</v>
      </c>
      <c r="E157" s="24">
        <v>55729</v>
      </c>
      <c r="F157" s="24">
        <v>0</v>
      </c>
      <c r="G157" s="106">
        <f>296909-(61671+3795+76+975)</f>
        <v>230392</v>
      </c>
      <c r="H157" s="106">
        <v>0</v>
      </c>
      <c r="I157" s="31">
        <f>173235+3795-J157</f>
        <v>158636</v>
      </c>
      <c r="J157" s="24">
        <f>18099+295</f>
        <v>18394</v>
      </c>
      <c r="K157" s="31">
        <f>655568+975</f>
        <v>656543</v>
      </c>
      <c r="L157" s="31">
        <v>0</v>
      </c>
      <c r="M157" s="24">
        <v>0</v>
      </c>
      <c r="N157" s="102">
        <f>SUM(I157:M157)</f>
        <v>833573</v>
      </c>
      <c r="O157" s="24">
        <f>85219+3519+68312+2247</f>
        <v>159297</v>
      </c>
      <c r="P157" s="24">
        <f>347455+48699+71366+7206</f>
        <v>474726</v>
      </c>
      <c r="Q157" s="24">
        <v>0</v>
      </c>
      <c r="R157" s="106">
        <f>SUM(O157:Q157)</f>
        <v>634023</v>
      </c>
      <c r="S157" s="105">
        <f>G157+N157+R157+H157</f>
        <v>1697988</v>
      </c>
      <c r="T157" s="38">
        <f>95118+76+1</f>
        <v>95195</v>
      </c>
      <c r="U157" s="38">
        <v>78547</v>
      </c>
      <c r="V157" s="38">
        <v>5922</v>
      </c>
      <c r="W157" s="38">
        <v>0</v>
      </c>
      <c r="X157" s="105">
        <f t="shared" si="66"/>
        <v>179664</v>
      </c>
      <c r="Y157" s="103">
        <f t="shared" ref="Y157:Y168" si="76">X157+S157</f>
        <v>1877652</v>
      </c>
    </row>
    <row r="158" spans="1:25" s="24" customFormat="1" ht="12.75" hidden="1" customHeight="1" x14ac:dyDescent="0.25">
      <c r="A158" s="28" t="s">
        <v>210</v>
      </c>
      <c r="B158" s="29"/>
      <c r="C158" s="31">
        <f>IF((G158-D158-E158)&gt;C59,C59,G158-D158-E158)</f>
        <v>157778</v>
      </c>
      <c r="D158" s="24">
        <v>17014</v>
      </c>
      <c r="E158" s="24">
        <v>56027</v>
      </c>
      <c r="F158" s="24">
        <v>0</v>
      </c>
      <c r="G158" s="106">
        <f>298403-(62640+3872+78+994)</f>
        <v>230819</v>
      </c>
      <c r="H158" s="106">
        <v>0</v>
      </c>
      <c r="I158" s="31">
        <f>175385+3872-J158</f>
        <v>159925</v>
      </c>
      <c r="J158" s="24">
        <f>19025+307</f>
        <v>19332</v>
      </c>
      <c r="K158" s="31">
        <f>658526+994</f>
        <v>659520</v>
      </c>
      <c r="L158" s="31">
        <v>0</v>
      </c>
      <c r="M158" s="24">
        <v>0</v>
      </c>
      <c r="N158" s="102">
        <f t="shared" ref="N158:N168" si="77">SUM(I158:M158)</f>
        <v>838777</v>
      </c>
      <c r="O158" s="24">
        <f>85329+3558+68657+2290</f>
        <v>159834</v>
      </c>
      <c r="P158" s="24">
        <f>350714+49494+71490+7298</f>
        <v>478996</v>
      </c>
      <c r="Q158" s="24">
        <v>0</v>
      </c>
      <c r="R158" s="106">
        <f t="shared" ref="R158:R168" si="78">SUM(O158:Q158)</f>
        <v>638830</v>
      </c>
      <c r="S158" s="105">
        <f t="shared" ref="S158:S168" si="79">G158+N158+R158+H158</f>
        <v>1708426</v>
      </c>
      <c r="T158" s="38">
        <f>95913+78+2</f>
        <v>95993</v>
      </c>
      <c r="U158" s="38">
        <v>78673</v>
      </c>
      <c r="V158" s="38">
        <v>5982</v>
      </c>
      <c r="W158" s="38">
        <v>142</v>
      </c>
      <c r="X158" s="105">
        <f t="shared" si="66"/>
        <v>180790</v>
      </c>
      <c r="Y158" s="103">
        <f t="shared" si="76"/>
        <v>1889216</v>
      </c>
    </row>
    <row r="159" spans="1:25" s="24" customFormat="1" ht="12.75" hidden="1" customHeight="1" x14ac:dyDescent="0.25">
      <c r="A159" s="28" t="s">
        <v>212</v>
      </c>
      <c r="B159" s="29"/>
      <c r="C159" s="31">
        <f>IF((G159-D159-E159)&gt;C60,C60,G159-D159-E159)</f>
        <v>157369</v>
      </c>
      <c r="D159" s="24">
        <v>17021</v>
      </c>
      <c r="E159" s="24">
        <v>56297</v>
      </c>
      <c r="F159" s="24">
        <v>0</v>
      </c>
      <c r="G159" s="106">
        <f>299418-(63749+3903+79+1000)</f>
        <v>230687</v>
      </c>
      <c r="H159" s="106">
        <v>0</v>
      </c>
      <c r="I159" s="31">
        <f>176968+3903-J159</f>
        <v>160218</v>
      </c>
      <c r="J159" s="24">
        <f>20339+314</f>
        <v>20653</v>
      </c>
      <c r="K159" s="31">
        <f>659640+1000</f>
        <v>660640</v>
      </c>
      <c r="L159" s="31">
        <v>0</v>
      </c>
      <c r="M159" s="24">
        <v>0</v>
      </c>
      <c r="N159" s="102">
        <f t="shared" si="77"/>
        <v>841511</v>
      </c>
      <c r="O159" s="24">
        <f>85055+3597+68948+2356</f>
        <v>159956</v>
      </c>
      <c r="P159" s="24">
        <f>355104+50378+71884+7418</f>
        <v>484784</v>
      </c>
      <c r="Q159" s="24">
        <v>0</v>
      </c>
      <c r="R159" s="106">
        <f t="shared" si="78"/>
        <v>644740</v>
      </c>
      <c r="S159" s="105">
        <f t="shared" si="79"/>
        <v>1716938</v>
      </c>
      <c r="T159" s="38">
        <f>96837+79+1</f>
        <v>96917</v>
      </c>
      <c r="U159" s="38">
        <v>79083</v>
      </c>
      <c r="V159" s="38">
        <v>5807</v>
      </c>
      <c r="W159" s="38">
        <v>850</v>
      </c>
      <c r="X159" s="105">
        <f t="shared" si="66"/>
        <v>182657</v>
      </c>
      <c r="Y159" s="103">
        <f t="shared" si="76"/>
        <v>1899595</v>
      </c>
    </row>
    <row r="160" spans="1:25" s="24" customFormat="1" ht="12.75" hidden="1" customHeight="1" x14ac:dyDescent="0.25">
      <c r="A160" s="28" t="s">
        <v>213</v>
      </c>
      <c r="B160" s="29"/>
      <c r="C160" s="31">
        <f>IF((G160-D160-E160)&gt;C61,C61,G160-D160-E160)</f>
        <v>157005</v>
      </c>
      <c r="D160" s="24">
        <v>17096</v>
      </c>
      <c r="E160" s="24">
        <v>56581</v>
      </c>
      <c r="F160" s="24">
        <v>0</v>
      </c>
      <c r="G160" s="106">
        <f>300809-(65080+3949+78+1020)</f>
        <v>230682</v>
      </c>
      <c r="H160" s="106">
        <v>0</v>
      </c>
      <c r="I160" s="31">
        <f>178133+3949-J160</f>
        <v>160438</v>
      </c>
      <c r="J160" s="24">
        <f>21325+319</f>
        <v>21644</v>
      </c>
      <c r="K160" s="31">
        <f>660067+1020</f>
        <v>661087</v>
      </c>
      <c r="L160" s="31">
        <v>0</v>
      </c>
      <c r="M160" s="24">
        <v>0</v>
      </c>
      <c r="N160" s="102">
        <f t="shared" si="77"/>
        <v>843169</v>
      </c>
      <c r="O160" s="24">
        <f>84900+3698+69288+2426</f>
        <v>160312</v>
      </c>
      <c r="P160" s="24">
        <f>358710+51397+71877+7559</f>
        <v>489543</v>
      </c>
      <c r="Q160" s="24">
        <v>0</v>
      </c>
      <c r="R160" s="106">
        <f t="shared" si="78"/>
        <v>649855</v>
      </c>
      <c r="S160" s="105">
        <f t="shared" si="79"/>
        <v>1723706</v>
      </c>
      <c r="T160" s="38">
        <f>97682+78+2</f>
        <v>97762</v>
      </c>
      <c r="U160" s="38">
        <v>79604</v>
      </c>
      <c r="V160" s="38">
        <v>5574</v>
      </c>
      <c r="W160" s="38">
        <v>1272</v>
      </c>
      <c r="X160" s="105">
        <f t="shared" si="66"/>
        <v>184212</v>
      </c>
      <c r="Y160" s="103">
        <f t="shared" si="76"/>
        <v>1907918</v>
      </c>
    </row>
    <row r="161" spans="1:25" s="24" customFormat="1" ht="12.75" hidden="1" customHeight="1" x14ac:dyDescent="0.25">
      <c r="A161" s="28" t="s">
        <v>214</v>
      </c>
      <c r="B161" s="29"/>
      <c r="C161" s="31">
        <f>IF((G161-D161-E161)&gt;C62,C62,G161-D161-E161)</f>
        <v>156797</v>
      </c>
      <c r="D161" s="24">
        <v>17138</v>
      </c>
      <c r="E161" s="24">
        <v>56937</v>
      </c>
      <c r="F161" s="24">
        <v>0</v>
      </c>
      <c r="G161" s="106">
        <f>302378-(66354+4056+77+1019)</f>
        <v>230872</v>
      </c>
      <c r="H161" s="106">
        <v>0</v>
      </c>
      <c r="I161" s="31">
        <f>179781+4056-J161</f>
        <v>161270</v>
      </c>
      <c r="J161" s="24">
        <f>22241+326</f>
        <v>22567</v>
      </c>
      <c r="K161" s="31">
        <f>662427+1019</f>
        <v>663446</v>
      </c>
      <c r="L161" s="31">
        <v>0</v>
      </c>
      <c r="M161" s="24">
        <v>0</v>
      </c>
      <c r="N161" s="102">
        <f t="shared" si="77"/>
        <v>847283</v>
      </c>
      <c r="O161" s="24">
        <f>84995+3767+69683+2483</f>
        <v>160928</v>
      </c>
      <c r="P161" s="24">
        <f>362830+52367+71913+7737</f>
        <v>494847</v>
      </c>
      <c r="Q161" s="24">
        <v>0</v>
      </c>
      <c r="R161" s="106">
        <f t="shared" si="78"/>
        <v>655775</v>
      </c>
      <c r="S161" s="105">
        <f t="shared" si="79"/>
        <v>1733930</v>
      </c>
      <c r="T161" s="38">
        <f>98661+77+0</f>
        <v>98738</v>
      </c>
      <c r="U161" s="38">
        <v>80150</v>
      </c>
      <c r="V161" s="38">
        <v>5180</v>
      </c>
      <c r="W161" s="38">
        <v>1710</v>
      </c>
      <c r="X161" s="105">
        <f t="shared" si="66"/>
        <v>185778</v>
      </c>
      <c r="Y161" s="103">
        <f t="shared" si="76"/>
        <v>1919708</v>
      </c>
    </row>
    <row r="162" spans="1:25" s="24" customFormat="1" ht="12.75" hidden="1" customHeight="1" x14ac:dyDescent="0.25">
      <c r="A162" s="28" t="s">
        <v>215</v>
      </c>
      <c r="B162" s="29"/>
      <c r="C162" s="31">
        <f>IF((G162-D162-E162)&gt;C63,C63,G162-D162-E162)</f>
        <v>157123</v>
      </c>
      <c r="D162" s="24">
        <v>17219</v>
      </c>
      <c r="E162" s="24">
        <v>57309</v>
      </c>
      <c r="F162" s="24">
        <v>0</v>
      </c>
      <c r="G162" s="106">
        <f>304104-(67252+4107+77+1017)</f>
        <v>231651</v>
      </c>
      <c r="H162" s="106">
        <v>0</v>
      </c>
      <c r="I162" s="31">
        <f>182010+4107-J162</f>
        <v>162406</v>
      </c>
      <c r="J162" s="24">
        <f>23379+332</f>
        <v>23711</v>
      </c>
      <c r="K162" s="31">
        <f>665130+1017</f>
        <v>666147</v>
      </c>
      <c r="L162" s="31">
        <v>0</v>
      </c>
      <c r="M162" s="24">
        <v>0</v>
      </c>
      <c r="N162" s="102">
        <f t="shared" si="77"/>
        <v>852264</v>
      </c>
      <c r="O162" s="24">
        <f>85171+3799+70530+2515</f>
        <v>162015</v>
      </c>
      <c r="P162" s="24">
        <f>368087+53049+73287+7889</f>
        <v>502312</v>
      </c>
      <c r="Q162" s="24">
        <v>0</v>
      </c>
      <c r="R162" s="106">
        <f t="shared" si="78"/>
        <v>664327</v>
      </c>
      <c r="S162" s="105">
        <f t="shared" si="79"/>
        <v>1748242</v>
      </c>
      <c r="T162" s="38">
        <f>100119+77+0</f>
        <v>100196</v>
      </c>
      <c r="U162" s="38">
        <v>80832</v>
      </c>
      <c r="V162" s="38">
        <v>4947</v>
      </c>
      <c r="W162" s="38">
        <v>2135</v>
      </c>
      <c r="X162" s="105">
        <f t="shared" si="66"/>
        <v>188110</v>
      </c>
      <c r="Y162" s="103">
        <f t="shared" si="76"/>
        <v>1936352</v>
      </c>
    </row>
    <row r="163" spans="1:25" s="24" customFormat="1" ht="12.75" hidden="1" customHeight="1" x14ac:dyDescent="0.25">
      <c r="A163" s="28" t="s">
        <v>216</v>
      </c>
      <c r="B163" s="29"/>
      <c r="C163" s="31">
        <f>IF((G163-D163-E163)&gt;C64,C64,G163-D163-E163)</f>
        <v>157028</v>
      </c>
      <c r="D163" s="24">
        <v>17260</v>
      </c>
      <c r="E163" s="24">
        <v>57571</v>
      </c>
      <c r="F163" s="24">
        <v>0</v>
      </c>
      <c r="G163" s="106">
        <f>304790-(67694+4151+77+1009)</f>
        <v>231859</v>
      </c>
      <c r="H163" s="106">
        <v>0</v>
      </c>
      <c r="I163" s="31">
        <f>183604+4151-J163</f>
        <v>163358</v>
      </c>
      <c r="J163" s="24">
        <f>24062+335</f>
        <v>24397</v>
      </c>
      <c r="K163" s="31">
        <f>667519+1009</f>
        <v>668528</v>
      </c>
      <c r="L163" s="31">
        <v>0</v>
      </c>
      <c r="M163" s="24">
        <v>0</v>
      </c>
      <c r="N163" s="102">
        <f t="shared" si="77"/>
        <v>856283</v>
      </c>
      <c r="O163" s="24">
        <f>85355+3808+71604+2543</f>
        <v>163310</v>
      </c>
      <c r="P163" s="24">
        <f>372916+53400+77601+7943</f>
        <v>511860</v>
      </c>
      <c r="Q163" s="24">
        <v>0</v>
      </c>
      <c r="R163" s="106">
        <f t="shared" si="78"/>
        <v>675170</v>
      </c>
      <c r="S163" s="105">
        <f t="shared" si="79"/>
        <v>1763312</v>
      </c>
      <c r="T163" s="38">
        <f>102142+77+2</f>
        <v>102221</v>
      </c>
      <c r="U163" s="38">
        <v>81218</v>
      </c>
      <c r="V163" s="38">
        <v>4669</v>
      </c>
      <c r="W163" s="38">
        <v>2492</v>
      </c>
      <c r="X163" s="105">
        <f t="shared" si="66"/>
        <v>190600</v>
      </c>
      <c r="Y163" s="103">
        <f t="shared" si="76"/>
        <v>1953912</v>
      </c>
    </row>
    <row r="164" spans="1:25" s="24" customFormat="1" ht="12.75" hidden="1" customHeight="1" x14ac:dyDescent="0.25">
      <c r="A164" s="28" t="s">
        <v>217</v>
      </c>
      <c r="B164" s="29"/>
      <c r="C164" s="31">
        <f>IF((G164-D164-E164)&gt;C65,C65,G164-D164-E164)</f>
        <v>156966</v>
      </c>
      <c r="D164" s="24">
        <v>17224</v>
      </c>
      <c r="E164" s="24">
        <v>57703</v>
      </c>
      <c r="F164" s="24">
        <v>0</v>
      </c>
      <c r="G164" s="106">
        <f>305671-(68496+4203+79+1000)</f>
        <v>231893</v>
      </c>
      <c r="H164" s="106">
        <v>0</v>
      </c>
      <c r="I164" s="31">
        <f>185593+4203-J164</f>
        <v>164561</v>
      </c>
      <c r="J164" s="24">
        <f>24896+339</f>
        <v>25235</v>
      </c>
      <c r="K164" s="31">
        <f>670683+1000</f>
        <v>671683</v>
      </c>
      <c r="L164" s="31">
        <v>0</v>
      </c>
      <c r="M164" s="24">
        <v>0</v>
      </c>
      <c r="N164" s="102">
        <f t="shared" si="77"/>
        <v>861479</v>
      </c>
      <c r="O164" s="24">
        <f>85579+3837+72251+2556</f>
        <v>164223</v>
      </c>
      <c r="P164" s="24">
        <f>377459+53974+79169+8129</f>
        <v>518731</v>
      </c>
      <c r="Q164" s="24">
        <v>0</v>
      </c>
      <c r="R164" s="106">
        <f t="shared" si="78"/>
        <v>682954</v>
      </c>
      <c r="S164" s="105">
        <f t="shared" si="79"/>
        <v>1776326</v>
      </c>
      <c r="T164" s="38">
        <f>103204+79+3</f>
        <v>103286</v>
      </c>
      <c r="U164" s="38">
        <v>81993</v>
      </c>
      <c r="V164" s="38">
        <v>4533</v>
      </c>
      <c r="W164" s="38">
        <v>2798</v>
      </c>
      <c r="X164" s="105">
        <f t="shared" si="66"/>
        <v>192610</v>
      </c>
      <c r="Y164" s="103">
        <f t="shared" si="76"/>
        <v>1968936</v>
      </c>
    </row>
    <row r="165" spans="1:25" s="24" customFormat="1" ht="12.75" hidden="1" customHeight="1" x14ac:dyDescent="0.25">
      <c r="A165" s="28" t="s">
        <v>218</v>
      </c>
      <c r="B165" s="29"/>
      <c r="C165" s="31">
        <f>IF((G165-D165-E165)&gt;C66,C66,G165-D165-E165)</f>
        <v>157333</v>
      </c>
      <c r="D165" s="24">
        <v>17472</v>
      </c>
      <c r="E165" s="24">
        <v>57855</v>
      </c>
      <c r="F165" s="24">
        <v>0</v>
      </c>
      <c r="G165" s="106">
        <f>307406-(69401+4263+81+1001)</f>
        <v>232660</v>
      </c>
      <c r="H165" s="106">
        <v>0</v>
      </c>
      <c r="I165" s="31">
        <f>187093+4263-J165</f>
        <v>165148</v>
      </c>
      <c r="J165" s="24">
        <f>25857+351</f>
        <v>26208</v>
      </c>
      <c r="K165" s="31">
        <f>673302+1001</f>
        <v>674303</v>
      </c>
      <c r="L165" s="31">
        <v>0</v>
      </c>
      <c r="M165" s="24">
        <v>0</v>
      </c>
      <c r="N165" s="102">
        <f t="shared" si="77"/>
        <v>865659</v>
      </c>
      <c r="O165" s="24">
        <f>85779+3869+72884+2605</f>
        <v>165137</v>
      </c>
      <c r="P165" s="24">
        <f>381136+54660+79565+8267</f>
        <v>523628</v>
      </c>
      <c r="Q165" s="24">
        <v>0</v>
      </c>
      <c r="R165" s="106">
        <f t="shared" si="78"/>
        <v>688765</v>
      </c>
      <c r="S165" s="105">
        <f t="shared" si="79"/>
        <v>1787084</v>
      </c>
      <c r="T165" s="38">
        <f>103985+81+1</f>
        <v>104067</v>
      </c>
      <c r="U165" s="38">
        <v>82449</v>
      </c>
      <c r="V165" s="38">
        <v>4195</v>
      </c>
      <c r="W165" s="38">
        <v>3269</v>
      </c>
      <c r="X165" s="105">
        <f t="shared" si="66"/>
        <v>193980</v>
      </c>
      <c r="Y165" s="103">
        <f t="shared" si="76"/>
        <v>1981064</v>
      </c>
    </row>
    <row r="166" spans="1:25" s="24" customFormat="1" ht="12.75" hidden="1" customHeight="1" x14ac:dyDescent="0.25">
      <c r="A166" s="28" t="s">
        <v>219</v>
      </c>
      <c r="B166" s="29"/>
      <c r="C166" s="31">
        <f>IF((G166-D166-E166)&gt;C67,C67,G166-D166-E166)</f>
        <v>156147</v>
      </c>
      <c r="D166" s="24">
        <v>17475</v>
      </c>
      <c r="E166" s="24">
        <v>58518</v>
      </c>
      <c r="F166" s="24">
        <v>0</v>
      </c>
      <c r="G166" s="106">
        <f>308872-(71307+4322+84+1019)</f>
        <v>232140</v>
      </c>
      <c r="H166" s="106">
        <v>0</v>
      </c>
      <c r="I166" s="31">
        <f>188139+4322-J166</f>
        <v>165792</v>
      </c>
      <c r="J166" s="24">
        <f>26317+352</f>
        <v>26669</v>
      </c>
      <c r="K166" s="31">
        <f>675642+1019</f>
        <v>676661</v>
      </c>
      <c r="L166" s="31">
        <v>0</v>
      </c>
      <c r="M166" s="24">
        <v>0</v>
      </c>
      <c r="N166" s="102">
        <f t="shared" si="77"/>
        <v>869122</v>
      </c>
      <c r="O166" s="24">
        <f>4073+2725+85839+73534</f>
        <v>166171</v>
      </c>
      <c r="P166" s="24">
        <f>56022+8487+382650+80106</f>
        <v>527265</v>
      </c>
      <c r="Q166" s="24">
        <v>0</v>
      </c>
      <c r="R166" s="106">
        <f t="shared" si="78"/>
        <v>693436</v>
      </c>
      <c r="S166" s="105">
        <f t="shared" si="79"/>
        <v>1794698</v>
      </c>
      <c r="T166" s="38">
        <f>104639+84+2</f>
        <v>104725</v>
      </c>
      <c r="U166" s="38">
        <v>82988</v>
      </c>
      <c r="V166" s="38">
        <v>4064</v>
      </c>
      <c r="W166" s="38">
        <v>3422</v>
      </c>
      <c r="X166" s="105">
        <f t="shared" si="66"/>
        <v>195199</v>
      </c>
      <c r="Y166" s="103">
        <f t="shared" si="76"/>
        <v>1989897</v>
      </c>
    </row>
    <row r="167" spans="1:25" s="24" customFormat="1" ht="12.75" hidden="1" customHeight="1" x14ac:dyDescent="0.25">
      <c r="A167" s="28" t="s">
        <v>220</v>
      </c>
      <c r="B167" s="29"/>
      <c r="C167" s="31">
        <f>IF((G167-D167-E167)&gt;C68,C68,G167-D167-E167)</f>
        <v>156144</v>
      </c>
      <c r="D167" s="24">
        <v>17376</v>
      </c>
      <c r="E167" s="24">
        <v>58892</v>
      </c>
      <c r="F167" s="24">
        <v>0</v>
      </c>
      <c r="G167" s="106">
        <f>309610-(71758+4328+85+1027)</f>
        <v>232412</v>
      </c>
      <c r="H167" s="106">
        <v>0</v>
      </c>
      <c r="I167" s="31">
        <f>187746+4328-J167</f>
        <v>164462</v>
      </c>
      <c r="J167" s="24">
        <f>27255+357</f>
        <v>27612</v>
      </c>
      <c r="K167" s="31">
        <f>674662+1027</f>
        <v>675689</v>
      </c>
      <c r="L167" s="31">
        <v>0</v>
      </c>
      <c r="M167" s="24">
        <v>0</v>
      </c>
      <c r="N167" s="102">
        <f t="shared" si="77"/>
        <v>867763</v>
      </c>
      <c r="O167" s="24">
        <f>4125+86396+2722+73641</f>
        <v>166884</v>
      </c>
      <c r="P167" s="24">
        <f>56382+386034+8529+80483</f>
        <v>531428</v>
      </c>
      <c r="Q167" s="24">
        <v>0</v>
      </c>
      <c r="R167" s="106">
        <f t="shared" si="78"/>
        <v>698312</v>
      </c>
      <c r="S167" s="105">
        <f t="shared" si="79"/>
        <v>1798487</v>
      </c>
      <c r="T167" s="38">
        <f>105172+85+2</f>
        <v>105259</v>
      </c>
      <c r="U167" s="38">
        <v>82807</v>
      </c>
      <c r="V167" s="38">
        <v>4026</v>
      </c>
      <c r="W167" s="38">
        <v>3620</v>
      </c>
      <c r="X167" s="105">
        <f t="shared" si="66"/>
        <v>195712</v>
      </c>
      <c r="Y167" s="103">
        <f t="shared" si="76"/>
        <v>1994199</v>
      </c>
    </row>
    <row r="168" spans="1:25" s="24" customFormat="1" ht="12.75" hidden="1" customHeight="1" x14ac:dyDescent="0.25">
      <c r="A168" s="28" t="s">
        <v>221</v>
      </c>
      <c r="B168" s="29"/>
      <c r="C168" s="31">
        <f>IF((G168-D168-E168)&gt;C69,C69,G168-D168-E168)</f>
        <v>155006</v>
      </c>
      <c r="D168" s="24">
        <v>17678</v>
      </c>
      <c r="E168" s="24">
        <v>59308</v>
      </c>
      <c r="F168" s="24">
        <v>0</v>
      </c>
      <c r="G168" s="106">
        <f>309299-(71885+4303+86+1033)</f>
        <v>231992</v>
      </c>
      <c r="H168" s="106">
        <v>0</v>
      </c>
      <c r="I168" s="31">
        <f>186508+4303-J168</f>
        <v>162808</v>
      </c>
      <c r="J168" s="24">
        <f>27634+369</f>
        <v>28003</v>
      </c>
      <c r="K168" s="31">
        <f>667446+1033</f>
        <v>668479</v>
      </c>
      <c r="L168" s="31">
        <v>0</v>
      </c>
      <c r="M168" s="24">
        <v>0</v>
      </c>
      <c r="N168" s="102">
        <f t="shared" si="77"/>
        <v>859290</v>
      </c>
      <c r="O168" s="24">
        <f>85258+4128+72393+2728</f>
        <v>164507</v>
      </c>
      <c r="P168" s="24">
        <f>381690+56441+79759+8588</f>
        <v>526478</v>
      </c>
      <c r="Q168" s="24">
        <v>0</v>
      </c>
      <c r="R168" s="106">
        <f t="shared" si="78"/>
        <v>690985</v>
      </c>
      <c r="S168" s="105">
        <f t="shared" si="79"/>
        <v>1782267</v>
      </c>
      <c r="T168" s="38">
        <f>104079+86+3</f>
        <v>104168</v>
      </c>
      <c r="U168" s="38">
        <v>83113</v>
      </c>
      <c r="V168" s="38">
        <v>3955</v>
      </c>
      <c r="W168" s="38">
        <v>3701</v>
      </c>
      <c r="X168" s="105">
        <f t="shared" si="66"/>
        <v>194937</v>
      </c>
      <c r="Y168" s="103">
        <f t="shared" si="76"/>
        <v>1977204</v>
      </c>
    </row>
    <row r="169" spans="1:25" s="24" customFormat="1" ht="12.75" hidden="1" customHeight="1" x14ac:dyDescent="0.25">
      <c r="A169" s="28"/>
      <c r="B169" s="29"/>
      <c r="C169" s="31"/>
      <c r="G169" s="106"/>
      <c r="H169" s="106"/>
      <c r="I169" s="31"/>
      <c r="K169" s="31"/>
      <c r="L169" s="31"/>
      <c r="N169" s="102"/>
      <c r="R169" s="106"/>
      <c r="S169" s="105"/>
      <c r="T169" s="38"/>
      <c r="U169" s="38"/>
      <c r="V169" s="38"/>
      <c r="W169" s="38"/>
      <c r="X169" s="105"/>
      <c r="Y169" s="103"/>
    </row>
    <row r="170" spans="1:25" s="24" customFormat="1" ht="12.75" hidden="1" customHeight="1" x14ac:dyDescent="0.25">
      <c r="A170" s="28" t="s">
        <v>222</v>
      </c>
      <c r="B170" s="29"/>
      <c r="C170" s="31">
        <f>IF((G170-D170-E170)&gt;C71,C71,G170-D170-E170)</f>
        <v>151633</v>
      </c>
      <c r="D170" s="24">
        <v>17566</v>
      </c>
      <c r="E170" s="24">
        <v>59556</v>
      </c>
      <c r="F170" s="24">
        <v>0</v>
      </c>
      <c r="G170" s="106">
        <f>305725-(71670+4187+84+1029)</f>
        <v>228755</v>
      </c>
      <c r="H170" s="106">
        <v>0</v>
      </c>
      <c r="I170" s="31">
        <f>184329+4187-J170</f>
        <v>160776</v>
      </c>
      <c r="J170" s="24">
        <f>358+27382</f>
        <v>27740</v>
      </c>
      <c r="K170" s="31">
        <f>657029+1029</f>
        <v>658058</v>
      </c>
      <c r="L170" s="31">
        <v>0</v>
      </c>
      <c r="M170" s="24">
        <v>0</v>
      </c>
      <c r="N170" s="102">
        <f>SUM(I170:M170)</f>
        <v>846574</v>
      </c>
      <c r="O170" s="24">
        <f>4154+2684+83802+70636</f>
        <v>161276</v>
      </c>
      <c r="P170" s="24">
        <f>56282+8550+377755+78491</f>
        <v>521078</v>
      </c>
      <c r="Q170" s="24">
        <v>0</v>
      </c>
      <c r="R170" s="106">
        <f>SUM(O170:Q170)</f>
        <v>682354</v>
      </c>
      <c r="S170" s="105">
        <f>G170+N170+R170+H170</f>
        <v>1757683</v>
      </c>
      <c r="T170" s="38">
        <f>84+101528+2</f>
        <v>101614</v>
      </c>
      <c r="U170" s="38">
        <v>82595</v>
      </c>
      <c r="V170" s="38">
        <v>3874</v>
      </c>
      <c r="W170" s="38">
        <v>3752</v>
      </c>
      <c r="X170" s="105">
        <f t="shared" si="66"/>
        <v>191835</v>
      </c>
      <c r="Y170" s="103">
        <f t="shared" ref="Y170:Y181" si="80">X170+S170</f>
        <v>1949518</v>
      </c>
    </row>
    <row r="171" spans="1:25" s="24" customFormat="1" ht="12.75" hidden="1" customHeight="1" x14ac:dyDescent="0.25">
      <c r="A171" s="28" t="s">
        <v>224</v>
      </c>
      <c r="B171" s="29"/>
      <c r="C171" s="31">
        <f>IF((G171-D171-E171)&gt;C72,C72,G171-D171-E171)</f>
        <v>149715</v>
      </c>
      <c r="D171" s="24">
        <v>17370</v>
      </c>
      <c r="E171" s="24">
        <v>58709</v>
      </c>
      <c r="F171" s="24">
        <v>0</v>
      </c>
      <c r="G171" s="106">
        <f>302517-(71609+4043+77+994)</f>
        <v>225794</v>
      </c>
      <c r="H171" s="106">
        <v>0</v>
      </c>
      <c r="I171" s="31">
        <f>182567+4043-J171</f>
        <v>159045</v>
      </c>
      <c r="J171" s="24">
        <f>343+27222</f>
        <v>27565</v>
      </c>
      <c r="K171" s="31">
        <f>994+646959</f>
        <v>647953</v>
      </c>
      <c r="L171" s="31">
        <v>0</v>
      </c>
      <c r="M171" s="24">
        <v>0</v>
      </c>
      <c r="N171" s="102">
        <f t="shared" ref="N171:N181" si="81">SUM(I171:M171)</f>
        <v>834563</v>
      </c>
      <c r="O171" s="24">
        <f>4149+2701+82097+68800</f>
        <v>157747</v>
      </c>
      <c r="P171" s="24">
        <f>56269+8490+374539+77215</f>
        <v>516513</v>
      </c>
      <c r="Q171" s="24">
        <v>0</v>
      </c>
      <c r="R171" s="106">
        <f t="shared" ref="R171:R180" si="82">SUM(O171:Q171)</f>
        <v>674260</v>
      </c>
      <c r="S171" s="105">
        <f t="shared" ref="S171:S180" si="83">G171+N171+R171+H171</f>
        <v>1734617</v>
      </c>
      <c r="T171" s="38">
        <f>77+99038+2</f>
        <v>99117</v>
      </c>
      <c r="U171" s="38">
        <v>82194</v>
      </c>
      <c r="V171" s="38">
        <v>3835</v>
      </c>
      <c r="W171" s="38">
        <v>3795</v>
      </c>
      <c r="X171" s="105">
        <f t="shared" si="66"/>
        <v>188941</v>
      </c>
      <c r="Y171" s="103">
        <f t="shared" si="80"/>
        <v>1923558</v>
      </c>
    </row>
    <row r="172" spans="1:25" s="24" customFormat="1" ht="12.75" hidden="1" customHeight="1" x14ac:dyDescent="0.25">
      <c r="A172" s="28" t="s">
        <v>226</v>
      </c>
      <c r="B172" s="29"/>
      <c r="C172" s="31">
        <f>IF((G172-D172-E172)&gt;C73,C73,G172-D172-E172)</f>
        <v>149264</v>
      </c>
      <c r="D172" s="24">
        <v>17143</v>
      </c>
      <c r="E172" s="24">
        <v>57656</v>
      </c>
      <c r="F172" s="24">
        <v>0</v>
      </c>
      <c r="G172" s="106">
        <f>300874-(71804+3921+77+1009)</f>
        <v>224063</v>
      </c>
      <c r="H172" s="106">
        <v>0</v>
      </c>
      <c r="I172" s="31">
        <f>3921+180240-J172</f>
        <v>156644</v>
      </c>
      <c r="J172" s="24">
        <f>334+27183</f>
        <v>27517</v>
      </c>
      <c r="K172" s="31">
        <f>1009+634634</f>
        <v>635643</v>
      </c>
      <c r="L172" s="31">
        <v>0</v>
      </c>
      <c r="M172" s="24">
        <v>0</v>
      </c>
      <c r="N172" s="102">
        <f t="shared" si="81"/>
        <v>819804</v>
      </c>
      <c r="O172" s="24">
        <f>4147+2720+79845+66786</f>
        <v>153498</v>
      </c>
      <c r="P172" s="24">
        <f>56436+8501+370622+75691</f>
        <v>511250</v>
      </c>
      <c r="Q172" s="24">
        <v>0</v>
      </c>
      <c r="R172" s="106">
        <f t="shared" si="82"/>
        <v>664748</v>
      </c>
      <c r="S172" s="105">
        <f t="shared" si="83"/>
        <v>1708615</v>
      </c>
      <c r="T172" s="38">
        <f>77+96342+1</f>
        <v>96420</v>
      </c>
      <c r="U172" s="38">
        <v>82224</v>
      </c>
      <c r="V172" s="38">
        <v>3812</v>
      </c>
      <c r="W172" s="38">
        <v>3787</v>
      </c>
      <c r="X172" s="105">
        <f t="shared" si="66"/>
        <v>186243</v>
      </c>
      <c r="Y172" s="103">
        <f t="shared" si="80"/>
        <v>1894858</v>
      </c>
    </row>
    <row r="173" spans="1:25" s="24" customFormat="1" ht="12.75" hidden="1" customHeight="1" x14ac:dyDescent="0.25">
      <c r="A173" s="28" t="s">
        <v>228</v>
      </c>
      <c r="B173" s="29"/>
      <c r="C173" s="31">
        <f>IF((G173-D173-E173)&gt;C74,C74,G173-D173-E173)</f>
        <v>149840</v>
      </c>
      <c r="D173" s="24">
        <v>16710</v>
      </c>
      <c r="E173" s="24">
        <v>58161</v>
      </c>
      <c r="F173" s="24">
        <v>0</v>
      </c>
      <c r="G173" s="106">
        <f>301812-(72103+3912+68+1018)</f>
        <v>224711</v>
      </c>
      <c r="H173" s="106">
        <v>0</v>
      </c>
      <c r="I173" s="31">
        <f>(3912+180635)-J173</f>
        <v>156391</v>
      </c>
      <c r="J173" s="24">
        <f>337+27819</f>
        <v>28156</v>
      </c>
      <c r="K173" s="31">
        <f>1018+634360</f>
        <v>635378</v>
      </c>
      <c r="L173" s="31">
        <v>0</v>
      </c>
      <c r="M173" s="24">
        <v>0</v>
      </c>
      <c r="N173" s="102">
        <f t="shared" si="81"/>
        <v>819925</v>
      </c>
      <c r="O173" s="24">
        <f>4127+2761+79115+65836</f>
        <v>151839</v>
      </c>
      <c r="P173" s="24">
        <f>56775+371008+8440+74996</f>
        <v>511219</v>
      </c>
      <c r="Q173" s="24">
        <v>0</v>
      </c>
      <c r="R173" s="106">
        <f t="shared" si="82"/>
        <v>663058</v>
      </c>
      <c r="S173" s="105">
        <f t="shared" si="83"/>
        <v>1707694</v>
      </c>
      <c r="T173" s="38">
        <f>96520+68+3</f>
        <v>96591</v>
      </c>
      <c r="U173" s="38">
        <v>84374</v>
      </c>
      <c r="V173" s="38">
        <v>3887</v>
      </c>
      <c r="W173" s="38">
        <v>3780</v>
      </c>
      <c r="X173" s="105">
        <f t="shared" si="66"/>
        <v>188632</v>
      </c>
      <c r="Y173" s="103">
        <f t="shared" si="80"/>
        <v>1896326</v>
      </c>
    </row>
    <row r="174" spans="1:25" s="24" customFormat="1" ht="12.75" hidden="1" customHeight="1" x14ac:dyDescent="0.25">
      <c r="A174" s="28" t="s">
        <v>229</v>
      </c>
      <c r="B174" s="29"/>
      <c r="C174" s="31">
        <f>IF((G174-D174-E174)&gt;C75,C75,G174-D174-E174)</f>
        <v>149495</v>
      </c>
      <c r="D174" s="24">
        <v>17043</v>
      </c>
      <c r="E174" s="24">
        <v>58472</v>
      </c>
      <c r="F174" s="24">
        <v>0</v>
      </c>
      <c r="G174" s="106">
        <f>302191-(1040+67+3893+72181)</f>
        <v>225010</v>
      </c>
      <c r="H174" s="106">
        <v>0</v>
      </c>
      <c r="I174" s="31">
        <f>3893+181583-J174</f>
        <v>156672</v>
      </c>
      <c r="J174" s="24">
        <f>325+28479</f>
        <v>28804</v>
      </c>
      <c r="K174" s="31">
        <f>633706+1040</f>
        <v>634746</v>
      </c>
      <c r="L174" s="31">
        <v>0</v>
      </c>
      <c r="M174" s="24">
        <v>0</v>
      </c>
      <c r="N174" s="102">
        <f t="shared" si="81"/>
        <v>820222</v>
      </c>
      <c r="O174" s="24">
        <f>4096+78648+2774+65801</f>
        <v>151319</v>
      </c>
      <c r="P174" s="24">
        <f>56970+375433+8341+74060</f>
        <v>514804</v>
      </c>
      <c r="Q174" s="24">
        <v>0</v>
      </c>
      <c r="R174" s="106">
        <f t="shared" si="82"/>
        <v>666123</v>
      </c>
      <c r="S174" s="105">
        <f t="shared" si="83"/>
        <v>1711355</v>
      </c>
      <c r="T174" s="38">
        <f>97234+67+3</f>
        <v>97304</v>
      </c>
      <c r="U174" s="38">
        <v>88876</v>
      </c>
      <c r="V174" s="24">
        <v>3934</v>
      </c>
      <c r="W174" s="24">
        <v>3786</v>
      </c>
      <c r="X174" s="105">
        <f t="shared" si="66"/>
        <v>193900</v>
      </c>
      <c r="Y174" s="103">
        <f t="shared" si="80"/>
        <v>1905255</v>
      </c>
    </row>
    <row r="175" spans="1:25" s="24" customFormat="1" ht="12.75" hidden="1" customHeight="1" x14ac:dyDescent="0.25">
      <c r="A175" s="28" t="s">
        <v>234</v>
      </c>
      <c r="B175" s="29"/>
      <c r="C175" s="31">
        <f>IF((G175-D175-E175)&gt;C76,C76,G175-D175-E175)</f>
        <v>148287</v>
      </c>
      <c r="D175" s="24">
        <v>16930</v>
      </c>
      <c r="E175" s="24">
        <v>59175</v>
      </c>
      <c r="F175" s="24">
        <v>0</v>
      </c>
      <c r="G175" s="106">
        <f>301206-(71825+3888+62+1039)</f>
        <v>224392</v>
      </c>
      <c r="H175" s="106">
        <v>0</v>
      </c>
      <c r="I175" s="31">
        <f>814077-(29011+629171)</f>
        <v>155895</v>
      </c>
      <c r="J175" s="24">
        <f>28678+333</f>
        <v>29011</v>
      </c>
      <c r="K175" s="31">
        <f>628132+1039</f>
        <v>629171</v>
      </c>
      <c r="L175" s="31">
        <v>0</v>
      </c>
      <c r="M175" s="24">
        <v>0</v>
      </c>
      <c r="N175" s="102">
        <f t="shared" si="81"/>
        <v>814077</v>
      </c>
      <c r="O175" s="24">
        <f>4074+2747+77747+64967</f>
        <v>149535</v>
      </c>
      <c r="P175" s="24">
        <f>56810+8149+72952+375750</f>
        <v>513661</v>
      </c>
      <c r="Q175" s="24">
        <v>0</v>
      </c>
      <c r="R175" s="106">
        <f t="shared" si="82"/>
        <v>663196</v>
      </c>
      <c r="S175" s="105">
        <f t="shared" si="83"/>
        <v>1701665</v>
      </c>
      <c r="T175" s="38">
        <f>96542+62+0</f>
        <v>96604</v>
      </c>
      <c r="U175" s="38">
        <v>92139</v>
      </c>
      <c r="V175" s="38">
        <v>3970</v>
      </c>
      <c r="W175" s="38">
        <v>3730</v>
      </c>
      <c r="X175" s="105">
        <f t="shared" si="66"/>
        <v>196443</v>
      </c>
      <c r="Y175" s="103">
        <f t="shared" si="80"/>
        <v>1898108</v>
      </c>
    </row>
    <row r="176" spans="1:25" s="24" customFormat="1" ht="12.75" hidden="1" customHeight="1" x14ac:dyDescent="0.25">
      <c r="A176" s="28" t="s">
        <v>235</v>
      </c>
      <c r="B176" s="40"/>
      <c r="C176" s="31">
        <f>IF((G176-D176-E176)&gt;C77,C77,G176-D176-E176)</f>
        <v>147525</v>
      </c>
      <c r="D176" s="24">
        <v>16985</v>
      </c>
      <c r="E176" s="24">
        <v>59497</v>
      </c>
      <c r="F176" s="24">
        <v>0</v>
      </c>
      <c r="G176" s="106">
        <f>300933-(72014+3799+62+1051)</f>
        <v>224007</v>
      </c>
      <c r="H176" s="106">
        <v>0</v>
      </c>
      <c r="I176" s="31">
        <f>3799+180620-J176</f>
        <v>155061</v>
      </c>
      <c r="J176" s="24">
        <f>29030+328</f>
        <v>29358</v>
      </c>
      <c r="K176" s="31">
        <f>624428+1051</f>
        <v>625479</v>
      </c>
      <c r="L176" s="31">
        <v>0</v>
      </c>
      <c r="M176" s="24">
        <v>0</v>
      </c>
      <c r="N176" s="102">
        <f t="shared" si="81"/>
        <v>809898</v>
      </c>
      <c r="O176" s="24">
        <f>4047+2781+77536+64766</f>
        <v>149130</v>
      </c>
      <c r="P176" s="24">
        <f>57002+8184+378377+72856</f>
        <v>516419</v>
      </c>
      <c r="Q176" s="24">
        <v>0</v>
      </c>
      <c r="R176" s="106">
        <f t="shared" si="82"/>
        <v>665549</v>
      </c>
      <c r="S176" s="105">
        <f t="shared" si="83"/>
        <v>1699454</v>
      </c>
      <c r="T176" s="38">
        <f>96649+62+2</f>
        <v>96713</v>
      </c>
      <c r="U176" s="38">
        <v>95185</v>
      </c>
      <c r="V176" s="38">
        <v>3853</v>
      </c>
      <c r="W176" s="38">
        <v>3801</v>
      </c>
      <c r="X176" s="105">
        <f t="shared" si="66"/>
        <v>199552</v>
      </c>
      <c r="Y176" s="103">
        <f t="shared" si="80"/>
        <v>1899006</v>
      </c>
    </row>
    <row r="177" spans="1:25" s="24" customFormat="1" ht="12.75" hidden="1" customHeight="1" x14ac:dyDescent="0.25">
      <c r="A177" s="28" t="s">
        <v>238</v>
      </c>
      <c r="B177" s="40"/>
      <c r="C177" s="31">
        <f>IF((G177-D177-E177)&gt;C78,C78,G177-D177-E177)</f>
        <v>143906</v>
      </c>
      <c r="D177" s="24">
        <v>17102</v>
      </c>
      <c r="E177" s="24">
        <v>59298</v>
      </c>
      <c r="F177" s="24">
        <v>0</v>
      </c>
      <c r="G177" s="106">
        <f>295036-(70034+3612+60+1024)</f>
        <v>220306</v>
      </c>
      <c r="H177" s="106">
        <v>0</v>
      </c>
      <c r="I177" s="31">
        <f>3612+174658-J177</f>
        <v>149854</v>
      </c>
      <c r="J177" s="24">
        <f>28104+312</f>
        <v>28416</v>
      </c>
      <c r="K177" s="31">
        <f>603100+1024</f>
        <v>604124</v>
      </c>
      <c r="L177" s="31">
        <v>0</v>
      </c>
      <c r="M177" s="24">
        <v>0</v>
      </c>
      <c r="N177" s="102">
        <f t="shared" si="81"/>
        <v>782394</v>
      </c>
      <c r="O177" s="24">
        <f>3794+2616+73738+61461</f>
        <v>141609</v>
      </c>
      <c r="P177" s="24">
        <f>55815+7809+372989+69868</f>
        <v>506481</v>
      </c>
      <c r="Q177" s="24">
        <v>0</v>
      </c>
      <c r="R177" s="106">
        <f t="shared" si="82"/>
        <v>648090</v>
      </c>
      <c r="S177" s="105">
        <f t="shared" si="83"/>
        <v>1650790</v>
      </c>
      <c r="T177" s="38">
        <f>91448+60+3</f>
        <v>91511</v>
      </c>
      <c r="U177" s="38">
        <v>94918</v>
      </c>
      <c r="V177" s="38">
        <v>3512</v>
      </c>
      <c r="W177" s="38">
        <v>3633</v>
      </c>
      <c r="X177" s="105">
        <f t="shared" si="66"/>
        <v>193574</v>
      </c>
      <c r="Y177" s="103">
        <f t="shared" si="80"/>
        <v>1844364</v>
      </c>
    </row>
    <row r="178" spans="1:25" s="24" customFormat="1" ht="12.75" hidden="1" customHeight="1" x14ac:dyDescent="0.25">
      <c r="A178" s="28" t="s">
        <v>239</v>
      </c>
      <c r="B178" s="40"/>
      <c r="C178" s="31">
        <f>IF((G178-D178-E178)&gt;C79,C79,G178-D178-E178)</f>
        <v>142162</v>
      </c>
      <c r="D178" s="24">
        <v>17090</v>
      </c>
      <c r="E178" s="24">
        <v>59352</v>
      </c>
      <c r="F178" s="24">
        <v>0</v>
      </c>
      <c r="G178" s="106">
        <f>293523-(70265+3568+61+1025)</f>
        <v>218604</v>
      </c>
      <c r="H178" s="106">
        <v>0</v>
      </c>
      <c r="I178" s="31">
        <f>3568+174759-J178</f>
        <v>149739</v>
      </c>
      <c r="J178" s="24">
        <f>306+28282</f>
        <v>28588</v>
      </c>
      <c r="K178" s="31">
        <f>598399+1025</f>
        <v>599424</v>
      </c>
      <c r="L178" s="31">
        <v>0</v>
      </c>
      <c r="M178" s="24">
        <v>0</v>
      </c>
      <c r="N178" s="102">
        <f t="shared" si="81"/>
        <v>777751</v>
      </c>
      <c r="O178" s="24">
        <f>3867+73305+2598+61149</f>
        <v>140919</v>
      </c>
      <c r="P178" s="24">
        <f>56004+369327+7796+68964</f>
        <v>502091</v>
      </c>
      <c r="Q178" s="24">
        <v>0</v>
      </c>
      <c r="R178" s="106">
        <f t="shared" si="82"/>
        <v>643010</v>
      </c>
      <c r="S178" s="105">
        <f t="shared" si="83"/>
        <v>1639365</v>
      </c>
      <c r="T178" s="38">
        <f>91373+61+2</f>
        <v>91436</v>
      </c>
      <c r="U178" s="38">
        <v>96569</v>
      </c>
      <c r="V178" s="38">
        <v>3483</v>
      </c>
      <c r="W178" s="38">
        <v>3365</v>
      </c>
      <c r="X178" s="105">
        <f t="shared" si="66"/>
        <v>194853</v>
      </c>
      <c r="Y178" s="103">
        <f t="shared" si="80"/>
        <v>1834218</v>
      </c>
    </row>
    <row r="179" spans="1:25" hidden="1" x14ac:dyDescent="0.25">
      <c r="A179" s="28" t="s">
        <v>352</v>
      </c>
      <c r="C179" s="31">
        <f>IF((G179-D179-E179)&gt;C80,C80,G179-D179-E179)</f>
        <v>138192</v>
      </c>
      <c r="D179" s="24">
        <v>16609</v>
      </c>
      <c r="E179" s="24">
        <v>60088</v>
      </c>
      <c r="F179" s="24">
        <v>0</v>
      </c>
      <c r="G179" s="106">
        <f>287698-(68486+3246+61+1016)</f>
        <v>214889</v>
      </c>
      <c r="H179" s="31">
        <v>0</v>
      </c>
      <c r="I179" s="31">
        <f>169587+3246-J179</f>
        <v>143995</v>
      </c>
      <c r="J179" s="24">
        <f>28545+293</f>
        <v>28838</v>
      </c>
      <c r="K179" s="31">
        <f>583538+1016</f>
        <v>584554</v>
      </c>
      <c r="L179" s="31">
        <v>0</v>
      </c>
      <c r="M179" s="24">
        <v>0</v>
      </c>
      <c r="N179" s="102">
        <f t="shared" si="81"/>
        <v>757387</v>
      </c>
      <c r="O179" s="24">
        <f>3733+2513+70110+57345</f>
        <v>133701</v>
      </c>
      <c r="P179" s="24">
        <f>54815+7425+353208+64235</f>
        <v>479683</v>
      </c>
      <c r="Q179" s="24">
        <v>0</v>
      </c>
      <c r="R179" s="106">
        <f t="shared" si="82"/>
        <v>613384</v>
      </c>
      <c r="S179" s="105">
        <f t="shared" si="83"/>
        <v>1585660</v>
      </c>
      <c r="T179" s="38">
        <f>87781+61+0</f>
        <v>87842</v>
      </c>
      <c r="U179" s="38">
        <v>95862</v>
      </c>
      <c r="V179" s="38">
        <v>3499</v>
      </c>
      <c r="W179" s="38">
        <v>3513</v>
      </c>
      <c r="X179" s="105">
        <f t="shared" si="66"/>
        <v>190716</v>
      </c>
      <c r="Y179" s="103">
        <f t="shared" si="80"/>
        <v>1776376</v>
      </c>
    </row>
    <row r="180" spans="1:25" hidden="1" x14ac:dyDescent="0.25">
      <c r="A180" s="28" t="s">
        <v>377</v>
      </c>
      <c r="C180" s="31">
        <f>IF((G180-D180-E180)&gt;C81,C81,G180-D180-E180)</f>
        <v>142507</v>
      </c>
      <c r="D180" s="24">
        <v>16167</v>
      </c>
      <c r="E180" s="24">
        <v>58926</v>
      </c>
      <c r="F180" s="24"/>
      <c r="G180" s="106">
        <f>288865-(67061+3026+66+1018)</f>
        <v>217694</v>
      </c>
      <c r="H180" s="31"/>
      <c r="I180" s="31">
        <f>168699+3026-J180</f>
        <v>144931</v>
      </c>
      <c r="J180" s="24">
        <f>26511+283</f>
        <v>26794</v>
      </c>
      <c r="K180" s="31">
        <f>584274+1018</f>
        <v>585292</v>
      </c>
      <c r="L180" s="31"/>
      <c r="M180" s="24"/>
      <c r="N180" s="102">
        <f t="shared" si="81"/>
        <v>757017</v>
      </c>
      <c r="O180" s="24">
        <f>3688+70693+2509+57645</f>
        <v>134535</v>
      </c>
      <c r="P180" s="24">
        <f>53774+360166+7090+65313</f>
        <v>486343</v>
      </c>
      <c r="Q180" s="24"/>
      <c r="R180" s="106">
        <f t="shared" si="82"/>
        <v>620878</v>
      </c>
      <c r="S180" s="105">
        <f t="shared" si="83"/>
        <v>1595589</v>
      </c>
      <c r="T180" s="38">
        <f>89371+66+0</f>
        <v>89437</v>
      </c>
      <c r="U180" s="38">
        <v>98635</v>
      </c>
      <c r="V180" s="38">
        <v>3535</v>
      </c>
      <c r="W180" s="38">
        <v>4063</v>
      </c>
      <c r="X180" s="105">
        <f t="shared" si="66"/>
        <v>195670</v>
      </c>
      <c r="Y180" s="103">
        <f t="shared" si="80"/>
        <v>1791259</v>
      </c>
    </row>
    <row r="181" spans="1:25" hidden="1" x14ac:dyDescent="0.25">
      <c r="A181" s="28" t="s">
        <v>380</v>
      </c>
      <c r="C181" s="31">
        <f>IF((G181-D181-E181)&gt;C82,C82,G181-D181-E181)</f>
        <v>142514</v>
      </c>
      <c r="D181" s="24">
        <v>16203</v>
      </c>
      <c r="E181" s="24">
        <v>59270</v>
      </c>
      <c r="F181" s="24"/>
      <c r="G181" s="106">
        <f>288242-(66245+2917+68+1025)</f>
        <v>217987</v>
      </c>
      <c r="H181" s="31"/>
      <c r="I181" s="31">
        <f>167991+2917-J181</f>
        <v>143386</v>
      </c>
      <c r="J181" s="24">
        <f>27251+271</f>
        <v>27522</v>
      </c>
      <c r="K181" s="31">
        <f>582635+1025</f>
        <v>583660</v>
      </c>
      <c r="L181" s="31"/>
      <c r="M181" s="24"/>
      <c r="N181" s="102">
        <f t="shared" si="81"/>
        <v>754568</v>
      </c>
      <c r="O181" s="24">
        <f>3650+69741+2474+56601</f>
        <v>132466</v>
      </c>
      <c r="P181" s="24">
        <f>53129+6992+356096+64068</f>
        <v>480285</v>
      </c>
      <c r="Q181" s="24"/>
      <c r="R181" s="106">
        <f t="shared" ref="R181" si="84">SUM(O181:Q181)</f>
        <v>612751</v>
      </c>
      <c r="S181" s="105">
        <f t="shared" ref="S181" si="85">G181+N181+R181+H181</f>
        <v>1585306</v>
      </c>
      <c r="T181" s="38">
        <f>91688+68+0</f>
        <v>91756</v>
      </c>
      <c r="U181" s="38">
        <v>96983</v>
      </c>
      <c r="V181" s="38">
        <v>3699</v>
      </c>
      <c r="W181" s="38">
        <v>4121</v>
      </c>
      <c r="X181" s="105">
        <f t="shared" si="66"/>
        <v>196559</v>
      </c>
      <c r="Y181" s="103">
        <f t="shared" si="80"/>
        <v>1781865</v>
      </c>
    </row>
    <row r="182" spans="1:25" hidden="1" x14ac:dyDescent="0.25">
      <c r="A182" s="28"/>
      <c r="D182" s="24"/>
      <c r="S182" s="105"/>
      <c r="V182" s="38"/>
    </row>
    <row r="183" spans="1:25" hidden="1" x14ac:dyDescent="0.25">
      <c r="A183" s="28" t="s">
        <v>380</v>
      </c>
      <c r="B183" s="17"/>
      <c r="C183" s="63">
        <f>C181/C82</f>
        <v>0.98864385262675947</v>
      </c>
      <c r="D183" s="63">
        <f>D181/D82</f>
        <v>0.84421403636742565</v>
      </c>
      <c r="E183" s="63">
        <f>E181/E82</f>
        <v>0.97639325898225793</v>
      </c>
      <c r="F183" s="63">
        <f>F181/F82</f>
        <v>0</v>
      </c>
      <c r="G183" s="63">
        <f>G181/G82</f>
        <v>0.96535155506153381</v>
      </c>
      <c r="H183" s="63">
        <f>H181/H82</f>
        <v>0</v>
      </c>
      <c r="I183" s="63">
        <v>1</v>
      </c>
      <c r="J183" s="63">
        <f>J181/J82</f>
        <v>0.96052769343524236</v>
      </c>
      <c r="K183" s="63">
        <f>K181/K82</f>
        <v>0.98787288960352049</v>
      </c>
      <c r="L183" s="63">
        <f>L181/L82</f>
        <v>0</v>
      </c>
      <c r="M183" s="63">
        <f>M181/M82</f>
        <v>0</v>
      </c>
      <c r="N183" s="63">
        <f>N181/N82</f>
        <v>0.89965435878726319</v>
      </c>
      <c r="O183" s="63">
        <f>O181/O82</f>
        <v>0.98777823347377058</v>
      </c>
      <c r="P183" s="63">
        <f>P181/P82</f>
        <v>0.97510689356933156</v>
      </c>
      <c r="Q183" s="63">
        <f>Q181/Q82</f>
        <v>0</v>
      </c>
      <c r="R183" s="63">
        <f>R181/R82</f>
        <v>0.92206928412026989</v>
      </c>
      <c r="S183" s="63">
        <f>S181/S82</f>
        <v>0.88257012712123895</v>
      </c>
      <c r="T183" s="63">
        <f>T181/T82</f>
        <v>0.99199965403909363</v>
      </c>
      <c r="U183" s="63">
        <f>U181/U82</f>
        <v>0.98926913857295862</v>
      </c>
      <c r="V183" s="63">
        <f>V181/V82</f>
        <v>0.96227887617065555</v>
      </c>
      <c r="W183" s="63">
        <f>W181/W82</f>
        <v>0.93786982248520712</v>
      </c>
      <c r="X183" s="63">
        <f>X181/X82</f>
        <v>0.98888156603896982</v>
      </c>
      <c r="Y183" s="63">
        <f>Y181/Y82</f>
        <v>0.89316227963109907</v>
      </c>
    </row>
    <row r="184" spans="1:25" x14ac:dyDescent="0.25">
      <c r="B184" s="83"/>
      <c r="N184" s="34"/>
      <c r="O184" s="34"/>
      <c r="P184" s="34"/>
      <c r="Q184" s="34"/>
      <c r="R184" s="34"/>
      <c r="S184" s="34"/>
    </row>
    <row r="185" spans="1:25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37"/>
      <c r="X185" s="36"/>
      <c r="Y185" s="36"/>
    </row>
    <row r="186" spans="1:25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37"/>
      <c r="V186" s="7"/>
      <c r="W186" s="7"/>
      <c r="Y186" s="23"/>
    </row>
    <row r="187" spans="1:25" x14ac:dyDescent="0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34"/>
      <c r="T187" s="36"/>
    </row>
    <row r="188" spans="1:25" x14ac:dyDescent="0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36"/>
    </row>
    <row r="189" spans="1:25" x14ac:dyDescent="0.25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</sheetData>
  <mergeCells count="24">
    <mergeCell ref="V4:V5"/>
    <mergeCell ref="N4:N5"/>
    <mergeCell ref="O4:O5"/>
    <mergeCell ref="W4:W5"/>
    <mergeCell ref="P4:P5"/>
    <mergeCell ref="R4:R5"/>
    <mergeCell ref="T4:T5"/>
    <mergeCell ref="U4:U5"/>
    <mergeCell ref="C1:Y1"/>
    <mergeCell ref="T2:X2"/>
    <mergeCell ref="Y2:Y5"/>
    <mergeCell ref="C3:H3"/>
    <mergeCell ref="I3:N3"/>
    <mergeCell ref="O3:R3"/>
    <mergeCell ref="S3:S5"/>
    <mergeCell ref="T3:U3"/>
    <mergeCell ref="X3:X5"/>
    <mergeCell ref="C4:G4"/>
    <mergeCell ref="H4:H5"/>
    <mergeCell ref="I4:I5"/>
    <mergeCell ref="C2:R2"/>
    <mergeCell ref="J4:J5"/>
    <mergeCell ref="K4:K5"/>
    <mergeCell ref="M4:M5"/>
  </mergeCells>
  <phoneticPr fontId="32" type="noConversion"/>
  <pageMargins left="0.18" right="0.23" top="0.33" bottom="0.16" header="0" footer="0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F3A9-4DF0-4DE3-B4E1-5148BC939833}">
  <sheetPr>
    <tabColor theme="0"/>
    <pageSetUpPr fitToPage="1"/>
  </sheetPr>
  <dimension ref="A1:Z191"/>
  <sheetViews>
    <sheetView zoomScaleNormal="100" workbookViewId="0">
      <pane xSplit="2" ySplit="5" topLeftCell="C166" activePane="bottomRight" state="frozen"/>
      <selection activeCell="F136" sqref="F136"/>
      <selection pane="topRight" activeCell="F136" sqref="F136"/>
      <selection pane="bottomLeft" activeCell="F136" sqref="F136"/>
      <selection pane="bottomRight" activeCell="L5" sqref="L5"/>
    </sheetView>
  </sheetViews>
  <sheetFormatPr defaultColWidth="9.109375" defaultRowHeight="13.2" x14ac:dyDescent="0.25"/>
  <cols>
    <col min="1" max="1" width="10.33203125" style="33" customWidth="1"/>
    <col min="2" max="2" width="0.21875" style="33" customWidth="1"/>
    <col min="3" max="3" width="21.6640625" style="32" customWidth="1"/>
    <col min="4" max="4" width="11.44140625" style="32" customWidth="1"/>
    <col min="5" max="5" width="14" style="32" customWidth="1"/>
    <col min="6" max="6" width="9.88671875" style="32" customWidth="1"/>
    <col min="7" max="7" width="16" style="32" customWidth="1"/>
    <col min="8" max="8" width="21.77734375" style="32" customWidth="1"/>
    <col min="9" max="9" width="13.21875" style="32" customWidth="1"/>
    <col min="10" max="10" width="12.33203125" style="32" customWidth="1"/>
    <col min="11" max="11" width="15" style="32" customWidth="1"/>
    <col min="12" max="12" width="24.109375" style="32" customWidth="1"/>
    <col min="13" max="13" width="9" style="32" customWidth="1"/>
    <col min="14" max="14" width="11.44140625" style="32" customWidth="1"/>
    <col min="15" max="15" width="18.77734375" style="32" customWidth="1"/>
    <col min="16" max="16" width="15.6640625" style="32" customWidth="1"/>
    <col min="17" max="17" width="35.88671875" style="32" customWidth="1"/>
    <col min="18" max="18" width="11.44140625" style="32" customWidth="1"/>
    <col min="19" max="19" width="17.109375" style="32" customWidth="1"/>
    <col min="20" max="20" width="17.88671875" style="32" customWidth="1"/>
    <col min="21" max="21" width="22" style="32" customWidth="1"/>
    <col min="22" max="22" width="17.5546875" style="32" customWidth="1"/>
    <col min="23" max="23" width="13.5546875" style="32" customWidth="1"/>
    <col min="24" max="24" width="11.33203125" style="32" customWidth="1"/>
    <col min="25" max="25" width="14" style="32" customWidth="1"/>
    <col min="26" max="26" width="12.6640625" style="32" customWidth="1"/>
    <col min="27" max="16384" width="9.109375" style="32"/>
  </cols>
  <sheetData>
    <row r="1" spans="1:25" s="46" customFormat="1" ht="17.399999999999999" x14ac:dyDescent="0.3">
      <c r="A1" s="47"/>
      <c r="B1" s="47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202"/>
    </row>
    <row r="2" spans="1:25" s="48" customFormat="1" ht="13.95" customHeight="1" x14ac:dyDescent="0.25">
      <c r="A2" s="49"/>
      <c r="B2" s="49"/>
      <c r="C2" s="189" t="s">
        <v>372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66" t="s">
        <v>99</v>
      </c>
      <c r="U2" s="166"/>
      <c r="V2" s="166"/>
      <c r="W2" s="166"/>
      <c r="X2" s="166"/>
      <c r="Y2" s="203" t="s">
        <v>371</v>
      </c>
    </row>
    <row r="3" spans="1:25" s="46" customFormat="1" ht="12.75" customHeight="1" x14ac:dyDescent="0.25">
      <c r="A3" s="47"/>
      <c r="B3" s="47"/>
      <c r="C3" s="168" t="s">
        <v>118</v>
      </c>
      <c r="D3" s="169"/>
      <c r="E3" s="169"/>
      <c r="F3" s="169"/>
      <c r="G3" s="169"/>
      <c r="H3" s="170"/>
      <c r="I3" s="171" t="s">
        <v>102</v>
      </c>
      <c r="J3" s="172"/>
      <c r="K3" s="172"/>
      <c r="L3" s="172"/>
      <c r="M3" s="172"/>
      <c r="N3" s="173"/>
      <c r="O3" s="174" t="s">
        <v>159</v>
      </c>
      <c r="P3" s="175"/>
      <c r="Q3" s="175"/>
      <c r="R3" s="176"/>
      <c r="S3" s="177" t="s">
        <v>0</v>
      </c>
      <c r="T3" s="179" t="s">
        <v>98</v>
      </c>
      <c r="U3" s="180"/>
      <c r="V3" s="91" t="s">
        <v>96</v>
      </c>
      <c r="W3" s="92" t="s">
        <v>96</v>
      </c>
      <c r="X3" s="181" t="s">
        <v>0</v>
      </c>
      <c r="Y3" s="203"/>
    </row>
    <row r="4" spans="1:25" s="46" customFormat="1" ht="12.75" customHeight="1" x14ac:dyDescent="0.25">
      <c r="A4" s="47"/>
      <c r="B4" s="47"/>
      <c r="C4" s="183" t="s">
        <v>117</v>
      </c>
      <c r="D4" s="184"/>
      <c r="E4" s="184"/>
      <c r="F4" s="184"/>
      <c r="G4" s="184"/>
      <c r="H4" s="185" t="s">
        <v>104</v>
      </c>
      <c r="I4" s="187" t="s">
        <v>106</v>
      </c>
      <c r="J4" s="190" t="s">
        <v>88</v>
      </c>
      <c r="K4" s="190" t="s">
        <v>98</v>
      </c>
      <c r="L4" s="93"/>
      <c r="M4" s="190" t="s">
        <v>140</v>
      </c>
      <c r="N4" s="194" t="s">
        <v>0</v>
      </c>
      <c r="O4" s="196" t="s">
        <v>106</v>
      </c>
      <c r="P4" s="198" t="s">
        <v>160</v>
      </c>
      <c r="Q4" s="94"/>
      <c r="R4" s="200" t="s">
        <v>0</v>
      </c>
      <c r="S4" s="177"/>
      <c r="T4" s="192" t="s">
        <v>146</v>
      </c>
      <c r="U4" s="190" t="s">
        <v>147</v>
      </c>
      <c r="V4" s="192" t="s">
        <v>233</v>
      </c>
      <c r="W4" s="190" t="s">
        <v>232</v>
      </c>
      <c r="X4" s="181"/>
      <c r="Y4" s="203"/>
    </row>
    <row r="5" spans="1:25" s="44" customFormat="1" ht="136.80000000000001" customHeight="1" x14ac:dyDescent="0.25">
      <c r="A5" s="45"/>
      <c r="B5" s="45"/>
      <c r="C5" s="95" t="s">
        <v>383</v>
      </c>
      <c r="D5" s="96" t="s">
        <v>384</v>
      </c>
      <c r="E5" s="96" t="s">
        <v>115</v>
      </c>
      <c r="F5" s="96" t="s">
        <v>116</v>
      </c>
      <c r="G5" s="97" t="s">
        <v>0</v>
      </c>
      <c r="H5" s="186"/>
      <c r="I5" s="188"/>
      <c r="J5" s="191"/>
      <c r="K5" s="191"/>
      <c r="L5" s="107" t="s">
        <v>374</v>
      </c>
      <c r="M5" s="191"/>
      <c r="N5" s="195"/>
      <c r="O5" s="197"/>
      <c r="P5" s="199"/>
      <c r="Q5" s="107" t="s">
        <v>373</v>
      </c>
      <c r="R5" s="201"/>
      <c r="S5" s="178"/>
      <c r="T5" s="193"/>
      <c r="U5" s="190"/>
      <c r="V5" s="193"/>
      <c r="W5" s="190" t="s">
        <v>232</v>
      </c>
      <c r="X5" s="182"/>
      <c r="Y5" s="203"/>
    </row>
    <row r="6" spans="1:25" hidden="1" x14ac:dyDescent="0.25">
      <c r="A6" s="17">
        <v>43282</v>
      </c>
      <c r="B6" s="17"/>
      <c r="C6" s="72">
        <f>G6-D6-E6-F6</f>
        <v>153727</v>
      </c>
      <c r="D6" s="18">
        <f>19433+584</f>
        <v>20017</v>
      </c>
      <c r="E6" s="18">
        <v>49345</v>
      </c>
      <c r="F6" s="18">
        <v>1325</v>
      </c>
      <c r="G6" s="78">
        <f>Population!DK52+Population!DL52</f>
        <v>224414</v>
      </c>
      <c r="H6" s="65">
        <f>Population!DM52+Population!DN52</f>
        <v>61585</v>
      </c>
      <c r="I6" s="69">
        <f>Population!DP52</f>
        <v>115630</v>
      </c>
      <c r="J6" s="18">
        <f>Population!DR52</f>
        <v>15901</v>
      </c>
      <c r="K6" s="18">
        <f>Population!DO52+Population!DT52</f>
        <v>503959</v>
      </c>
      <c r="L6" s="18">
        <f>Population!CW52+Population!CX52+Population!BX52+Population!CQ52+Population!CR52</f>
        <v>16241</v>
      </c>
      <c r="M6" s="18">
        <f>Population!DS52</f>
        <v>133602</v>
      </c>
      <c r="N6" s="76">
        <f>SUM(I6:M6)</f>
        <v>785333</v>
      </c>
      <c r="O6" s="69">
        <f>Population!DU52</f>
        <v>0</v>
      </c>
      <c r="P6" s="18">
        <f>Population!DV52</f>
        <v>0</v>
      </c>
      <c r="Q6" s="21">
        <f>Population!CU52+Population!CV52+Population!CP52</f>
        <v>0</v>
      </c>
      <c r="R6" s="74">
        <f t="shared" ref="R6:R11" si="0">SUM(O6:Q6)</f>
        <v>0</v>
      </c>
      <c r="S6" s="100">
        <f>G6+N6+Q6+H6</f>
        <v>1071332</v>
      </c>
      <c r="T6" s="20">
        <f>Population!CF52</f>
        <v>63813</v>
      </c>
      <c r="U6" s="20">
        <f>SUM(Population!G52:K52,Population!N52)</f>
        <v>70858</v>
      </c>
      <c r="V6" s="74">
        <f>Population!F52</f>
        <v>1157</v>
      </c>
      <c r="W6" s="18">
        <v>0</v>
      </c>
      <c r="X6" s="101">
        <f>SUM(T6:W6)</f>
        <v>135828</v>
      </c>
      <c r="Y6" s="71">
        <f>S6+X6</f>
        <v>1207160</v>
      </c>
    </row>
    <row r="7" spans="1:25" hidden="1" x14ac:dyDescent="0.25">
      <c r="A7" s="17">
        <v>43313</v>
      </c>
      <c r="B7" s="17"/>
      <c r="C7" s="72">
        <f t="shared" ref="C7:C17" si="1">G7-D7-E7-F7</f>
        <v>153507</v>
      </c>
      <c r="D7" s="18">
        <f>19253+688</f>
        <v>19941</v>
      </c>
      <c r="E7" s="18">
        <v>49667</v>
      </c>
      <c r="F7" s="18">
        <v>1343</v>
      </c>
      <c r="G7" s="78">
        <f>Population!DK53+Population!DL53</f>
        <v>224458</v>
      </c>
      <c r="H7" s="65">
        <f>Population!DM53+Population!DN53</f>
        <v>61604</v>
      </c>
      <c r="I7" s="69">
        <f>Population!DP53</f>
        <v>115734</v>
      </c>
      <c r="J7" s="18">
        <f>Population!DR53</f>
        <v>15851</v>
      </c>
      <c r="K7" s="18">
        <f>Population!DO53+Population!DT53</f>
        <v>503201</v>
      </c>
      <c r="L7" s="18">
        <f>Population!CW53+Population!CX53+Population!BX53+Population!CQ53+Population!CR53</f>
        <v>16464</v>
      </c>
      <c r="M7" s="18">
        <f>Population!DS53</f>
        <v>133612</v>
      </c>
      <c r="N7" s="76">
        <f t="shared" ref="N7:N17" si="2">SUM(I7:M7)</f>
        <v>784862</v>
      </c>
      <c r="O7" s="69">
        <f>Population!DU53</f>
        <v>0</v>
      </c>
      <c r="P7" s="18">
        <f>Population!DV53</f>
        <v>0</v>
      </c>
      <c r="Q7" s="21">
        <f>Population!CU53+Population!CV53+Population!CP53</f>
        <v>0</v>
      </c>
      <c r="R7" s="74">
        <f t="shared" si="0"/>
        <v>0</v>
      </c>
      <c r="S7" s="100">
        <f t="shared" ref="S7:S17" si="3">G7+N7+Q7+H7</f>
        <v>1070924</v>
      </c>
      <c r="T7" s="20">
        <f>Population!CF53</f>
        <v>63529</v>
      </c>
      <c r="U7" s="20">
        <f>SUM(Population!G53:K53,Population!N53)</f>
        <v>70315</v>
      </c>
      <c r="V7" s="74">
        <f>Population!F53</f>
        <v>1140</v>
      </c>
      <c r="W7" s="18">
        <v>0</v>
      </c>
      <c r="X7" s="101">
        <f t="shared" ref="X7:X17" si="4">SUM(T7:W7)</f>
        <v>134984</v>
      </c>
      <c r="Y7" s="71">
        <f t="shared" ref="Y7:Y17" si="5">S7+X7</f>
        <v>1205908</v>
      </c>
    </row>
    <row r="8" spans="1:25" hidden="1" x14ac:dyDescent="0.25">
      <c r="A8" s="17">
        <v>43344</v>
      </c>
      <c r="B8" s="17"/>
      <c r="C8" s="72">
        <f t="shared" si="1"/>
        <v>153441</v>
      </c>
      <c r="D8" s="18">
        <f>19222+668</f>
        <v>19890</v>
      </c>
      <c r="E8" s="18">
        <v>49747</v>
      </c>
      <c r="F8" s="18">
        <v>1326</v>
      </c>
      <c r="G8" s="78">
        <f>Population!DK54+Population!DL54</f>
        <v>224404</v>
      </c>
      <c r="H8" s="65">
        <f>Population!DM54+Population!DN54</f>
        <v>61822</v>
      </c>
      <c r="I8" s="69">
        <f>Population!DP54</f>
        <v>115908</v>
      </c>
      <c r="J8" s="18">
        <f>Population!DR54</f>
        <v>16042</v>
      </c>
      <c r="K8" s="18">
        <f>Population!DO54+Population!DT54</f>
        <v>503591</v>
      </c>
      <c r="L8" s="18">
        <f>Population!CW54+Population!CX54+Population!BX54+Population!CQ54+Population!CR54</f>
        <v>16813</v>
      </c>
      <c r="M8" s="18">
        <f>Population!DS54</f>
        <v>134934</v>
      </c>
      <c r="N8" s="76">
        <f t="shared" si="2"/>
        <v>787288</v>
      </c>
      <c r="O8" s="69">
        <f>Population!DU54</f>
        <v>0</v>
      </c>
      <c r="P8" s="18">
        <f>Population!DV54</f>
        <v>0</v>
      </c>
      <c r="Q8" s="21">
        <f>Population!CU54+Population!CV54+Population!CP54</f>
        <v>0</v>
      </c>
      <c r="R8" s="74">
        <f t="shared" si="0"/>
        <v>0</v>
      </c>
      <c r="S8" s="100">
        <f t="shared" si="3"/>
        <v>1073514</v>
      </c>
      <c r="T8" s="20">
        <f>Population!CF54</f>
        <v>63299</v>
      </c>
      <c r="U8" s="20">
        <f>SUM(Population!G54:K54,Population!N54)</f>
        <v>70393</v>
      </c>
      <c r="V8" s="74">
        <f>Population!F54</f>
        <v>1139</v>
      </c>
      <c r="W8" s="18">
        <v>0</v>
      </c>
      <c r="X8" s="101">
        <f t="shared" si="4"/>
        <v>134831</v>
      </c>
      <c r="Y8" s="71">
        <f t="shared" si="5"/>
        <v>1208345</v>
      </c>
    </row>
    <row r="9" spans="1:25" hidden="1" x14ac:dyDescent="0.25">
      <c r="A9" s="17">
        <v>43374</v>
      </c>
      <c r="B9" s="17"/>
      <c r="C9" s="72">
        <f t="shared" si="1"/>
        <v>153824</v>
      </c>
      <c r="D9" s="18">
        <f>19147+548</f>
        <v>19695</v>
      </c>
      <c r="E9" s="18">
        <v>49094</v>
      </c>
      <c r="F9" s="18">
        <v>1324</v>
      </c>
      <c r="G9" s="78">
        <f>Population!DK55+Population!DL55</f>
        <v>223937</v>
      </c>
      <c r="H9" s="65">
        <f>Population!DM55+Population!DN55</f>
        <v>61621</v>
      </c>
      <c r="I9" s="69">
        <f>Population!DP55</f>
        <v>116026</v>
      </c>
      <c r="J9" s="18">
        <f>Population!DR55</f>
        <v>15660</v>
      </c>
      <c r="K9" s="18">
        <f>Population!DO55+Population!DT55</f>
        <v>503829</v>
      </c>
      <c r="L9" s="18">
        <f>Population!CW55+Population!CX55+Population!BX55+Population!CQ55+Population!CR55</f>
        <v>17170</v>
      </c>
      <c r="M9" s="18">
        <f>Population!DS55</f>
        <v>136074</v>
      </c>
      <c r="N9" s="76">
        <f t="shared" si="2"/>
        <v>788759</v>
      </c>
      <c r="O9" s="69">
        <f>Population!DU55</f>
        <v>0</v>
      </c>
      <c r="P9" s="18">
        <f>Population!DV55</f>
        <v>0</v>
      </c>
      <c r="Q9" s="21">
        <f>Population!CU55+Population!CV55+Population!CP55</f>
        <v>0</v>
      </c>
      <c r="R9" s="74">
        <f t="shared" si="0"/>
        <v>0</v>
      </c>
      <c r="S9" s="100">
        <f t="shared" si="3"/>
        <v>1074317</v>
      </c>
      <c r="T9" s="20">
        <f>Population!CF55</f>
        <v>63391</v>
      </c>
      <c r="U9" s="20">
        <f>SUM(Population!G55:K55,Population!N55)</f>
        <v>70459</v>
      </c>
      <c r="V9" s="74">
        <f>Population!F55</f>
        <v>1124</v>
      </c>
      <c r="W9" s="18">
        <v>0</v>
      </c>
      <c r="X9" s="101">
        <f t="shared" si="4"/>
        <v>134974</v>
      </c>
      <c r="Y9" s="71">
        <f t="shared" si="5"/>
        <v>1209291</v>
      </c>
    </row>
    <row r="10" spans="1:25" hidden="1" x14ac:dyDescent="0.25">
      <c r="A10" s="17">
        <v>43405</v>
      </c>
      <c r="B10" s="17"/>
      <c r="C10" s="72">
        <f t="shared" si="1"/>
        <v>154124</v>
      </c>
      <c r="D10" s="18">
        <f>19203+647</f>
        <v>19850</v>
      </c>
      <c r="E10" s="18">
        <v>49130</v>
      </c>
      <c r="F10" s="18">
        <v>1220</v>
      </c>
      <c r="G10" s="78">
        <f>Population!DK56+Population!DL56</f>
        <v>224324</v>
      </c>
      <c r="H10" s="65">
        <f>Population!DM56+Population!DN56</f>
        <v>61850</v>
      </c>
      <c r="I10" s="69">
        <f>Population!DP56</f>
        <v>116709</v>
      </c>
      <c r="J10" s="18">
        <f>Population!DR56</f>
        <v>15412</v>
      </c>
      <c r="K10" s="18">
        <f>Population!DO56+Population!DT56</f>
        <v>504720</v>
      </c>
      <c r="L10" s="18">
        <f>Population!CW56+Population!CX56+Population!BX56+Population!CQ56+Population!CR56</f>
        <v>17781</v>
      </c>
      <c r="M10" s="18">
        <f>Population!DS56</f>
        <v>138145</v>
      </c>
      <c r="N10" s="76">
        <f t="shared" si="2"/>
        <v>792767</v>
      </c>
      <c r="O10" s="69">
        <f>Population!DU56</f>
        <v>0</v>
      </c>
      <c r="P10" s="18">
        <f>Population!DV56</f>
        <v>0</v>
      </c>
      <c r="Q10" s="21">
        <f>Population!CU56+Population!CV56+Population!CP56</f>
        <v>0</v>
      </c>
      <c r="R10" s="74">
        <f t="shared" si="0"/>
        <v>0</v>
      </c>
      <c r="S10" s="100">
        <f t="shared" si="3"/>
        <v>1078941</v>
      </c>
      <c r="T10" s="20">
        <f>Population!CF56</f>
        <v>63746</v>
      </c>
      <c r="U10" s="20">
        <f>SUM(Population!G56:K56,Population!N56)</f>
        <v>70412</v>
      </c>
      <c r="V10" s="74">
        <f>Population!F56</f>
        <v>1115</v>
      </c>
      <c r="W10" s="18">
        <v>0</v>
      </c>
      <c r="X10" s="101">
        <f t="shared" si="4"/>
        <v>135273</v>
      </c>
      <c r="Y10" s="71">
        <f t="shared" si="5"/>
        <v>1214214</v>
      </c>
    </row>
    <row r="11" spans="1:25" hidden="1" x14ac:dyDescent="0.25">
      <c r="A11" s="17">
        <v>43435</v>
      </c>
      <c r="B11" s="17"/>
      <c r="C11" s="72">
        <f t="shared" si="1"/>
        <v>153580</v>
      </c>
      <c r="D11" s="18">
        <f>19350+642</f>
        <v>19992</v>
      </c>
      <c r="E11" s="18">
        <v>49430</v>
      </c>
      <c r="F11" s="18">
        <v>1191</v>
      </c>
      <c r="G11" s="78">
        <f>Population!DK57+Population!DL57</f>
        <v>224193</v>
      </c>
      <c r="H11" s="65">
        <f>Population!DM57+Population!DN57</f>
        <v>62028</v>
      </c>
      <c r="I11" s="69">
        <f>Population!DP57</f>
        <v>117174</v>
      </c>
      <c r="J11" s="18">
        <f>Population!DR57</f>
        <v>15200</v>
      </c>
      <c r="K11" s="18">
        <f>Population!DO57+Population!DT57</f>
        <v>504963</v>
      </c>
      <c r="L11" s="18">
        <f>Population!CW57+Population!CX57+Population!BX57+Population!CQ57+Population!CR57</f>
        <v>17999</v>
      </c>
      <c r="M11" s="18">
        <f>Population!DS57</f>
        <v>141391</v>
      </c>
      <c r="N11" s="76">
        <f t="shared" si="2"/>
        <v>796727</v>
      </c>
      <c r="O11" s="69">
        <f>Population!DU57</f>
        <v>0</v>
      </c>
      <c r="P11" s="18">
        <f>Population!DV57</f>
        <v>0</v>
      </c>
      <c r="Q11" s="21">
        <f>Population!CU57+Population!CV57+Population!CP57</f>
        <v>0</v>
      </c>
      <c r="R11" s="74">
        <f t="shared" si="0"/>
        <v>0</v>
      </c>
      <c r="S11" s="100">
        <f t="shared" si="3"/>
        <v>1082948</v>
      </c>
      <c r="T11" s="20">
        <f>Population!CF57</f>
        <v>64008</v>
      </c>
      <c r="U11" s="20">
        <f>SUM(Population!G57:K57,Population!N57)</f>
        <v>70995</v>
      </c>
      <c r="V11" s="74">
        <f>Population!F57</f>
        <v>1171</v>
      </c>
      <c r="W11" s="18">
        <v>0</v>
      </c>
      <c r="X11" s="101">
        <f t="shared" si="4"/>
        <v>136174</v>
      </c>
      <c r="Y11" s="71">
        <f t="shared" si="5"/>
        <v>1219122</v>
      </c>
    </row>
    <row r="12" spans="1:25" hidden="1" x14ac:dyDescent="0.25">
      <c r="A12" s="17">
        <v>43466</v>
      </c>
      <c r="B12" s="17"/>
      <c r="C12" s="72">
        <f t="shared" si="1"/>
        <v>155633</v>
      </c>
      <c r="D12" s="18">
        <f>17649+636</f>
        <v>18285</v>
      </c>
      <c r="E12" s="18">
        <v>47770</v>
      </c>
      <c r="F12" s="18">
        <v>1116</v>
      </c>
      <c r="G12" s="78">
        <f>Population!DK58+Population!DL58</f>
        <v>222804</v>
      </c>
      <c r="H12" s="65">
        <f>Population!DM58+Population!DN58</f>
        <v>61557</v>
      </c>
      <c r="I12" s="69">
        <f>Population!DP58</f>
        <v>112146</v>
      </c>
      <c r="J12" s="18">
        <f>Population!DR58</f>
        <v>14784</v>
      </c>
      <c r="K12" s="18">
        <f>Population!DO58+Population!DT58</f>
        <v>505927</v>
      </c>
      <c r="L12" s="18">
        <f>Population!CW58+Population!CX58+Population!BX58+Population!CQ58+Population!CR58</f>
        <v>1033</v>
      </c>
      <c r="M12" s="18">
        <f>Population!DS58</f>
        <v>41371</v>
      </c>
      <c r="N12" s="76">
        <f t="shared" si="2"/>
        <v>675261</v>
      </c>
      <c r="O12" s="69">
        <f>Population!DU58</f>
        <v>75210</v>
      </c>
      <c r="P12" s="18">
        <f>Population!DV58</f>
        <v>122535</v>
      </c>
      <c r="Q12" s="21">
        <f>Population!CU58+Population!CV58+Population!CP58</f>
        <v>908</v>
      </c>
      <c r="R12" s="74">
        <f>SUM(O12:Q12)</f>
        <v>198653</v>
      </c>
      <c r="S12" s="100">
        <f t="shared" si="3"/>
        <v>960530</v>
      </c>
      <c r="T12" s="20">
        <f>Population!CF58</f>
        <v>65088</v>
      </c>
      <c r="U12" s="20">
        <f>SUM(Population!G58:K58,Population!N58)</f>
        <v>72457</v>
      </c>
      <c r="V12" s="74">
        <f>Population!F58</f>
        <v>1267</v>
      </c>
      <c r="W12" s="18">
        <v>0</v>
      </c>
      <c r="X12" s="101">
        <f t="shared" si="4"/>
        <v>138812</v>
      </c>
      <c r="Y12" s="71">
        <f t="shared" si="5"/>
        <v>1099342</v>
      </c>
    </row>
    <row r="13" spans="1:25" hidden="1" x14ac:dyDescent="0.25">
      <c r="A13" s="17">
        <v>43497</v>
      </c>
      <c r="B13" s="17"/>
      <c r="C13" s="72">
        <f t="shared" si="1"/>
        <v>153401</v>
      </c>
      <c r="D13" s="18">
        <f>18750+627</f>
        <v>19377</v>
      </c>
      <c r="E13" s="18">
        <v>48939</v>
      </c>
      <c r="F13" s="18">
        <v>1168</v>
      </c>
      <c r="G13" s="78">
        <f>Population!DK59+Population!DL59</f>
        <v>222885</v>
      </c>
      <c r="H13" s="65">
        <f>Population!DM59+Population!DN59</f>
        <v>62056</v>
      </c>
      <c r="I13" s="69">
        <f>Population!DP59</f>
        <v>110438</v>
      </c>
      <c r="J13" s="18">
        <f>Population!DR59</f>
        <v>14804</v>
      </c>
      <c r="K13" s="18">
        <f>Population!DO59+Population!DT59</f>
        <v>508153</v>
      </c>
      <c r="L13" s="18">
        <f>Population!CW59+Population!CX59+Population!BX59+Population!CQ59+Population!CR59</f>
        <v>1070</v>
      </c>
      <c r="M13" s="18">
        <f>Population!DS59</f>
        <v>41375</v>
      </c>
      <c r="N13" s="76">
        <f t="shared" si="2"/>
        <v>675840</v>
      </c>
      <c r="O13" s="69">
        <f>Population!DU59</f>
        <v>82626</v>
      </c>
      <c r="P13" s="18">
        <f>Population!DV59</f>
        <v>136603</v>
      </c>
      <c r="Q13" s="21">
        <f>Population!CU59+Population!CV59+Population!CP59</f>
        <v>1351</v>
      </c>
      <c r="R13" s="74">
        <f t="shared" ref="R13:R17" si="6">SUM(O13:Q13)</f>
        <v>220580</v>
      </c>
      <c r="S13" s="100">
        <f t="shared" si="3"/>
        <v>962132</v>
      </c>
      <c r="T13" s="20">
        <f>Population!CF59</f>
        <v>65522</v>
      </c>
      <c r="U13" s="20">
        <f>SUM(Population!G59:K59,Population!N59)</f>
        <v>72502</v>
      </c>
      <c r="V13" s="74">
        <f>Population!F59</f>
        <v>1305</v>
      </c>
      <c r="W13" s="18">
        <v>0</v>
      </c>
      <c r="X13" s="101">
        <f t="shared" si="4"/>
        <v>139329</v>
      </c>
      <c r="Y13" s="71">
        <f t="shared" si="5"/>
        <v>1101461</v>
      </c>
    </row>
    <row r="14" spans="1:25" hidden="1" x14ac:dyDescent="0.25">
      <c r="A14" s="17">
        <v>43525</v>
      </c>
      <c r="B14" s="17"/>
      <c r="C14" s="72">
        <f t="shared" si="1"/>
        <v>152951</v>
      </c>
      <c r="D14" s="18">
        <f>18895+631</f>
        <v>19526</v>
      </c>
      <c r="E14" s="18">
        <v>48832</v>
      </c>
      <c r="F14" s="18">
        <v>1180</v>
      </c>
      <c r="G14" s="78">
        <f>Population!DK60+Population!DL60</f>
        <v>222489</v>
      </c>
      <c r="H14" s="65">
        <f>Population!DM60+Population!DN60</f>
        <v>62311</v>
      </c>
      <c r="I14" s="69">
        <f>Population!DP60</f>
        <v>108523</v>
      </c>
      <c r="J14" s="18">
        <f>Population!DR60</f>
        <v>14461</v>
      </c>
      <c r="K14" s="18">
        <f>Population!DO60+Population!DT60</f>
        <v>508063</v>
      </c>
      <c r="L14" s="18">
        <f>Population!CW60+Population!CX60+Population!BX60+Population!CQ60+Population!CR60</f>
        <v>1098</v>
      </c>
      <c r="M14" s="18">
        <f>Population!DS60</f>
        <v>40999</v>
      </c>
      <c r="N14" s="76">
        <f t="shared" si="2"/>
        <v>673144</v>
      </c>
      <c r="O14" s="69">
        <f>Population!DU60</f>
        <v>87295</v>
      </c>
      <c r="P14" s="18">
        <f>Population!DV60</f>
        <v>148060</v>
      </c>
      <c r="Q14" s="21">
        <f>Population!CU60+Population!CV60+Population!CP60</f>
        <v>1810</v>
      </c>
      <c r="R14" s="74">
        <f t="shared" si="6"/>
        <v>237165</v>
      </c>
      <c r="S14" s="100">
        <f t="shared" si="3"/>
        <v>959754</v>
      </c>
      <c r="T14" s="20">
        <f>Population!CF60</f>
        <v>65369</v>
      </c>
      <c r="U14" s="20">
        <f>SUM(Population!G60:K60,Population!N60)</f>
        <v>71984</v>
      </c>
      <c r="V14" s="74">
        <f>Population!F60</f>
        <v>1269</v>
      </c>
      <c r="W14" s="18">
        <v>0</v>
      </c>
      <c r="X14" s="101">
        <f t="shared" si="4"/>
        <v>138622</v>
      </c>
      <c r="Y14" s="71">
        <f t="shared" si="5"/>
        <v>1098376</v>
      </c>
    </row>
    <row r="15" spans="1:25" hidden="1" x14ac:dyDescent="0.25">
      <c r="A15" s="17">
        <v>43556</v>
      </c>
      <c r="B15" s="17"/>
      <c r="C15" s="72">
        <f t="shared" si="1"/>
        <v>152909</v>
      </c>
      <c r="D15" s="18">
        <f>18938+663</f>
        <v>19601</v>
      </c>
      <c r="E15" s="18">
        <v>49033</v>
      </c>
      <c r="F15" s="18">
        <v>1182</v>
      </c>
      <c r="G15" s="78">
        <f>Population!DK61+Population!DL61</f>
        <v>222725</v>
      </c>
      <c r="H15" s="65">
        <f>Population!DM61+Population!DN61</f>
        <v>62872</v>
      </c>
      <c r="I15" s="69">
        <f>Population!DP61</f>
        <v>107765</v>
      </c>
      <c r="J15" s="18">
        <f>Population!DR61</f>
        <v>14295</v>
      </c>
      <c r="K15" s="18">
        <f>Population!DO61+Population!DT61</f>
        <v>510094</v>
      </c>
      <c r="L15" s="18">
        <f>Population!CW61+Population!CX61+Population!BX61+Population!CQ61+Population!CR61</f>
        <v>1031</v>
      </c>
      <c r="M15" s="18">
        <f>Population!DS61</f>
        <v>40909</v>
      </c>
      <c r="N15" s="76">
        <f t="shared" si="2"/>
        <v>674094</v>
      </c>
      <c r="O15" s="69">
        <f>Population!DU61</f>
        <v>91561</v>
      </c>
      <c r="P15" s="18">
        <f>Population!DV61</f>
        <v>161829</v>
      </c>
      <c r="Q15" s="21">
        <f>Population!CU61+Population!CV61+Population!CP61</f>
        <v>2202</v>
      </c>
      <c r="R15" s="74">
        <f t="shared" si="6"/>
        <v>255592</v>
      </c>
      <c r="S15" s="100">
        <f t="shared" si="3"/>
        <v>961893</v>
      </c>
      <c r="T15" s="20">
        <f>Population!CF61</f>
        <v>65666</v>
      </c>
      <c r="U15" s="20">
        <f>SUM(Population!G61:K61,Population!N61)</f>
        <v>71649</v>
      </c>
      <c r="V15" s="74">
        <f>Population!F61</f>
        <v>1278</v>
      </c>
      <c r="W15" s="18">
        <v>0</v>
      </c>
      <c r="X15" s="101">
        <f t="shared" si="4"/>
        <v>138593</v>
      </c>
      <c r="Y15" s="71">
        <f t="shared" si="5"/>
        <v>1100486</v>
      </c>
    </row>
    <row r="16" spans="1:25" hidden="1" x14ac:dyDescent="0.25">
      <c r="A16" s="17">
        <v>43586</v>
      </c>
      <c r="B16" s="17"/>
      <c r="C16" s="72">
        <f t="shared" si="1"/>
        <v>152625</v>
      </c>
      <c r="D16" s="18">
        <f>19057+629</f>
        <v>19686</v>
      </c>
      <c r="E16" s="18">
        <v>49082</v>
      </c>
      <c r="F16" s="18">
        <v>1212</v>
      </c>
      <c r="G16" s="78">
        <f>Population!DK62+Population!DL62</f>
        <v>222605</v>
      </c>
      <c r="H16" s="65">
        <f>Population!DM62+Population!DN62</f>
        <v>63253</v>
      </c>
      <c r="I16" s="69">
        <f>Population!DP62</f>
        <v>106342</v>
      </c>
      <c r="J16" s="18">
        <f>Population!DR62</f>
        <v>14454</v>
      </c>
      <c r="K16" s="18">
        <f>Population!DO62+Population!DT62</f>
        <v>511563</v>
      </c>
      <c r="L16" s="18">
        <f>Population!CW62+Population!CX62+Population!BX62+Population!CQ62+Population!CR62</f>
        <v>1052</v>
      </c>
      <c r="M16" s="18">
        <f>Population!DS62</f>
        <v>41089</v>
      </c>
      <c r="N16" s="76">
        <f t="shared" si="2"/>
        <v>674500</v>
      </c>
      <c r="O16" s="69">
        <f>Population!DU62</f>
        <v>95804</v>
      </c>
      <c r="P16" s="18">
        <f>Population!DV62</f>
        <v>172387</v>
      </c>
      <c r="Q16" s="21">
        <f>Population!CU62+Population!CV62+Population!CP62</f>
        <v>2832</v>
      </c>
      <c r="R16" s="74">
        <f t="shared" si="6"/>
        <v>271023</v>
      </c>
      <c r="S16" s="100">
        <f t="shared" si="3"/>
        <v>963190</v>
      </c>
      <c r="T16" s="20">
        <f>Population!CF62</f>
        <v>65969</v>
      </c>
      <c r="U16" s="20">
        <f>SUM(Population!G62:K62,Population!N62)</f>
        <v>71937</v>
      </c>
      <c r="V16" s="74">
        <f>Population!F62</f>
        <v>1293</v>
      </c>
      <c r="W16" s="18">
        <v>0</v>
      </c>
      <c r="X16" s="101">
        <f t="shared" si="4"/>
        <v>139199</v>
      </c>
      <c r="Y16" s="71">
        <f t="shared" si="5"/>
        <v>1102389</v>
      </c>
    </row>
    <row r="17" spans="1:25" hidden="1" x14ac:dyDescent="0.25">
      <c r="A17" s="17">
        <v>43617</v>
      </c>
      <c r="B17" s="17"/>
      <c r="C17" s="72">
        <f t="shared" si="1"/>
        <v>152069</v>
      </c>
      <c r="D17" s="18">
        <f>19323+606</f>
        <v>19929</v>
      </c>
      <c r="E17" s="18">
        <v>49562</v>
      </c>
      <c r="F17" s="18">
        <v>1247</v>
      </c>
      <c r="G17" s="78">
        <f>Population!DK63+Population!DL63</f>
        <v>222807</v>
      </c>
      <c r="H17" s="65">
        <f>Population!DM63+Population!DN63</f>
        <v>63840</v>
      </c>
      <c r="I17" s="69">
        <f>Population!DP63</f>
        <v>105663</v>
      </c>
      <c r="J17" s="18">
        <f>Population!DR63</f>
        <v>14474</v>
      </c>
      <c r="K17" s="18">
        <f>Population!DO63+Population!DT63</f>
        <v>513684</v>
      </c>
      <c r="L17" s="18">
        <f>Population!CW63+Population!CX63+Population!BX63+Population!CQ63+Population!CR63</f>
        <v>1061</v>
      </c>
      <c r="M17" s="18">
        <f>Population!DS63</f>
        <v>41289</v>
      </c>
      <c r="N17" s="76">
        <f t="shared" si="2"/>
        <v>676171</v>
      </c>
      <c r="O17" s="69">
        <f>Population!DU63</f>
        <v>99250</v>
      </c>
      <c r="P17" s="18">
        <f>Population!DV63</f>
        <v>181540</v>
      </c>
      <c r="Q17" s="21">
        <f>Population!CU63+Population!CV63+Population!CP63</f>
        <v>3676</v>
      </c>
      <c r="R17" s="74">
        <f t="shared" si="6"/>
        <v>284466</v>
      </c>
      <c r="S17" s="100">
        <f t="shared" si="3"/>
        <v>966494</v>
      </c>
      <c r="T17" s="20">
        <f>Population!CF63</f>
        <v>66297</v>
      </c>
      <c r="U17" s="20">
        <f>SUM(Population!G63:K63,Population!N63)</f>
        <v>71936</v>
      </c>
      <c r="V17" s="74">
        <f>Population!F63</f>
        <v>1368</v>
      </c>
      <c r="W17" s="18">
        <v>0</v>
      </c>
      <c r="X17" s="101">
        <f t="shared" si="4"/>
        <v>139601</v>
      </c>
      <c r="Y17" s="71">
        <f t="shared" si="5"/>
        <v>1106095</v>
      </c>
    </row>
    <row r="18" spans="1:25" hidden="1" x14ac:dyDescent="0.25">
      <c r="A18" s="17"/>
      <c r="B18" s="17"/>
      <c r="C18" s="72"/>
      <c r="D18" s="18"/>
      <c r="E18" s="18"/>
      <c r="F18" s="18"/>
      <c r="G18" s="78"/>
      <c r="H18" s="65"/>
      <c r="I18" s="69"/>
      <c r="J18" s="18"/>
      <c r="K18" s="18"/>
      <c r="L18" s="18"/>
      <c r="M18" s="18"/>
      <c r="N18" s="76"/>
      <c r="O18" s="69"/>
      <c r="P18" s="18"/>
      <c r="Q18" s="21"/>
      <c r="R18" s="74"/>
      <c r="S18" s="100"/>
      <c r="T18" s="20"/>
      <c r="U18" s="20"/>
      <c r="V18" s="74"/>
      <c r="W18" s="18"/>
      <c r="X18" s="101"/>
      <c r="Y18" s="71"/>
    </row>
    <row r="19" spans="1:25" hidden="1" x14ac:dyDescent="0.25">
      <c r="A19" s="17">
        <v>43647</v>
      </c>
      <c r="B19" s="17"/>
      <c r="C19" s="72">
        <f>G19-D19-E19-F19</f>
        <v>151654</v>
      </c>
      <c r="D19" s="18">
        <f>19360+623</f>
        <v>19983</v>
      </c>
      <c r="E19" s="18">
        <v>49689</v>
      </c>
      <c r="F19" s="18">
        <v>1249</v>
      </c>
      <c r="G19" s="78">
        <f>Population!DK64+Population!DL64</f>
        <v>222575</v>
      </c>
      <c r="H19" s="65">
        <f>Population!DM64+Population!DN64</f>
        <v>64017</v>
      </c>
      <c r="I19" s="69">
        <f>Population!DP64</f>
        <v>105055</v>
      </c>
      <c r="J19" s="18">
        <f>Population!DR64</f>
        <v>14270</v>
      </c>
      <c r="K19" s="18">
        <f>Population!DO64+Population!DT64</f>
        <v>513535</v>
      </c>
      <c r="L19" s="18">
        <f>Population!CW64+Population!CX64+Population!BX64+Population!CQ64+Population!CR64</f>
        <v>1099</v>
      </c>
      <c r="M19" s="18">
        <f>Population!DS64</f>
        <v>41514</v>
      </c>
      <c r="N19" s="76">
        <f>SUM(I19:M19)</f>
        <v>675473</v>
      </c>
      <c r="O19" s="69">
        <f>Population!DU64</f>
        <v>101062</v>
      </c>
      <c r="P19" s="18">
        <f>Population!DV64</f>
        <v>188207</v>
      </c>
      <c r="Q19" s="21">
        <f>Population!CU65+Population!CV65+Population!CP65</f>
        <v>4558</v>
      </c>
      <c r="R19" s="74">
        <f>SUM(O19:Q19)</f>
        <v>293827</v>
      </c>
      <c r="S19" s="100">
        <f>G19+N19+R19+H19</f>
        <v>1255892</v>
      </c>
      <c r="T19" s="20">
        <f>Population!CF64</f>
        <v>66477</v>
      </c>
      <c r="U19" s="20">
        <f>SUM(Population!G64:K64,Population!N64)</f>
        <v>72196</v>
      </c>
      <c r="V19" s="74">
        <f>Population!F64</f>
        <v>1413</v>
      </c>
      <c r="W19" s="18">
        <v>0</v>
      </c>
      <c r="X19" s="101">
        <f>SUM(T19:W19)</f>
        <v>140086</v>
      </c>
      <c r="Y19" s="71">
        <f t="shared" ref="Y19:Y30" si="7">S19+X19</f>
        <v>1395978</v>
      </c>
    </row>
    <row r="20" spans="1:25" hidden="1" x14ac:dyDescent="0.25">
      <c r="A20" s="17">
        <v>43678</v>
      </c>
      <c r="B20" s="17"/>
      <c r="C20" s="72">
        <f t="shared" ref="C20:C30" si="8">G20-D20-E20-F20</f>
        <v>151258</v>
      </c>
      <c r="D20" s="18">
        <f>19213+618</f>
        <v>19831</v>
      </c>
      <c r="E20" s="18">
        <v>49929</v>
      </c>
      <c r="F20" s="18">
        <v>1290</v>
      </c>
      <c r="G20" s="78">
        <f>Population!DK65+Population!DL65</f>
        <v>222308</v>
      </c>
      <c r="H20" s="65">
        <f>Population!DM65+Population!DN65</f>
        <v>64235</v>
      </c>
      <c r="I20" s="69">
        <f>Population!DP65</f>
        <v>105110</v>
      </c>
      <c r="J20" s="18">
        <f>Population!DR65</f>
        <v>14176</v>
      </c>
      <c r="K20" s="18">
        <f>Population!DO65+Population!DT65</f>
        <v>513577</v>
      </c>
      <c r="L20" s="18">
        <f>Population!CW65+Population!CX65+Population!BX65+Population!CQ65+Population!CR65</f>
        <v>1119</v>
      </c>
      <c r="M20" s="18">
        <f>Population!DS65</f>
        <v>41557</v>
      </c>
      <c r="N20" s="76">
        <f t="shared" ref="N20:N81" si="9">SUM(I20:M20)</f>
        <v>675539</v>
      </c>
      <c r="O20" s="69">
        <f>Population!DU65</f>
        <v>102847</v>
      </c>
      <c r="P20" s="18">
        <f>Population!DV65</f>
        <v>195753</v>
      </c>
      <c r="Q20" s="21">
        <f>Population!CU66+Population!CV66+Population!CP66</f>
        <v>5432</v>
      </c>
      <c r="R20" s="74">
        <f t="shared" ref="R20:R30" si="10">SUM(O20:Q20)</f>
        <v>304032</v>
      </c>
      <c r="S20" s="100">
        <f t="shared" ref="S20:S30" si="11">G20+N20+R20+H20</f>
        <v>1266114</v>
      </c>
      <c r="T20" s="20">
        <f>Population!CF65</f>
        <v>66531</v>
      </c>
      <c r="U20" s="20">
        <f>SUM(Population!G65:K65,Population!N65)</f>
        <v>72648</v>
      </c>
      <c r="V20" s="74">
        <f>Population!F65</f>
        <v>1426</v>
      </c>
      <c r="W20" s="18">
        <v>0</v>
      </c>
      <c r="X20" s="101">
        <f t="shared" ref="X20:X81" si="12">SUM(T20:W20)</f>
        <v>140605</v>
      </c>
      <c r="Y20" s="71">
        <f t="shared" si="7"/>
        <v>1406719</v>
      </c>
    </row>
    <row r="21" spans="1:25" hidden="1" x14ac:dyDescent="0.25">
      <c r="A21" s="17">
        <v>43709</v>
      </c>
      <c r="B21" s="17"/>
      <c r="C21" s="72">
        <f t="shared" si="8"/>
        <v>151074</v>
      </c>
      <c r="D21" s="18">
        <f>19234+615</f>
        <v>19849</v>
      </c>
      <c r="E21" s="18">
        <v>50306</v>
      </c>
      <c r="F21" s="18">
        <v>1295</v>
      </c>
      <c r="G21" s="78">
        <f>Population!DK66+Population!DL66</f>
        <v>222524</v>
      </c>
      <c r="H21" s="65">
        <f>Population!DM66+Population!DN66</f>
        <v>64459</v>
      </c>
      <c r="I21" s="69">
        <f>Population!DP66</f>
        <v>105496</v>
      </c>
      <c r="J21" s="18">
        <f>Population!DR66</f>
        <v>14588</v>
      </c>
      <c r="K21" s="18">
        <f>Population!DO66+Population!DT66</f>
        <v>513497</v>
      </c>
      <c r="L21" s="18">
        <f>Population!CW66+Population!CX66+Population!BX66+Population!CQ66+Population!CR66</f>
        <v>1048</v>
      </c>
      <c r="M21" s="18">
        <f>Population!DS66</f>
        <v>41635</v>
      </c>
      <c r="N21" s="76">
        <f t="shared" si="9"/>
        <v>676264</v>
      </c>
      <c r="O21" s="69">
        <f>Population!DU66</f>
        <v>104334</v>
      </c>
      <c r="P21" s="18">
        <f>Population!DV66</f>
        <v>202860</v>
      </c>
      <c r="Q21" s="21">
        <f>Population!CU67+Population!CV67+Population!CP67</f>
        <v>7030</v>
      </c>
      <c r="R21" s="74">
        <f t="shared" si="10"/>
        <v>314224</v>
      </c>
      <c r="S21" s="100">
        <f t="shared" si="11"/>
        <v>1277471</v>
      </c>
      <c r="T21" s="20">
        <f>Population!CF66</f>
        <v>66658</v>
      </c>
      <c r="U21" s="20">
        <f>SUM(Population!G66:K66,Population!N66)</f>
        <v>73737</v>
      </c>
      <c r="V21" s="74">
        <f>Population!F66</f>
        <v>1456</v>
      </c>
      <c r="W21" s="18">
        <v>0</v>
      </c>
      <c r="X21" s="101">
        <f t="shared" si="12"/>
        <v>141851</v>
      </c>
      <c r="Y21" s="71">
        <f t="shared" si="7"/>
        <v>1419322</v>
      </c>
    </row>
    <row r="22" spans="1:25" hidden="1" x14ac:dyDescent="0.25">
      <c r="A22" s="17">
        <v>43739</v>
      </c>
      <c r="B22" s="17"/>
      <c r="C22" s="72">
        <f t="shared" si="8"/>
        <v>150842</v>
      </c>
      <c r="D22" s="18">
        <f>19272+606</f>
        <v>19878</v>
      </c>
      <c r="E22" s="18">
        <v>50602</v>
      </c>
      <c r="F22" s="18">
        <v>1318</v>
      </c>
      <c r="G22" s="78">
        <f>Population!DK67+Population!DL67</f>
        <v>222640</v>
      </c>
      <c r="H22" s="65">
        <f>Population!DM67+Population!DN67</f>
        <v>64493</v>
      </c>
      <c r="I22" s="69">
        <f>Population!DP67</f>
        <v>106542</v>
      </c>
      <c r="J22" s="18">
        <f>Population!DR67</f>
        <v>13933</v>
      </c>
      <c r="K22" s="18">
        <f>Population!DO67+Population!DT67</f>
        <v>514274</v>
      </c>
      <c r="L22" s="18">
        <f>Population!CW67+Population!CX67+Population!BX67+Population!CQ67+Population!CR67</f>
        <v>1137</v>
      </c>
      <c r="M22" s="18">
        <f>Population!DS67</f>
        <v>42114</v>
      </c>
      <c r="N22" s="76">
        <f t="shared" si="9"/>
        <v>678000</v>
      </c>
      <c r="O22" s="69">
        <f>Population!DU67</f>
        <v>106476</v>
      </c>
      <c r="P22" s="18">
        <f>Population!DV67</f>
        <v>209514</v>
      </c>
      <c r="Q22" s="21">
        <f>Population!CU68+Population!CV68+Population!CP68</f>
        <v>9235</v>
      </c>
      <c r="R22" s="74">
        <f t="shared" si="10"/>
        <v>325225</v>
      </c>
      <c r="S22" s="100">
        <f t="shared" si="11"/>
        <v>1290358</v>
      </c>
      <c r="T22" s="20">
        <f>Population!CF67</f>
        <v>67165</v>
      </c>
      <c r="U22" s="20">
        <f>SUM(Population!G67:K67,Population!N67)</f>
        <v>74393</v>
      </c>
      <c r="V22" s="74">
        <f>Population!F67</f>
        <v>1467</v>
      </c>
      <c r="W22" s="18">
        <v>0</v>
      </c>
      <c r="X22" s="101">
        <f t="shared" si="12"/>
        <v>143025</v>
      </c>
      <c r="Y22" s="71">
        <f t="shared" si="7"/>
        <v>1433383</v>
      </c>
    </row>
    <row r="23" spans="1:25" hidden="1" x14ac:dyDescent="0.25">
      <c r="A23" s="17">
        <v>43770</v>
      </c>
      <c r="B23" s="17"/>
      <c r="C23" s="72">
        <f t="shared" si="8"/>
        <v>150507</v>
      </c>
      <c r="D23" s="18">
        <f>19316+610</f>
        <v>19926</v>
      </c>
      <c r="E23" s="18">
        <v>50780</v>
      </c>
      <c r="F23" s="18">
        <v>1327</v>
      </c>
      <c r="G23" s="78">
        <f>Population!DK68+Population!DL68</f>
        <v>222540</v>
      </c>
      <c r="H23" s="65">
        <f>Population!DM68+Population!DN68</f>
        <v>64803</v>
      </c>
      <c r="I23" s="69">
        <f>Population!DP68</f>
        <v>107149</v>
      </c>
      <c r="J23" s="18">
        <f>Population!DR68</f>
        <v>13671</v>
      </c>
      <c r="K23" s="18">
        <f>Population!DO68+Population!DT68</f>
        <v>515211</v>
      </c>
      <c r="L23" s="18">
        <f>Population!CW68+Population!CX68+Population!BX68+Population!CQ68+Population!CR68</f>
        <v>1284</v>
      </c>
      <c r="M23" s="18">
        <f>Population!DS68</f>
        <v>42963</v>
      </c>
      <c r="N23" s="76">
        <f t="shared" si="9"/>
        <v>680278</v>
      </c>
      <c r="O23" s="69">
        <f>Population!DU68</f>
        <v>107272</v>
      </c>
      <c r="P23" s="18">
        <f>Population!DV68</f>
        <v>210363</v>
      </c>
      <c r="Q23" s="21">
        <f>Population!CU69+Population!CV69+Population!CP69</f>
        <v>11402</v>
      </c>
      <c r="R23" s="74">
        <f t="shared" si="10"/>
        <v>329037</v>
      </c>
      <c r="S23" s="100">
        <f t="shared" si="11"/>
        <v>1296658</v>
      </c>
      <c r="T23" s="20">
        <f>Population!CF68</f>
        <v>67404</v>
      </c>
      <c r="U23" s="20">
        <f>SUM(Population!G68:K68,Population!N68)</f>
        <v>74571</v>
      </c>
      <c r="V23" s="74">
        <f>Population!F68</f>
        <v>1466</v>
      </c>
      <c r="W23" s="18">
        <v>0</v>
      </c>
      <c r="X23" s="101">
        <f t="shared" si="12"/>
        <v>143441</v>
      </c>
      <c r="Y23" s="71">
        <f t="shared" si="7"/>
        <v>1440099</v>
      </c>
    </row>
    <row r="24" spans="1:25" hidden="1" x14ac:dyDescent="0.25">
      <c r="A24" s="17">
        <v>43800</v>
      </c>
      <c r="B24" s="17"/>
      <c r="C24" s="72">
        <f t="shared" si="8"/>
        <v>150099</v>
      </c>
      <c r="D24" s="18">
        <f>19470+605</f>
        <v>20075</v>
      </c>
      <c r="E24" s="18">
        <v>51069</v>
      </c>
      <c r="F24" s="18">
        <v>1326</v>
      </c>
      <c r="G24" s="78">
        <f>Population!DK69+Population!DL69</f>
        <v>222569</v>
      </c>
      <c r="H24" s="65">
        <f>Population!DM69+Population!DN69</f>
        <v>64964</v>
      </c>
      <c r="I24" s="69">
        <f>Population!DP69</f>
        <v>107325</v>
      </c>
      <c r="J24" s="18">
        <f>Population!DR69</f>
        <v>13360</v>
      </c>
      <c r="K24" s="18">
        <f>Population!DO69+Population!DT69</f>
        <v>517140</v>
      </c>
      <c r="L24" s="18">
        <f>Population!CW69+Population!CX69+Population!BX69+Population!CQ69+Population!CR69</f>
        <v>1376</v>
      </c>
      <c r="M24" s="18">
        <f>Population!DS69</f>
        <v>43648</v>
      </c>
      <c r="N24" s="76">
        <f t="shared" si="9"/>
        <v>682849</v>
      </c>
      <c r="O24" s="69">
        <f>Population!DU69</f>
        <v>110918</v>
      </c>
      <c r="P24" s="18">
        <f>Population!DV69</f>
        <v>220727</v>
      </c>
      <c r="Q24" s="21">
        <f>Population!CU70+Population!CV70+Population!CP70</f>
        <v>14680</v>
      </c>
      <c r="R24" s="74">
        <f t="shared" si="10"/>
        <v>346325</v>
      </c>
      <c r="S24" s="100">
        <f t="shared" si="11"/>
        <v>1316707</v>
      </c>
      <c r="T24" s="20">
        <f>Population!CF69</f>
        <v>70767</v>
      </c>
      <c r="U24" s="20">
        <f>SUM(Population!G69:K69,Population!N69)</f>
        <v>74315</v>
      </c>
      <c r="V24" s="74">
        <f>Population!F69</f>
        <v>1591</v>
      </c>
      <c r="W24" s="18">
        <v>0</v>
      </c>
      <c r="X24" s="101">
        <f t="shared" si="12"/>
        <v>146673</v>
      </c>
      <c r="Y24" s="71">
        <f t="shared" si="7"/>
        <v>1463380</v>
      </c>
    </row>
    <row r="25" spans="1:25" hidden="1" x14ac:dyDescent="0.25">
      <c r="A25" s="17">
        <v>43831</v>
      </c>
      <c r="B25" s="17"/>
      <c r="C25" s="72">
        <f t="shared" si="8"/>
        <v>151372</v>
      </c>
      <c r="D25" s="18">
        <f>18732+593</f>
        <v>19325</v>
      </c>
      <c r="E25" s="18">
        <v>50000</v>
      </c>
      <c r="F25" s="18">
        <v>1252</v>
      </c>
      <c r="G25" s="78">
        <f>Population!DK70+Population!DL70</f>
        <v>221949</v>
      </c>
      <c r="H25" s="65">
        <f>Population!DM70+Population!DN70</f>
        <v>64820</v>
      </c>
      <c r="I25" s="69">
        <f>Population!DP70</f>
        <v>108002</v>
      </c>
      <c r="J25" s="18">
        <f>Population!DR70</f>
        <v>13158</v>
      </c>
      <c r="K25" s="18">
        <f>Population!DO70+Population!DT70</f>
        <v>521198</v>
      </c>
      <c r="L25" s="18">
        <f>Population!CW70+Population!CX70+Population!BX70+Population!CQ70+Population!CR70</f>
        <v>1484</v>
      </c>
      <c r="M25" s="18">
        <f>Population!DS70</f>
        <v>44140</v>
      </c>
      <c r="N25" s="76">
        <f t="shared" si="9"/>
        <v>687982</v>
      </c>
      <c r="O25" s="69">
        <f>Population!DU70</f>
        <v>116369</v>
      </c>
      <c r="P25" s="18">
        <f>Population!DV70</f>
        <v>241049</v>
      </c>
      <c r="Q25" s="21">
        <f>Population!CU71+Population!CV71+Population!CP71</f>
        <v>18205</v>
      </c>
      <c r="R25" s="74">
        <f t="shared" si="10"/>
        <v>375623</v>
      </c>
      <c r="S25" s="100">
        <f t="shared" si="11"/>
        <v>1350374</v>
      </c>
      <c r="T25" s="20">
        <f>Population!CF70</f>
        <v>75187</v>
      </c>
      <c r="U25" s="20">
        <f>SUM(Population!G70:K70,Population!N70)</f>
        <v>74349</v>
      </c>
      <c r="V25" s="74">
        <f>Population!F70</f>
        <v>1719</v>
      </c>
      <c r="W25" s="18">
        <v>0</v>
      </c>
      <c r="X25" s="101">
        <f t="shared" si="12"/>
        <v>151255</v>
      </c>
      <c r="Y25" s="71">
        <f t="shared" si="7"/>
        <v>1501629</v>
      </c>
    </row>
    <row r="26" spans="1:25" hidden="1" x14ac:dyDescent="0.25">
      <c r="A26" s="17">
        <v>43862</v>
      </c>
      <c r="B26" s="17"/>
      <c r="C26" s="72">
        <f t="shared" si="8"/>
        <v>149240</v>
      </c>
      <c r="D26" s="18">
        <f>19149+585</f>
        <v>19734</v>
      </c>
      <c r="E26" s="18">
        <v>51181</v>
      </c>
      <c r="F26" s="18">
        <v>1317</v>
      </c>
      <c r="G26" s="78">
        <f>Population!DK71+Population!DL71</f>
        <v>221472</v>
      </c>
      <c r="H26" s="65">
        <f>Population!DM71+Population!DN71</f>
        <v>64651</v>
      </c>
      <c r="I26" s="69">
        <f>Population!DP71</f>
        <v>107909</v>
      </c>
      <c r="J26" s="18">
        <f>Population!DR71</f>
        <v>13275</v>
      </c>
      <c r="K26" s="18">
        <f>Population!DO71+Population!DT71</f>
        <v>521131</v>
      </c>
      <c r="L26" s="18">
        <f>Population!CW71+Population!CX71+Population!BX71+Population!CQ71+Population!CR71</f>
        <v>1603</v>
      </c>
      <c r="M26" s="18">
        <f>Population!DS71</f>
        <v>45215</v>
      </c>
      <c r="N26" s="76">
        <f t="shared" si="9"/>
        <v>689133</v>
      </c>
      <c r="O26" s="69">
        <f>Population!DU71</f>
        <v>117421</v>
      </c>
      <c r="P26" s="18">
        <f>Population!DV71</f>
        <v>246301</v>
      </c>
      <c r="Q26" s="21">
        <f>Population!CU72+Population!CV72+Population!CP72</f>
        <v>18420</v>
      </c>
      <c r="R26" s="74">
        <f t="shared" si="10"/>
        <v>382142</v>
      </c>
      <c r="S26" s="100">
        <f t="shared" si="11"/>
        <v>1357398</v>
      </c>
      <c r="T26" s="20">
        <f>Population!CF71</f>
        <v>75211</v>
      </c>
      <c r="U26" s="20">
        <f>SUM(Population!G71:K71,Population!N71)</f>
        <v>74943</v>
      </c>
      <c r="V26" s="74">
        <f>Population!F71</f>
        <v>1687</v>
      </c>
      <c r="W26" s="18">
        <v>0</v>
      </c>
      <c r="X26" s="101">
        <f t="shared" si="12"/>
        <v>151841</v>
      </c>
      <c r="Y26" s="71">
        <f t="shared" si="7"/>
        <v>1509239</v>
      </c>
    </row>
    <row r="27" spans="1:25" hidden="1" x14ac:dyDescent="0.25">
      <c r="A27" s="17">
        <v>43891</v>
      </c>
      <c r="B27" s="17"/>
      <c r="C27" s="72">
        <f t="shared" si="8"/>
        <v>149095</v>
      </c>
      <c r="D27" s="18">
        <f>19269+572</f>
        <v>19841</v>
      </c>
      <c r="E27" s="18">
        <v>51199</v>
      </c>
      <c r="F27" s="18">
        <v>1306</v>
      </c>
      <c r="G27" s="78">
        <f>Population!DK72+Population!DL72</f>
        <v>221441</v>
      </c>
      <c r="H27" s="65">
        <f>Population!DM72+Population!DN72</f>
        <v>64416</v>
      </c>
      <c r="I27" s="69">
        <f>Population!DP72</f>
        <v>108369</v>
      </c>
      <c r="J27" s="18">
        <f>Population!DR72</f>
        <v>13168</v>
      </c>
      <c r="K27" s="18">
        <f>Population!DO72+Population!DT72</f>
        <v>521899</v>
      </c>
      <c r="L27" s="18">
        <f>Population!CW72+Population!CX72+Population!BX72+Population!CQ72+Population!CR72</f>
        <v>1632</v>
      </c>
      <c r="M27" s="18">
        <f>Population!DS72</f>
        <v>45893</v>
      </c>
      <c r="N27" s="76">
        <f t="shared" si="9"/>
        <v>690961</v>
      </c>
      <c r="O27" s="69">
        <f>Population!DU72</f>
        <v>117940</v>
      </c>
      <c r="P27" s="18">
        <f>Population!DV72</f>
        <v>250629</v>
      </c>
      <c r="Q27" s="21">
        <f>Population!CU73+Population!CV73+Population!CP73</f>
        <v>19780</v>
      </c>
      <c r="R27" s="74">
        <f t="shared" si="10"/>
        <v>388349</v>
      </c>
      <c r="S27" s="100">
        <f t="shared" si="11"/>
        <v>1365167</v>
      </c>
      <c r="T27" s="20">
        <f>Population!CF72</f>
        <v>75329</v>
      </c>
      <c r="U27" s="20">
        <f>SUM(Population!G72:K72,Population!N72)</f>
        <v>75296</v>
      </c>
      <c r="V27" s="74">
        <f>Population!F72</f>
        <v>1563</v>
      </c>
      <c r="W27" s="18">
        <v>0</v>
      </c>
      <c r="X27" s="101">
        <f t="shared" si="12"/>
        <v>152188</v>
      </c>
      <c r="Y27" s="71">
        <f t="shared" si="7"/>
        <v>1517355</v>
      </c>
    </row>
    <row r="28" spans="1:25" hidden="1" x14ac:dyDescent="0.25">
      <c r="A28" s="17">
        <v>43922</v>
      </c>
      <c r="B28" s="17"/>
      <c r="C28" s="72">
        <f t="shared" si="8"/>
        <v>150087</v>
      </c>
      <c r="D28" s="18">
        <f>19251+576</f>
        <v>19827</v>
      </c>
      <c r="E28" s="18">
        <v>51249</v>
      </c>
      <c r="F28" s="18">
        <v>1333</v>
      </c>
      <c r="G28" s="78">
        <f>Population!DK73+Population!DL73</f>
        <v>222496</v>
      </c>
      <c r="H28" s="65">
        <f>Population!DM73+Population!DN73</f>
        <v>64790</v>
      </c>
      <c r="I28" s="69">
        <f>Population!DP73</f>
        <v>109412</v>
      </c>
      <c r="J28" s="18">
        <f>Population!DR73</f>
        <v>13741</v>
      </c>
      <c r="K28" s="18">
        <f>Population!DO73+Population!DT73</f>
        <v>525735</v>
      </c>
      <c r="L28" s="18">
        <f>Population!CW73+Population!CX73+Population!BX73+Population!CQ73+Population!CR73</f>
        <v>1737</v>
      </c>
      <c r="M28" s="18">
        <f>Population!DS73</f>
        <v>46521</v>
      </c>
      <c r="N28" s="76">
        <f t="shared" si="9"/>
        <v>697146</v>
      </c>
      <c r="O28" s="69">
        <f>Population!DU73</f>
        <v>118821</v>
      </c>
      <c r="P28" s="18">
        <f>Population!DV73</f>
        <v>258022</v>
      </c>
      <c r="Q28" s="21">
        <f>Population!CU74+Population!CV74+Population!CP74</f>
        <v>19614</v>
      </c>
      <c r="R28" s="74">
        <f t="shared" si="10"/>
        <v>396457</v>
      </c>
      <c r="S28" s="100">
        <f t="shared" si="11"/>
        <v>1380889</v>
      </c>
      <c r="T28" s="20">
        <f>Population!CF73</f>
        <v>75899</v>
      </c>
      <c r="U28" s="20">
        <f>SUM(Population!G73:K73,Population!N73)</f>
        <v>76074</v>
      </c>
      <c r="V28" s="74">
        <f>Population!F73</f>
        <v>1642</v>
      </c>
      <c r="W28" s="18">
        <v>0</v>
      </c>
      <c r="X28" s="101">
        <f t="shared" si="12"/>
        <v>153615</v>
      </c>
      <c r="Y28" s="71">
        <f t="shared" si="7"/>
        <v>1534504</v>
      </c>
    </row>
    <row r="29" spans="1:25" hidden="1" x14ac:dyDescent="0.25">
      <c r="A29" s="17">
        <v>43952</v>
      </c>
      <c r="B29" s="17"/>
      <c r="C29" s="72">
        <f t="shared" si="8"/>
        <v>153278</v>
      </c>
      <c r="D29" s="18">
        <f>19251+574</f>
        <v>19825</v>
      </c>
      <c r="E29" s="18">
        <v>52001</v>
      </c>
      <c r="F29" s="18">
        <v>1387</v>
      </c>
      <c r="G29" s="78">
        <f>Population!DK74+Population!DL74</f>
        <v>226491</v>
      </c>
      <c r="H29" s="65">
        <f>Population!DM74+Population!DN74</f>
        <v>66320</v>
      </c>
      <c r="I29" s="69">
        <f>Population!DP74</f>
        <v>115774</v>
      </c>
      <c r="J29" s="18">
        <f>Population!DR74</f>
        <v>15770</v>
      </c>
      <c r="K29" s="18">
        <f>Population!DO74+Population!DT74</f>
        <v>542608</v>
      </c>
      <c r="L29" s="18">
        <f>Population!CW74+Population!CX74+Population!BX74+Population!CQ74+Population!CR74</f>
        <v>1710</v>
      </c>
      <c r="M29" s="18">
        <f>Population!DS74</f>
        <v>45224</v>
      </c>
      <c r="N29" s="76">
        <f t="shared" si="9"/>
        <v>721086</v>
      </c>
      <c r="O29" s="69">
        <f>Population!DU74</f>
        <v>122540</v>
      </c>
      <c r="P29" s="18">
        <f>Population!DV74</f>
        <v>274337</v>
      </c>
      <c r="Q29" s="21">
        <f>Population!CU75+Population!CV75+Population!CP75</f>
        <v>19352</v>
      </c>
      <c r="R29" s="74">
        <f t="shared" si="10"/>
        <v>416229</v>
      </c>
      <c r="S29" s="100">
        <f t="shared" si="11"/>
        <v>1430126</v>
      </c>
      <c r="T29" s="20">
        <f>Population!CF74</f>
        <v>76873</v>
      </c>
      <c r="U29" s="20">
        <f>SUM(Population!G74:K74,Population!N74)</f>
        <v>76837</v>
      </c>
      <c r="V29" s="74">
        <f>Population!F74</f>
        <v>1772</v>
      </c>
      <c r="W29" s="18">
        <v>0</v>
      </c>
      <c r="X29" s="101">
        <f t="shared" si="12"/>
        <v>155482</v>
      </c>
      <c r="Y29" s="71">
        <f t="shared" si="7"/>
        <v>1585608</v>
      </c>
    </row>
    <row r="30" spans="1:25" hidden="1" x14ac:dyDescent="0.25">
      <c r="A30" s="17">
        <v>43983</v>
      </c>
      <c r="B30" s="17"/>
      <c r="C30" s="108">
        <f t="shared" si="8"/>
        <v>153422</v>
      </c>
      <c r="D30" s="52">
        <f>19476+578</f>
        <v>20054</v>
      </c>
      <c r="E30" s="18">
        <v>52557</v>
      </c>
      <c r="F30" s="18">
        <v>1400</v>
      </c>
      <c r="G30" s="78">
        <f>Population!DK75+Population!DL75</f>
        <v>227433</v>
      </c>
      <c r="H30" s="65">
        <f>Population!DM75+Population!DN75</f>
        <v>66595</v>
      </c>
      <c r="I30" s="69">
        <f>Population!DP75</f>
        <v>118311</v>
      </c>
      <c r="J30" s="18">
        <f>Population!DR75</f>
        <v>16939</v>
      </c>
      <c r="K30" s="18">
        <f>Population!DO75+Population!DT75</f>
        <v>549695</v>
      </c>
      <c r="L30" s="18">
        <f>Population!CW75+Population!CX75+Population!BX75+Population!CQ75+Population!CR75</f>
        <v>1673</v>
      </c>
      <c r="M30" s="18">
        <f>Population!DS75</f>
        <v>45026</v>
      </c>
      <c r="N30" s="76">
        <f t="shared" si="9"/>
        <v>731644</v>
      </c>
      <c r="O30" s="69">
        <f>Population!DU75</f>
        <v>124160</v>
      </c>
      <c r="P30" s="18">
        <f>Population!DV75</f>
        <v>282588</v>
      </c>
      <c r="Q30" s="21">
        <f>Population!CU76+Population!CV76+Population!CP76</f>
        <v>19178</v>
      </c>
      <c r="R30" s="74">
        <f t="shared" si="10"/>
        <v>425926</v>
      </c>
      <c r="S30" s="100">
        <f t="shared" si="11"/>
        <v>1451598</v>
      </c>
      <c r="T30" s="20">
        <f>Population!CF75</f>
        <v>77419</v>
      </c>
      <c r="U30" s="20">
        <f>SUM(Population!G75:K75,Population!N75)</f>
        <v>76671</v>
      </c>
      <c r="V30" s="74">
        <f>Population!F75</f>
        <v>1841</v>
      </c>
      <c r="W30" s="18">
        <v>0</v>
      </c>
      <c r="X30" s="101">
        <f t="shared" si="12"/>
        <v>155931</v>
      </c>
      <c r="Y30" s="71">
        <f t="shared" si="7"/>
        <v>1607529</v>
      </c>
    </row>
    <row r="31" spans="1:25" hidden="1" x14ac:dyDescent="0.25">
      <c r="A31" s="17"/>
      <c r="B31" s="17"/>
      <c r="C31" s="72"/>
      <c r="D31" s="18"/>
      <c r="E31" s="18"/>
      <c r="F31" s="18"/>
      <c r="G31" s="78"/>
      <c r="H31" s="65"/>
      <c r="I31" s="69"/>
      <c r="J31" s="18"/>
      <c r="K31" s="18"/>
      <c r="L31" s="18"/>
      <c r="M31" s="18"/>
      <c r="N31" s="76"/>
      <c r="O31" s="69"/>
      <c r="P31" s="18"/>
      <c r="Q31" s="21"/>
      <c r="R31" s="74"/>
      <c r="S31" s="100"/>
      <c r="T31" s="20"/>
      <c r="U31" s="20"/>
      <c r="V31" s="74"/>
      <c r="W31" s="18"/>
      <c r="X31" s="101"/>
      <c r="Y31" s="71"/>
    </row>
    <row r="32" spans="1:25" hidden="1" x14ac:dyDescent="0.25">
      <c r="A32" s="17">
        <v>44013</v>
      </c>
      <c r="B32" s="17"/>
      <c r="C32" s="72">
        <f t="shared" ref="C32:C42" si="13">G32-D32-E32-F32</f>
        <v>153838</v>
      </c>
      <c r="D32" s="18">
        <f>19425+577</f>
        <v>20002</v>
      </c>
      <c r="E32" s="18">
        <v>52972</v>
      </c>
      <c r="F32" s="18">
        <v>1414</v>
      </c>
      <c r="G32" s="78">
        <f>Population!DK76+Population!DL76</f>
        <v>228226</v>
      </c>
      <c r="H32" s="65">
        <f>Population!DM76+Population!DN76</f>
        <v>66796</v>
      </c>
      <c r="I32" s="69">
        <f>Population!DP76</f>
        <v>120535</v>
      </c>
      <c r="J32" s="18">
        <f>Population!DR76</f>
        <v>18011</v>
      </c>
      <c r="K32" s="18">
        <f>Population!DO76+Population!DT76</f>
        <v>556991</v>
      </c>
      <c r="L32" s="18">
        <f>Population!CW76+Population!CX76+Population!BX76+Population!CQ76+Population!CR76</f>
        <v>1630</v>
      </c>
      <c r="M32" s="18">
        <f>Population!DS76</f>
        <v>44946</v>
      </c>
      <c r="N32" s="76">
        <f t="shared" si="9"/>
        <v>742113</v>
      </c>
      <c r="O32" s="69">
        <f>Population!DU76</f>
        <v>125736</v>
      </c>
      <c r="P32" s="18">
        <f>Population!DV76</f>
        <v>291267</v>
      </c>
      <c r="Q32" s="21">
        <f>Population!CU76+Population!CV76+Population!CP76</f>
        <v>19178</v>
      </c>
      <c r="R32" s="74">
        <f>SUM(O32:Q32)</f>
        <v>436181</v>
      </c>
      <c r="S32" s="100">
        <f t="shared" ref="S32:S81" si="14">G32+N32+R32+H32</f>
        <v>1473316</v>
      </c>
      <c r="T32" s="20">
        <f>Population!CF76</f>
        <v>77996</v>
      </c>
      <c r="U32" s="20">
        <f>SUM(Population!G76:K76,Population!N76)</f>
        <v>76574</v>
      </c>
      <c r="V32" s="74">
        <f>Population!F76</f>
        <v>1936</v>
      </c>
      <c r="W32" s="18">
        <v>0</v>
      </c>
      <c r="X32" s="101">
        <f t="shared" si="12"/>
        <v>156506</v>
      </c>
      <c r="Y32" s="71">
        <f t="shared" ref="Y32:Y43" si="15">S32+X32</f>
        <v>1629822</v>
      </c>
    </row>
    <row r="33" spans="1:25" hidden="1" x14ac:dyDescent="0.25">
      <c r="A33" s="17">
        <v>44044</v>
      </c>
      <c r="B33" s="17"/>
      <c r="C33" s="72">
        <f t="shared" si="13"/>
        <v>154641</v>
      </c>
      <c r="D33" s="18">
        <f>19456+583</f>
        <v>20039</v>
      </c>
      <c r="E33" s="18">
        <v>53142</v>
      </c>
      <c r="F33" s="18">
        <v>1402</v>
      </c>
      <c r="G33" s="78">
        <f>Population!DK77+Population!DL77</f>
        <v>229224</v>
      </c>
      <c r="H33" s="65">
        <f>Population!DM77+Population!DN77</f>
        <v>67011</v>
      </c>
      <c r="I33" s="69">
        <f>Population!DP77</f>
        <v>122711</v>
      </c>
      <c r="J33" s="18">
        <f>Population!DR77</f>
        <v>18737</v>
      </c>
      <c r="K33" s="18">
        <f>Population!DO77+Population!DT77</f>
        <v>560998</v>
      </c>
      <c r="L33" s="18">
        <f>Population!CW77+Population!CX77+Population!BX77+Population!CQ77+Population!CR77</f>
        <v>1621</v>
      </c>
      <c r="M33" s="18">
        <f>Population!DS77</f>
        <v>45371</v>
      </c>
      <c r="N33" s="76">
        <f t="shared" si="9"/>
        <v>749438</v>
      </c>
      <c r="O33" s="69">
        <f>Population!DU77</f>
        <v>127198</v>
      </c>
      <c r="P33" s="18">
        <f>Population!DV77</f>
        <v>302085</v>
      </c>
      <c r="Q33" s="21">
        <f>Population!CU77+Population!CV77+Population!CP77</f>
        <v>18956</v>
      </c>
      <c r="R33" s="74">
        <f t="shared" ref="R33:R43" si="16">SUM(O33:Q33)</f>
        <v>448239</v>
      </c>
      <c r="S33" s="100">
        <f t="shared" si="14"/>
        <v>1493912</v>
      </c>
      <c r="T33" s="20">
        <f>Population!CF77</f>
        <v>78089</v>
      </c>
      <c r="U33" s="20">
        <f>SUM(Population!G77:K77,Population!N77)</f>
        <v>77112</v>
      </c>
      <c r="V33" s="74">
        <f>Population!F77</f>
        <v>1739</v>
      </c>
      <c r="W33" s="18">
        <v>0</v>
      </c>
      <c r="X33" s="101">
        <f t="shared" si="12"/>
        <v>156940</v>
      </c>
      <c r="Y33" s="71">
        <f t="shared" si="15"/>
        <v>1650852</v>
      </c>
    </row>
    <row r="34" spans="1:25" hidden="1" x14ac:dyDescent="0.25">
      <c r="A34" s="17">
        <v>44075</v>
      </c>
      <c r="B34" s="17"/>
      <c r="C34" s="72">
        <f t="shared" si="13"/>
        <v>154833</v>
      </c>
      <c r="D34" s="18">
        <f>19327+575</f>
        <v>19902</v>
      </c>
      <c r="E34" s="18">
        <v>53387</v>
      </c>
      <c r="F34" s="18">
        <v>1430</v>
      </c>
      <c r="G34" s="78">
        <f>Population!DK78+Population!DL78</f>
        <v>229552</v>
      </c>
      <c r="H34" s="65">
        <f>Population!DM78+Population!DN78</f>
        <v>67020</v>
      </c>
      <c r="I34" s="69">
        <f>Population!DP78</f>
        <v>124596</v>
      </c>
      <c r="J34" s="18">
        <f>Population!DR78</f>
        <v>18918</v>
      </c>
      <c r="K34" s="18">
        <f>Population!DO78+Population!DT78</f>
        <v>566635</v>
      </c>
      <c r="L34" s="18">
        <f>Population!CW78+Population!CX78+Population!BX78+Population!CQ78+Population!CR78</f>
        <v>1635</v>
      </c>
      <c r="M34" s="18">
        <f>Population!DS78</f>
        <v>45731</v>
      </c>
      <c r="N34" s="76">
        <f t="shared" si="9"/>
        <v>757515</v>
      </c>
      <c r="O34" s="69">
        <f>Population!DU78</f>
        <v>128844</v>
      </c>
      <c r="P34" s="18">
        <f>Population!DV78</f>
        <v>310904</v>
      </c>
      <c r="Q34" s="21">
        <f>Population!CU78+Population!CV78+Population!CP78</f>
        <v>18816</v>
      </c>
      <c r="R34" s="74">
        <f t="shared" si="16"/>
        <v>458564</v>
      </c>
      <c r="S34" s="100">
        <f t="shared" si="14"/>
        <v>1512651</v>
      </c>
      <c r="T34" s="20">
        <f>Population!CF78</f>
        <v>78262</v>
      </c>
      <c r="U34" s="20">
        <f>SUM(Population!G78:K78,Population!N78)</f>
        <v>77063</v>
      </c>
      <c r="V34" s="74">
        <f>Population!F78</f>
        <v>1567</v>
      </c>
      <c r="W34" s="18">
        <v>0</v>
      </c>
      <c r="X34" s="101">
        <f t="shared" si="12"/>
        <v>156892</v>
      </c>
      <c r="Y34" s="71">
        <f t="shared" si="15"/>
        <v>1669543</v>
      </c>
    </row>
    <row r="35" spans="1:25" hidden="1" x14ac:dyDescent="0.25">
      <c r="A35" s="17">
        <v>44105</v>
      </c>
      <c r="B35" s="17"/>
      <c r="C35" s="72">
        <f t="shared" si="13"/>
        <v>155471</v>
      </c>
      <c r="D35" s="18">
        <f>19222+575</f>
        <v>19797</v>
      </c>
      <c r="E35" s="18">
        <v>53414</v>
      </c>
      <c r="F35" s="18">
        <v>1439</v>
      </c>
      <c r="G35" s="78">
        <f>Population!DK79+Population!DL79</f>
        <v>230121</v>
      </c>
      <c r="H35" s="65">
        <f>Population!DM79+Population!DN79</f>
        <v>67030</v>
      </c>
      <c r="I35" s="69">
        <f>Population!DP79</f>
        <v>126847</v>
      </c>
      <c r="J35" s="18">
        <f>Population!DR79</f>
        <v>19504</v>
      </c>
      <c r="K35" s="18">
        <f>Population!DO79+Population!DT79</f>
        <v>573039</v>
      </c>
      <c r="L35" s="18">
        <f>Population!CW79+Population!CX79+Population!BX79+Population!CQ79+Population!CR79</f>
        <v>1633</v>
      </c>
      <c r="M35" s="18">
        <f>Population!DS79</f>
        <v>45407</v>
      </c>
      <c r="N35" s="76">
        <f t="shared" si="9"/>
        <v>766430</v>
      </c>
      <c r="O35" s="69">
        <f>Population!DU79</f>
        <v>130381</v>
      </c>
      <c r="P35" s="18">
        <f>Population!DV79</f>
        <v>320601</v>
      </c>
      <c r="Q35" s="21">
        <f>Population!CU79+Population!CV79+Population!CP79</f>
        <v>18711</v>
      </c>
      <c r="R35" s="74">
        <f t="shared" si="16"/>
        <v>469693</v>
      </c>
      <c r="S35" s="100">
        <f t="shared" si="14"/>
        <v>1533274</v>
      </c>
      <c r="T35" s="20">
        <f>Population!CF79</f>
        <v>78176</v>
      </c>
      <c r="U35" s="20">
        <f>SUM(Population!G79:K79,Population!N79)</f>
        <v>77375</v>
      </c>
      <c r="V35" s="74">
        <f>Population!F79</f>
        <v>1505</v>
      </c>
      <c r="W35" s="18">
        <v>0</v>
      </c>
      <c r="X35" s="101">
        <f t="shared" si="12"/>
        <v>157056</v>
      </c>
      <c r="Y35" s="71">
        <f t="shared" si="15"/>
        <v>1690330</v>
      </c>
    </row>
    <row r="36" spans="1:25" hidden="1" x14ac:dyDescent="0.25">
      <c r="A36" s="17">
        <v>44136</v>
      </c>
      <c r="B36" s="17"/>
      <c r="C36" s="72">
        <f t="shared" si="13"/>
        <v>155802</v>
      </c>
      <c r="D36" s="18">
        <f>19130+566</f>
        <v>19696</v>
      </c>
      <c r="E36" s="18">
        <v>53769</v>
      </c>
      <c r="F36" s="18">
        <v>1450</v>
      </c>
      <c r="G36" s="78">
        <f>Population!DK80+Population!DL80</f>
        <v>230717</v>
      </c>
      <c r="H36" s="65">
        <f>Population!DM80+Population!DN80</f>
        <v>67092</v>
      </c>
      <c r="I36" s="69">
        <f>Population!DP80</f>
        <v>128484</v>
      </c>
      <c r="J36" s="18">
        <f>Population!DR80</f>
        <v>20215</v>
      </c>
      <c r="K36" s="18">
        <f>Population!DO80+Population!DT80</f>
        <v>578468</v>
      </c>
      <c r="L36" s="18">
        <f>Population!CW80+Population!CX80+Population!BX80+Population!CQ80+Population!CR80</f>
        <v>1652</v>
      </c>
      <c r="M36" s="18">
        <f>Population!DS80</f>
        <v>45195</v>
      </c>
      <c r="N36" s="76">
        <f t="shared" si="9"/>
        <v>774014</v>
      </c>
      <c r="O36" s="69">
        <f>Population!DU80</f>
        <v>132110</v>
      </c>
      <c r="P36" s="18">
        <f>Population!DV80</f>
        <v>329215</v>
      </c>
      <c r="Q36" s="21">
        <f>Population!CU80+Population!CV80+Population!CP80</f>
        <v>18505</v>
      </c>
      <c r="R36" s="74">
        <f t="shared" si="16"/>
        <v>479830</v>
      </c>
      <c r="S36" s="100">
        <f t="shared" si="14"/>
        <v>1551653</v>
      </c>
      <c r="T36" s="20">
        <f>Population!CF80</f>
        <v>78244</v>
      </c>
      <c r="U36" s="20">
        <f>SUM(Population!G80:K80,Population!N80)</f>
        <v>77987</v>
      </c>
      <c r="V36" s="74">
        <f>Population!F80</f>
        <v>1495</v>
      </c>
      <c r="W36" s="18">
        <v>0</v>
      </c>
      <c r="X36" s="101">
        <f t="shared" si="12"/>
        <v>157726</v>
      </c>
      <c r="Y36" s="71">
        <f t="shared" si="15"/>
        <v>1709379</v>
      </c>
    </row>
    <row r="37" spans="1:25" hidden="1" x14ac:dyDescent="0.25">
      <c r="A37" s="17">
        <v>44166</v>
      </c>
      <c r="B37" s="17"/>
      <c r="C37" s="72">
        <f t="shared" si="13"/>
        <v>156180</v>
      </c>
      <c r="D37" s="18">
        <f>19029+562</f>
        <v>19591</v>
      </c>
      <c r="E37" s="18">
        <v>54134</v>
      </c>
      <c r="F37" s="18">
        <v>1457</v>
      </c>
      <c r="G37" s="78">
        <f>Population!DK81+Population!DL81</f>
        <v>231362</v>
      </c>
      <c r="H37" s="65">
        <f>Population!DM81+Population!DN81</f>
        <v>67122</v>
      </c>
      <c r="I37" s="69">
        <f>Population!DP81</f>
        <v>130390</v>
      </c>
      <c r="J37" s="18">
        <f>Population!DR81</f>
        <v>20563</v>
      </c>
      <c r="K37" s="18">
        <f>Population!DO81+Population!DT81</f>
        <v>583361</v>
      </c>
      <c r="L37" s="18">
        <f>Population!CW81+Population!CX81+Population!BX81+Population!CQ81+Population!CR81</f>
        <v>1649</v>
      </c>
      <c r="M37" s="18">
        <f>Population!DS81</f>
        <v>45421</v>
      </c>
      <c r="N37" s="76">
        <f t="shared" si="9"/>
        <v>781384</v>
      </c>
      <c r="O37" s="69">
        <f>Population!DU81</f>
        <v>134066</v>
      </c>
      <c r="P37" s="18">
        <f>Population!DV81</f>
        <v>341781</v>
      </c>
      <c r="Q37" s="21">
        <f>Population!CU81+Population!CV81+Population!CP81</f>
        <v>18393</v>
      </c>
      <c r="R37" s="74">
        <f t="shared" si="16"/>
        <v>494240</v>
      </c>
      <c r="S37" s="100">
        <f t="shared" si="14"/>
        <v>1574108</v>
      </c>
      <c r="T37" s="20">
        <f>Population!CF81</f>
        <v>78999</v>
      </c>
      <c r="U37" s="20">
        <f>SUM(Population!G81:K81,Population!N81)</f>
        <v>78769</v>
      </c>
      <c r="V37" s="74">
        <f>Population!F81</f>
        <v>1529</v>
      </c>
      <c r="W37" s="18">
        <v>0</v>
      </c>
      <c r="X37" s="101">
        <f t="shared" si="12"/>
        <v>159297</v>
      </c>
      <c r="Y37" s="71">
        <f t="shared" si="15"/>
        <v>1733405</v>
      </c>
    </row>
    <row r="38" spans="1:25" hidden="1" x14ac:dyDescent="0.25">
      <c r="A38" s="17">
        <v>44197</v>
      </c>
      <c r="B38" s="17"/>
      <c r="C38" s="72">
        <f t="shared" si="13"/>
        <v>156550</v>
      </c>
      <c r="D38" s="18">
        <f>18659+562</f>
        <v>19221</v>
      </c>
      <c r="E38" s="18">
        <v>54344</v>
      </c>
      <c r="F38" s="18">
        <v>1475</v>
      </c>
      <c r="G38" s="78">
        <f>Population!DK82+Population!DL82</f>
        <v>231590</v>
      </c>
      <c r="H38" s="65">
        <f>Population!DM82+Population!DN82</f>
        <v>67013</v>
      </c>
      <c r="I38" s="69">
        <f>Population!DP82</f>
        <v>132417</v>
      </c>
      <c r="J38" s="18">
        <f>Population!DR82</f>
        <v>20961</v>
      </c>
      <c r="K38" s="18">
        <f>Population!DO82+Population!DT82</f>
        <v>588886</v>
      </c>
      <c r="L38" s="18">
        <f>Population!CW82+Population!CX82+Population!BX82+Population!CQ82+Population!CR82</f>
        <v>1618</v>
      </c>
      <c r="M38" s="18">
        <f>Population!DS82</f>
        <v>45743</v>
      </c>
      <c r="N38" s="76">
        <f t="shared" si="9"/>
        <v>789625</v>
      </c>
      <c r="O38" s="69">
        <f>Population!DU82</f>
        <v>136220</v>
      </c>
      <c r="P38" s="18">
        <f>Population!DV82</f>
        <v>356686</v>
      </c>
      <c r="Q38" s="21">
        <f>Population!CU82+Population!CV82+Population!CP82</f>
        <v>18213</v>
      </c>
      <c r="R38" s="74">
        <f t="shared" si="16"/>
        <v>511119</v>
      </c>
      <c r="S38" s="100">
        <f t="shared" si="14"/>
        <v>1599347</v>
      </c>
      <c r="T38" s="20">
        <f>Population!CF82</f>
        <v>79937</v>
      </c>
      <c r="U38" s="20">
        <f>SUM(Population!G82:K82,Population!N82)</f>
        <v>79598</v>
      </c>
      <c r="V38" s="74">
        <f>Population!F82</f>
        <v>1572</v>
      </c>
      <c r="W38" s="18">
        <v>0</v>
      </c>
      <c r="X38" s="101">
        <f t="shared" si="12"/>
        <v>161107</v>
      </c>
      <c r="Y38" s="71">
        <f t="shared" si="15"/>
        <v>1760454</v>
      </c>
    </row>
    <row r="39" spans="1:25" hidden="1" x14ac:dyDescent="0.25">
      <c r="A39" s="17">
        <v>44228</v>
      </c>
      <c r="B39" s="17"/>
      <c r="C39" s="72">
        <f t="shared" si="13"/>
        <v>156588</v>
      </c>
      <c r="D39" s="18">
        <f>18356+569</f>
        <v>18925</v>
      </c>
      <c r="E39" s="18">
        <v>54572</v>
      </c>
      <c r="F39" s="18">
        <v>1473</v>
      </c>
      <c r="G39" s="78">
        <f>Population!DK83+Population!DL83</f>
        <v>231558</v>
      </c>
      <c r="H39" s="65">
        <f>Population!DM83+Population!DN83</f>
        <v>66976</v>
      </c>
      <c r="I39" s="69">
        <f>Population!DP83</f>
        <v>133948</v>
      </c>
      <c r="J39" s="18">
        <f>Population!DR83</f>
        <v>21344</v>
      </c>
      <c r="K39" s="18">
        <f>Population!DO83+Population!DT83</f>
        <v>592839</v>
      </c>
      <c r="L39" s="18">
        <f>Population!CW83+Population!CX83+Population!BX83+Population!CQ83+Population!CR83</f>
        <v>1610</v>
      </c>
      <c r="M39" s="18">
        <f>Population!DS83</f>
        <v>45853</v>
      </c>
      <c r="N39" s="76">
        <f t="shared" si="9"/>
        <v>795594</v>
      </c>
      <c r="O39" s="69">
        <f>Population!DU83</f>
        <v>137671</v>
      </c>
      <c r="P39" s="18">
        <f>Population!DV83</f>
        <v>365013</v>
      </c>
      <c r="Q39" s="21">
        <f>Population!CU83+Population!CV83+Population!CP83</f>
        <v>18027</v>
      </c>
      <c r="R39" s="74">
        <f t="shared" si="16"/>
        <v>520711</v>
      </c>
      <c r="S39" s="100">
        <f t="shared" si="14"/>
        <v>1614839</v>
      </c>
      <c r="T39" s="20">
        <f>Population!CF83</f>
        <v>80362</v>
      </c>
      <c r="U39" s="20">
        <f>SUM(Population!G83:K83,Population!N83)</f>
        <v>80087</v>
      </c>
      <c r="V39" s="74">
        <f>Population!F83</f>
        <v>1629</v>
      </c>
      <c r="W39" s="18">
        <v>0</v>
      </c>
      <c r="X39" s="101">
        <f t="shared" si="12"/>
        <v>162078</v>
      </c>
      <c r="Y39" s="71">
        <f t="shared" si="15"/>
        <v>1776917</v>
      </c>
    </row>
    <row r="40" spans="1:25" hidden="1" x14ac:dyDescent="0.25">
      <c r="A40" s="17">
        <v>44256</v>
      </c>
      <c r="B40" s="17"/>
      <c r="C40" s="72">
        <f t="shared" si="13"/>
        <v>157054</v>
      </c>
      <c r="D40" s="18">
        <f>18175+556</f>
        <v>18731</v>
      </c>
      <c r="E40" s="18">
        <v>54589</v>
      </c>
      <c r="F40" s="18">
        <v>1490</v>
      </c>
      <c r="G40" s="78">
        <f>Population!DK84+Population!DL84</f>
        <v>231864</v>
      </c>
      <c r="H40" s="65">
        <f>Population!DM84+Population!DN84</f>
        <v>66908</v>
      </c>
      <c r="I40" s="69">
        <f>Population!DP84</f>
        <v>135660</v>
      </c>
      <c r="J40" s="18">
        <f>Population!DR84</f>
        <v>21493</v>
      </c>
      <c r="K40" s="18">
        <f>Population!DO84+Population!DT84</f>
        <v>596153</v>
      </c>
      <c r="L40" s="18">
        <f>Population!CW84+Population!CX84+Population!BX84+Population!CQ84+Population!CR84</f>
        <v>1604</v>
      </c>
      <c r="M40" s="18">
        <f>Population!DS84</f>
        <v>45928</v>
      </c>
      <c r="N40" s="76">
        <f t="shared" si="9"/>
        <v>800838</v>
      </c>
      <c r="O40" s="69">
        <f>Population!DU84</f>
        <v>138859</v>
      </c>
      <c r="P40" s="18">
        <f>Population!DV84</f>
        <v>372214</v>
      </c>
      <c r="Q40" s="21">
        <f>Population!CU84+Population!CV84+Population!CP84</f>
        <v>17928</v>
      </c>
      <c r="R40" s="74">
        <f t="shared" si="16"/>
        <v>529001</v>
      </c>
      <c r="S40" s="100">
        <f t="shared" si="14"/>
        <v>1628611</v>
      </c>
      <c r="T40" s="20">
        <f>Population!CF84</f>
        <v>80762</v>
      </c>
      <c r="U40" s="20">
        <f>SUM(Population!G84:K84,Population!N84)</f>
        <v>80505</v>
      </c>
      <c r="V40" s="74">
        <f>Population!F84</f>
        <v>1624</v>
      </c>
      <c r="W40" s="18">
        <v>0</v>
      </c>
      <c r="X40" s="101">
        <f t="shared" si="12"/>
        <v>162891</v>
      </c>
      <c r="Y40" s="71">
        <f t="shared" si="15"/>
        <v>1791502</v>
      </c>
    </row>
    <row r="41" spans="1:25" hidden="1" x14ac:dyDescent="0.25">
      <c r="A41" s="17">
        <v>44287</v>
      </c>
      <c r="B41" s="17"/>
      <c r="C41" s="72">
        <f t="shared" si="13"/>
        <v>157544</v>
      </c>
      <c r="D41" s="18">
        <f>18423+554</f>
        <v>18977</v>
      </c>
      <c r="E41" s="18">
        <v>54700</v>
      </c>
      <c r="F41" s="18">
        <v>1491</v>
      </c>
      <c r="G41" s="78">
        <f>Population!DK85+Population!DL85</f>
        <v>232712</v>
      </c>
      <c r="H41" s="65">
        <f>Population!DM85+Population!DN85</f>
        <v>66962</v>
      </c>
      <c r="I41" s="69">
        <f>Population!DP85</f>
        <v>136986</v>
      </c>
      <c r="J41" s="18">
        <f>Population!DR85</f>
        <v>21895</v>
      </c>
      <c r="K41" s="18">
        <f>Population!DO85+Population!DT85</f>
        <v>600277</v>
      </c>
      <c r="L41" s="18">
        <f>Population!CW85+Population!CX85+Population!BX85+Population!CQ85+Population!CR85</f>
        <v>1580</v>
      </c>
      <c r="M41" s="18">
        <f>Population!DS85</f>
        <v>46179</v>
      </c>
      <c r="N41" s="76">
        <f t="shared" si="9"/>
        <v>806917</v>
      </c>
      <c r="O41" s="69">
        <f>Population!DU85</f>
        <v>140442</v>
      </c>
      <c r="P41" s="18">
        <f>Population!DV85</f>
        <v>380476</v>
      </c>
      <c r="Q41" s="21">
        <f>Population!CU85+Population!CV85+Population!CP85</f>
        <v>17742</v>
      </c>
      <c r="R41" s="74">
        <f t="shared" si="16"/>
        <v>538660</v>
      </c>
      <c r="S41" s="100">
        <f t="shared" si="14"/>
        <v>1645251</v>
      </c>
      <c r="T41" s="20">
        <f>Population!CF85</f>
        <v>81284</v>
      </c>
      <c r="U41" s="20">
        <f>SUM(Population!G85:K85,Population!N85)</f>
        <v>80811</v>
      </c>
      <c r="V41" s="74">
        <f>Population!F85</f>
        <v>1636</v>
      </c>
      <c r="W41" s="18">
        <v>0</v>
      </c>
      <c r="X41" s="101">
        <f t="shared" si="12"/>
        <v>163731</v>
      </c>
      <c r="Y41" s="71">
        <f t="shared" si="15"/>
        <v>1808982</v>
      </c>
    </row>
    <row r="42" spans="1:25" hidden="1" x14ac:dyDescent="0.25">
      <c r="A42" s="17">
        <v>44317</v>
      </c>
      <c r="B42" s="17"/>
      <c r="C42" s="72">
        <f t="shared" si="13"/>
        <v>157775</v>
      </c>
      <c r="D42" s="18">
        <f>18594+532</f>
        <v>19126</v>
      </c>
      <c r="E42" s="18">
        <v>54969</v>
      </c>
      <c r="F42" s="18">
        <v>1499</v>
      </c>
      <c r="G42" s="78">
        <f>Population!DK86+Population!DL86</f>
        <v>233369</v>
      </c>
      <c r="H42" s="65">
        <f>Population!DM86+Population!DN86</f>
        <v>66883</v>
      </c>
      <c r="I42" s="69">
        <f>Population!DP86</f>
        <v>138173</v>
      </c>
      <c r="J42" s="18">
        <f>Population!DR86</f>
        <v>22308</v>
      </c>
      <c r="K42" s="18">
        <f>Population!DO86+Population!DT86</f>
        <v>603635</v>
      </c>
      <c r="L42" s="18">
        <f>Population!CW86+Population!CX86+Population!BX86+Population!CQ86+Population!CR86</f>
        <v>1570</v>
      </c>
      <c r="M42" s="18">
        <f>Population!DS86</f>
        <v>46349</v>
      </c>
      <c r="N42" s="76">
        <f t="shared" si="9"/>
        <v>812035</v>
      </c>
      <c r="O42" s="69">
        <f>Population!DU86</f>
        <v>141959</v>
      </c>
      <c r="P42" s="18">
        <f>Population!DV86</f>
        <v>388049</v>
      </c>
      <c r="Q42" s="21">
        <f>Population!CU86+Population!CV86+Population!CP86</f>
        <v>17630</v>
      </c>
      <c r="R42" s="74">
        <f t="shared" si="16"/>
        <v>547638</v>
      </c>
      <c r="S42" s="100">
        <f t="shared" si="14"/>
        <v>1659925</v>
      </c>
      <c r="T42" s="20">
        <f>Population!CF86</f>
        <v>81897</v>
      </c>
      <c r="U42" s="20">
        <f>SUM(Population!G86:K86,Population!N86)</f>
        <v>80826</v>
      </c>
      <c r="V42" s="74">
        <f>Population!F86</f>
        <v>1682</v>
      </c>
      <c r="W42" s="18">
        <v>0</v>
      </c>
      <c r="X42" s="101">
        <f t="shared" si="12"/>
        <v>164405</v>
      </c>
      <c r="Y42" s="71">
        <f t="shared" si="15"/>
        <v>1824330</v>
      </c>
    </row>
    <row r="43" spans="1:25" hidden="1" x14ac:dyDescent="0.25">
      <c r="A43" s="17">
        <v>44348</v>
      </c>
      <c r="B43" s="17"/>
      <c r="C43" s="72">
        <f>G43-D43-E43-F43</f>
        <v>157826</v>
      </c>
      <c r="D43" s="18">
        <f>18786+532</f>
        <v>19318</v>
      </c>
      <c r="E43" s="18">
        <v>55117</v>
      </c>
      <c r="F43" s="18">
        <v>1492</v>
      </c>
      <c r="G43" s="78">
        <f>Population!DK87+Population!DL87</f>
        <v>233753</v>
      </c>
      <c r="H43" s="65">
        <f>Population!DM87+Population!DN87</f>
        <v>66795</v>
      </c>
      <c r="I43" s="69">
        <f>Population!DP87</f>
        <v>139518</v>
      </c>
      <c r="J43" s="18">
        <f>Population!DR87</f>
        <v>22760</v>
      </c>
      <c r="K43" s="18">
        <f>Population!DO87+Population!DT87</f>
        <v>607400</v>
      </c>
      <c r="L43" s="18">
        <f>Population!CW87+Population!CX87+Population!BX87+Population!CQ87+Population!CR87</f>
        <v>1546</v>
      </c>
      <c r="M43" s="18">
        <f>Population!DS87</f>
        <v>46728</v>
      </c>
      <c r="N43" s="76">
        <f t="shared" si="9"/>
        <v>817952</v>
      </c>
      <c r="O43" s="69">
        <f>Population!DU87</f>
        <v>143186</v>
      </c>
      <c r="P43" s="18">
        <f>Population!DV87</f>
        <v>394579</v>
      </c>
      <c r="Q43" s="21">
        <f>Population!CU87+Population!CV87+Population!CP87</f>
        <v>17458</v>
      </c>
      <c r="R43" s="74">
        <f t="shared" si="16"/>
        <v>555223</v>
      </c>
      <c r="S43" s="100">
        <f t="shared" si="14"/>
        <v>1673723</v>
      </c>
      <c r="T43" s="20">
        <f>Population!CF87</f>
        <v>82630</v>
      </c>
      <c r="U43" s="20">
        <f>SUM(Population!G87:K87,Population!N87)</f>
        <v>80759</v>
      </c>
      <c r="V43" s="74">
        <f>Population!F87</f>
        <v>1701</v>
      </c>
      <c r="W43" s="18">
        <v>0</v>
      </c>
      <c r="X43" s="101">
        <f t="shared" si="12"/>
        <v>165090</v>
      </c>
      <c r="Y43" s="71">
        <f t="shared" si="15"/>
        <v>1838813</v>
      </c>
    </row>
    <row r="44" spans="1:25" hidden="1" x14ac:dyDescent="0.25">
      <c r="A44" s="17"/>
      <c r="B44" s="17"/>
      <c r="C44" s="72"/>
      <c r="D44" s="18"/>
      <c r="E44" s="18"/>
      <c r="F44" s="18"/>
      <c r="G44" s="78"/>
      <c r="H44" s="65"/>
      <c r="I44" s="69"/>
      <c r="J44" s="18"/>
      <c r="K44" s="18"/>
      <c r="L44" s="18"/>
      <c r="M44" s="18"/>
      <c r="N44" s="76"/>
      <c r="O44" s="69"/>
      <c r="P44" s="18"/>
      <c r="Q44" s="21"/>
      <c r="R44" s="74"/>
      <c r="S44" s="100"/>
      <c r="T44" s="20"/>
      <c r="U44" s="20"/>
      <c r="V44" s="74"/>
      <c r="W44" s="18"/>
      <c r="X44" s="101"/>
      <c r="Y44" s="71"/>
    </row>
    <row r="45" spans="1:25" hidden="1" x14ac:dyDescent="0.25">
      <c r="A45" s="17">
        <v>44378</v>
      </c>
      <c r="B45" s="17"/>
      <c r="C45" s="72">
        <f t="shared" ref="C45:C72" si="17">G45-D45-E45-F45</f>
        <v>157251</v>
      </c>
      <c r="D45" s="18">
        <f>18897+513</f>
        <v>19410</v>
      </c>
      <c r="E45" s="18">
        <v>55297</v>
      </c>
      <c r="F45" s="18">
        <v>1508</v>
      </c>
      <c r="G45" s="78">
        <f>Population!DK88+Population!DL88</f>
        <v>233466</v>
      </c>
      <c r="H45" s="65">
        <f>Population!DM88+Population!DN88</f>
        <v>66432</v>
      </c>
      <c r="I45" s="69">
        <f>Population!DP88</f>
        <v>140894</v>
      </c>
      <c r="J45" s="18">
        <f>Population!DR88</f>
        <v>23300</v>
      </c>
      <c r="K45" s="18">
        <f>Population!DO88+Population!DT88</f>
        <v>611748</v>
      </c>
      <c r="L45" s="18">
        <f>Population!CW88+Population!CX88+Population!BX88+Population!CQ88+Population!CR88</f>
        <v>1544</v>
      </c>
      <c r="M45" s="18">
        <f>Population!DS88</f>
        <v>47101</v>
      </c>
      <c r="N45" s="76">
        <f t="shared" si="9"/>
        <v>824587</v>
      </c>
      <c r="O45" s="69">
        <f>Population!DU88</f>
        <v>144279</v>
      </c>
      <c r="P45" s="18">
        <f>Population!DV88</f>
        <v>400861</v>
      </c>
      <c r="Q45" s="21">
        <f>Population!CU88+Population!CV88+Population!CP88</f>
        <v>17408</v>
      </c>
      <c r="R45" s="74">
        <f>SUM(O45:Q45)</f>
        <v>562548</v>
      </c>
      <c r="S45" s="100">
        <f t="shared" si="14"/>
        <v>1687033</v>
      </c>
      <c r="T45" s="20">
        <f>Population!CF88</f>
        <v>83237</v>
      </c>
      <c r="U45" s="20">
        <f>SUM(Population!G88:K88,Population!N88)</f>
        <v>80556</v>
      </c>
      <c r="V45" s="74">
        <v>1717</v>
      </c>
      <c r="W45" s="18">
        <v>20</v>
      </c>
      <c r="X45" s="101">
        <f t="shared" si="12"/>
        <v>165530</v>
      </c>
      <c r="Y45" s="71">
        <f t="shared" ref="Y45:Y56" si="18">S45+X45</f>
        <v>1852563</v>
      </c>
    </row>
    <row r="46" spans="1:25" hidden="1" x14ac:dyDescent="0.25">
      <c r="A46" s="17">
        <v>44409</v>
      </c>
      <c r="B46" s="17"/>
      <c r="C46" s="72">
        <f t="shared" si="17"/>
        <v>157460</v>
      </c>
      <c r="D46" s="18">
        <f>18952+540</f>
        <v>19492</v>
      </c>
      <c r="E46" s="18">
        <v>55333</v>
      </c>
      <c r="F46" s="18">
        <v>1523</v>
      </c>
      <c r="G46" s="78">
        <f>Population!DK89+Population!DL89</f>
        <v>233808</v>
      </c>
      <c r="H46" s="65">
        <f>Population!DM89+Population!DN89</f>
        <v>66294</v>
      </c>
      <c r="I46" s="69">
        <f>Population!DP89</f>
        <v>142676</v>
      </c>
      <c r="J46" s="18">
        <f>Population!DR89</f>
        <v>23875</v>
      </c>
      <c r="K46" s="18">
        <f>Population!DO89+Population!DT89</f>
        <v>616897</v>
      </c>
      <c r="L46" s="18">
        <f>Population!CW89+Population!CX89+Population!BX89+Population!CQ89+Population!CR89</f>
        <v>1548</v>
      </c>
      <c r="M46" s="18">
        <f>Population!DS89</f>
        <v>47276</v>
      </c>
      <c r="N46" s="76">
        <f t="shared" si="9"/>
        <v>832272</v>
      </c>
      <c r="O46" s="69">
        <f>Population!DU89</f>
        <v>145418</v>
      </c>
      <c r="P46" s="18">
        <f>Population!DV89</f>
        <v>408229</v>
      </c>
      <c r="Q46" s="21">
        <f>Population!CU89+Population!CV89+Population!CP89</f>
        <v>17268</v>
      </c>
      <c r="R46" s="74">
        <f t="shared" ref="R46:R56" si="19">SUM(O46:Q46)</f>
        <v>570915</v>
      </c>
      <c r="S46" s="100">
        <f t="shared" si="14"/>
        <v>1703289</v>
      </c>
      <c r="T46" s="20">
        <f>Population!CF89</f>
        <v>84121</v>
      </c>
      <c r="U46" s="20">
        <f>SUM(Population!G89:K89,Population!N89)</f>
        <v>80650</v>
      </c>
      <c r="V46" s="74">
        <v>1785</v>
      </c>
      <c r="W46" s="18">
        <v>544</v>
      </c>
      <c r="X46" s="101">
        <f t="shared" si="12"/>
        <v>167100</v>
      </c>
      <c r="Y46" s="71">
        <f t="shared" si="18"/>
        <v>1870389</v>
      </c>
    </row>
    <row r="47" spans="1:25" hidden="1" x14ac:dyDescent="0.25">
      <c r="A47" s="17">
        <v>44440</v>
      </c>
      <c r="B47" s="17"/>
      <c r="C47" s="72">
        <f t="shared" si="17"/>
        <v>157878</v>
      </c>
      <c r="D47" s="18">
        <f>18938+530</f>
        <v>19468</v>
      </c>
      <c r="E47" s="18">
        <v>55404</v>
      </c>
      <c r="F47" s="18">
        <v>1527</v>
      </c>
      <c r="G47" s="78">
        <f>Population!DK90+Population!DL90</f>
        <v>234277</v>
      </c>
      <c r="H47" s="65">
        <f>Population!DM90+Population!DN90</f>
        <v>66303</v>
      </c>
      <c r="I47" s="69">
        <f>Population!DP90</f>
        <v>144356</v>
      </c>
      <c r="J47" s="18">
        <f>Population!DR90</f>
        <v>24239</v>
      </c>
      <c r="K47" s="18">
        <f>Population!DO90+Population!DT90</f>
        <v>621846</v>
      </c>
      <c r="L47" s="18">
        <f>Population!CW90+Population!CX90+Population!BX90+Population!CQ90+Population!CR90</f>
        <v>1541</v>
      </c>
      <c r="M47" s="18">
        <f>Population!DS90</f>
        <v>47616</v>
      </c>
      <c r="N47" s="76">
        <f t="shared" si="9"/>
        <v>839598</v>
      </c>
      <c r="O47" s="69">
        <f>Population!DU90</f>
        <v>146771</v>
      </c>
      <c r="P47" s="18">
        <f>Population!DV90</f>
        <v>417376</v>
      </c>
      <c r="Q47" s="21">
        <f>Population!CU90+Population!CV90+Population!CP90</f>
        <v>17134</v>
      </c>
      <c r="R47" s="74">
        <f t="shared" si="19"/>
        <v>581281</v>
      </c>
      <c r="S47" s="100">
        <f t="shared" si="14"/>
        <v>1721459</v>
      </c>
      <c r="T47" s="20">
        <f>Population!CF90</f>
        <v>85275</v>
      </c>
      <c r="U47" s="20">
        <f>SUM(Population!G90:K90,Population!N90)</f>
        <v>80400</v>
      </c>
      <c r="V47" s="74">
        <v>1820</v>
      </c>
      <c r="W47" s="18">
        <v>1319</v>
      </c>
      <c r="X47" s="101">
        <f t="shared" si="12"/>
        <v>168814</v>
      </c>
      <c r="Y47" s="71">
        <f t="shared" si="18"/>
        <v>1890273</v>
      </c>
    </row>
    <row r="48" spans="1:25" hidden="1" x14ac:dyDescent="0.25">
      <c r="A48" s="17">
        <v>44470</v>
      </c>
      <c r="B48" s="17"/>
      <c r="C48" s="72">
        <f t="shared" si="17"/>
        <v>158109</v>
      </c>
      <c r="D48" s="18">
        <f>19066+530</f>
        <v>19596</v>
      </c>
      <c r="E48" s="18">
        <v>55659</v>
      </c>
      <c r="F48" s="18">
        <v>1548</v>
      </c>
      <c r="G48" s="78">
        <f>Population!DK91+Population!DL91</f>
        <v>234912</v>
      </c>
      <c r="H48" s="65">
        <f>Population!DM91+Population!DN91</f>
        <v>66285</v>
      </c>
      <c r="I48" s="69">
        <f>Population!DP91</f>
        <v>145895</v>
      </c>
      <c r="J48" s="18">
        <f>Population!DR91</f>
        <v>24548</v>
      </c>
      <c r="K48" s="18">
        <f>Population!DO91+Population!DT91</f>
        <v>626507</v>
      </c>
      <c r="L48" s="18">
        <f>Population!CW91+Population!CX91+Population!BX91+Population!CQ91+Population!CR91</f>
        <v>1533</v>
      </c>
      <c r="M48" s="18">
        <f>Population!DS91</f>
        <v>47913</v>
      </c>
      <c r="N48" s="76">
        <f t="shared" si="9"/>
        <v>846396</v>
      </c>
      <c r="O48" s="69">
        <f>Population!DU91</f>
        <v>147966</v>
      </c>
      <c r="P48" s="18">
        <f>Population!DV91</f>
        <v>425193</v>
      </c>
      <c r="Q48" s="21">
        <f>Population!CU91+Population!CV91+Population!CP91</f>
        <v>17008</v>
      </c>
      <c r="R48" s="74">
        <f t="shared" si="19"/>
        <v>590167</v>
      </c>
      <c r="S48" s="100">
        <f t="shared" si="14"/>
        <v>1737760</v>
      </c>
      <c r="T48" s="20">
        <f>Population!CF91</f>
        <v>86355</v>
      </c>
      <c r="U48" s="20">
        <f>SUM(Population!G91:K91,Population!N91)</f>
        <v>80181</v>
      </c>
      <c r="V48" s="74">
        <v>1838</v>
      </c>
      <c r="W48" s="18">
        <v>1885</v>
      </c>
      <c r="X48" s="101">
        <f t="shared" si="12"/>
        <v>170259</v>
      </c>
      <c r="Y48" s="71">
        <f t="shared" si="18"/>
        <v>1908019</v>
      </c>
    </row>
    <row r="49" spans="1:25" hidden="1" x14ac:dyDescent="0.25">
      <c r="A49" s="17">
        <v>44501</v>
      </c>
      <c r="B49" s="17"/>
      <c r="C49" s="72">
        <f t="shared" si="17"/>
        <v>158362</v>
      </c>
      <c r="D49" s="18">
        <f>19108+530</f>
        <v>19638</v>
      </c>
      <c r="E49" s="18">
        <v>55962</v>
      </c>
      <c r="F49" s="18">
        <v>1541</v>
      </c>
      <c r="G49" s="78">
        <f>Population!DK92+Population!DL92</f>
        <v>235503</v>
      </c>
      <c r="H49" s="65">
        <f>Population!DM92+Population!DN92</f>
        <v>66281</v>
      </c>
      <c r="I49" s="69">
        <f>Population!DP92</f>
        <v>147371</v>
      </c>
      <c r="J49" s="18">
        <f>Population!DR92</f>
        <v>24834</v>
      </c>
      <c r="K49" s="18">
        <f>Population!DO92+Population!DT92</f>
        <v>629830</v>
      </c>
      <c r="L49" s="18">
        <f>Population!CW92+Population!CX92+Population!BX92+Population!CQ92+Population!CR92</f>
        <v>1517</v>
      </c>
      <c r="M49" s="18">
        <f>Population!DS92</f>
        <v>48089</v>
      </c>
      <c r="N49" s="76">
        <f t="shared" si="9"/>
        <v>851641</v>
      </c>
      <c r="O49" s="69">
        <f>Population!DU92</f>
        <v>148759</v>
      </c>
      <c r="P49" s="18">
        <f>Population!DV92</f>
        <v>432070</v>
      </c>
      <c r="Q49" s="21">
        <f>Population!CU92+Population!CV92+Population!CP92</f>
        <v>16856</v>
      </c>
      <c r="R49" s="74">
        <f t="shared" si="19"/>
        <v>597685</v>
      </c>
      <c r="S49" s="100">
        <f t="shared" si="14"/>
        <v>1751110</v>
      </c>
      <c r="T49" s="20">
        <f>Population!CF92</f>
        <v>87470</v>
      </c>
      <c r="U49" s="20">
        <f>SUM(Population!G92:K92,Population!N92)</f>
        <v>80102</v>
      </c>
      <c r="V49" s="74">
        <v>1834</v>
      </c>
      <c r="W49" s="18">
        <v>2347</v>
      </c>
      <c r="X49" s="101">
        <f t="shared" si="12"/>
        <v>171753</v>
      </c>
      <c r="Y49" s="71">
        <f t="shared" si="18"/>
        <v>1922863</v>
      </c>
    </row>
    <row r="50" spans="1:25" hidden="1" x14ac:dyDescent="0.25">
      <c r="A50" s="17">
        <v>44531</v>
      </c>
      <c r="B50" s="17"/>
      <c r="C50" s="72">
        <f t="shared" si="17"/>
        <v>158592</v>
      </c>
      <c r="D50" s="18">
        <f>19047+512</f>
        <v>19559</v>
      </c>
      <c r="E50" s="18">
        <v>56086</v>
      </c>
      <c r="F50" s="18">
        <v>1549</v>
      </c>
      <c r="G50" s="78">
        <f>Population!DK93+Population!DL93</f>
        <v>235786</v>
      </c>
      <c r="H50" s="65">
        <f>Population!DM93+Population!DN93</f>
        <v>66197</v>
      </c>
      <c r="I50" s="69">
        <f>Population!DP93</f>
        <v>150575</v>
      </c>
      <c r="J50" s="18">
        <f>Population!DR93</f>
        <v>21599</v>
      </c>
      <c r="K50" s="18">
        <f>Population!DO93+Population!DT93</f>
        <v>633808</v>
      </c>
      <c r="L50" s="18">
        <f>Population!CW93+Population!CX93+Population!BX93+Population!CQ93+Population!CR93</f>
        <v>1518</v>
      </c>
      <c r="M50" s="18">
        <f>Population!DS93</f>
        <v>48308</v>
      </c>
      <c r="N50" s="76">
        <f t="shared" si="9"/>
        <v>855808</v>
      </c>
      <c r="O50" s="69">
        <f>Population!DU93</f>
        <v>151968</v>
      </c>
      <c r="P50" s="18">
        <f>Population!DV93</f>
        <v>442032</v>
      </c>
      <c r="Q50" s="21">
        <f>Population!CU93+Population!CV93+Population!CP93</f>
        <v>16729</v>
      </c>
      <c r="R50" s="74">
        <f t="shared" si="19"/>
        <v>610729</v>
      </c>
      <c r="S50" s="100">
        <f t="shared" si="14"/>
        <v>1768520</v>
      </c>
      <c r="T50" s="20">
        <f>Population!CF93</f>
        <v>88544</v>
      </c>
      <c r="U50" s="20">
        <f>SUM(Population!G93:K93,Population!N93)</f>
        <v>80070</v>
      </c>
      <c r="V50" s="74">
        <v>1884</v>
      </c>
      <c r="W50" s="18">
        <v>2611</v>
      </c>
      <c r="X50" s="101">
        <f t="shared" si="12"/>
        <v>173109</v>
      </c>
      <c r="Y50" s="71">
        <f t="shared" si="18"/>
        <v>1941629</v>
      </c>
    </row>
    <row r="51" spans="1:25" hidden="1" x14ac:dyDescent="0.25">
      <c r="A51" s="17">
        <v>44562</v>
      </c>
      <c r="B51" s="17"/>
      <c r="C51" s="72">
        <f t="shared" si="17"/>
        <v>158794</v>
      </c>
      <c r="D51" s="18">
        <f>19067+520</f>
        <v>19587</v>
      </c>
      <c r="E51" s="18">
        <v>56250</v>
      </c>
      <c r="F51" s="18">
        <v>1556</v>
      </c>
      <c r="G51" s="78">
        <f>Population!DK94+Population!DL94</f>
        <v>236187</v>
      </c>
      <c r="H51" s="65">
        <f>Population!DM94+Population!DN94</f>
        <v>66237</v>
      </c>
      <c r="I51" s="69">
        <f>Population!DP94</f>
        <v>152502</v>
      </c>
      <c r="J51" s="18">
        <f>Population!DR94</f>
        <v>22073</v>
      </c>
      <c r="K51" s="18">
        <f>Population!DO94+Population!DT94</f>
        <v>638923</v>
      </c>
      <c r="L51" s="18">
        <f>Population!CW94+Population!CX94+Population!BX94+Population!CQ94+Population!CR94</f>
        <v>1518</v>
      </c>
      <c r="M51" s="18">
        <f>Population!DS94</f>
        <v>48732</v>
      </c>
      <c r="N51" s="76">
        <f t="shared" si="9"/>
        <v>863748</v>
      </c>
      <c r="O51" s="69">
        <f>Population!DU94</f>
        <v>153391</v>
      </c>
      <c r="P51" s="18">
        <f>Population!DV94</f>
        <v>451796</v>
      </c>
      <c r="Q51" s="21">
        <f>Population!CU94+Population!CV94+Population!CP94</f>
        <v>16613</v>
      </c>
      <c r="R51" s="74">
        <f t="shared" si="19"/>
        <v>621800</v>
      </c>
      <c r="S51" s="100">
        <f t="shared" si="14"/>
        <v>1787972</v>
      </c>
      <c r="T51" s="20">
        <f>Population!CF94</f>
        <v>90110</v>
      </c>
      <c r="U51" s="20">
        <f>SUM(Population!G94:K94,Population!N94)</f>
        <v>80160</v>
      </c>
      <c r="V51" s="74">
        <v>1962</v>
      </c>
      <c r="W51" s="18">
        <v>2840</v>
      </c>
      <c r="X51" s="101">
        <f t="shared" si="12"/>
        <v>175072</v>
      </c>
      <c r="Y51" s="71">
        <f t="shared" si="18"/>
        <v>1963044</v>
      </c>
    </row>
    <row r="52" spans="1:25" hidden="1" x14ac:dyDescent="0.25">
      <c r="A52" s="17">
        <v>44593</v>
      </c>
      <c r="B52" s="17"/>
      <c r="C52" s="72">
        <f t="shared" si="17"/>
        <v>158097</v>
      </c>
      <c r="D52" s="18">
        <f>18965+519</f>
        <v>19484</v>
      </c>
      <c r="E52" s="18">
        <v>56223</v>
      </c>
      <c r="F52" s="18">
        <v>1548</v>
      </c>
      <c r="G52" s="78">
        <f>Population!DK95+Population!DL95</f>
        <v>235352</v>
      </c>
      <c r="H52" s="65">
        <f>Population!DM95+Population!DN95</f>
        <v>66136</v>
      </c>
      <c r="I52" s="69">
        <f>Population!DP95</f>
        <v>154127</v>
      </c>
      <c r="J52" s="18">
        <f>Population!DR95</f>
        <v>21824</v>
      </c>
      <c r="K52" s="18">
        <f>Population!DO95+Population!DT95</f>
        <v>643570</v>
      </c>
      <c r="L52" s="18">
        <f>Population!CW95+Population!CX95+Population!BX95+Population!CQ95+Population!CR95</f>
        <v>1526</v>
      </c>
      <c r="M52" s="18">
        <f>Population!DS95</f>
        <v>49213</v>
      </c>
      <c r="N52" s="76">
        <f t="shared" si="9"/>
        <v>870260</v>
      </c>
      <c r="O52" s="69">
        <f>Population!DU95</f>
        <v>154868</v>
      </c>
      <c r="P52" s="18">
        <f>Population!DV95</f>
        <v>459739</v>
      </c>
      <c r="Q52" s="21">
        <f>Population!CU95+Population!CV95+Population!CP95</f>
        <v>16441</v>
      </c>
      <c r="R52" s="74">
        <f t="shared" si="19"/>
        <v>631048</v>
      </c>
      <c r="S52" s="100">
        <f t="shared" si="14"/>
        <v>1802796</v>
      </c>
      <c r="T52" s="20">
        <f>Population!CF95</f>
        <v>91219</v>
      </c>
      <c r="U52" s="20">
        <f>SUM(Population!G95:K95,Population!N95)</f>
        <v>80399</v>
      </c>
      <c r="V52" s="74">
        <v>2008</v>
      </c>
      <c r="W52" s="18">
        <v>2994</v>
      </c>
      <c r="X52" s="101">
        <f t="shared" si="12"/>
        <v>176620</v>
      </c>
      <c r="Y52" s="71">
        <f t="shared" si="18"/>
        <v>1979416</v>
      </c>
    </row>
    <row r="53" spans="1:25" hidden="1" x14ac:dyDescent="0.25">
      <c r="A53" s="17">
        <v>44621</v>
      </c>
      <c r="B53" s="17"/>
      <c r="C53" s="72">
        <f t="shared" si="17"/>
        <v>159405</v>
      </c>
      <c r="D53" s="18">
        <f>18958+527</f>
        <v>19485</v>
      </c>
      <c r="E53" s="18">
        <v>56249</v>
      </c>
      <c r="F53" s="18">
        <v>1551</v>
      </c>
      <c r="G53" s="78">
        <f>Population!DK96+Population!DL96</f>
        <v>236690</v>
      </c>
      <c r="H53" s="65">
        <f>Population!DM96+Population!DN96</f>
        <v>65963</v>
      </c>
      <c r="I53" s="69">
        <f>Population!DP96</f>
        <v>155366</v>
      </c>
      <c r="J53" s="18">
        <f>Population!DR96</f>
        <v>21646</v>
      </c>
      <c r="K53" s="18">
        <f>Population!DO96+Population!DT96</f>
        <v>646779</v>
      </c>
      <c r="L53" s="18">
        <f>Population!CW96+Population!CX96+Population!BX96+Population!CQ96+Population!CR96</f>
        <v>1542</v>
      </c>
      <c r="M53" s="18">
        <f>Population!DS96</f>
        <v>49484</v>
      </c>
      <c r="N53" s="76">
        <f t="shared" si="9"/>
        <v>874817</v>
      </c>
      <c r="O53" s="69">
        <f>Population!DU96</f>
        <v>156003</v>
      </c>
      <c r="P53" s="18">
        <f>Population!DV96</f>
        <v>465007</v>
      </c>
      <c r="Q53" s="21">
        <f>Population!CU96+Population!CV96+Population!CP96</f>
        <v>16430</v>
      </c>
      <c r="R53" s="74">
        <f t="shared" si="19"/>
        <v>637440</v>
      </c>
      <c r="S53" s="100">
        <f t="shared" si="14"/>
        <v>1814910</v>
      </c>
      <c r="T53" s="20">
        <f>Population!CF96</f>
        <v>92160</v>
      </c>
      <c r="U53" s="20">
        <f>SUM(Population!G96:K96,Population!N96)</f>
        <v>80461</v>
      </c>
      <c r="V53" s="74">
        <v>1996</v>
      </c>
      <c r="W53" s="18">
        <v>3195</v>
      </c>
      <c r="X53" s="101">
        <f t="shared" si="12"/>
        <v>177812</v>
      </c>
      <c r="Y53" s="71">
        <f t="shared" si="18"/>
        <v>1992722</v>
      </c>
    </row>
    <row r="54" spans="1:25" hidden="1" x14ac:dyDescent="0.25">
      <c r="A54" s="17">
        <v>44652</v>
      </c>
      <c r="B54" s="17"/>
      <c r="C54" s="72">
        <f t="shared" si="17"/>
        <v>159180</v>
      </c>
      <c r="D54" s="18">
        <f>19087+536</f>
        <v>19623</v>
      </c>
      <c r="E54" s="18">
        <v>56473</v>
      </c>
      <c r="F54" s="18">
        <v>1557</v>
      </c>
      <c r="G54" s="78">
        <f>Population!DK97+Population!DL97</f>
        <v>236833</v>
      </c>
      <c r="H54" s="65">
        <f>Population!DM97+Population!DN97</f>
        <v>65830</v>
      </c>
      <c r="I54" s="69">
        <f>Population!DP97</f>
        <v>156606</v>
      </c>
      <c r="J54" s="18">
        <f>Population!DR97</f>
        <v>24709</v>
      </c>
      <c r="K54" s="18">
        <f>Population!DO97+Population!DT97</f>
        <v>651216</v>
      </c>
      <c r="L54" s="18">
        <f>Population!CW97+Population!CX97+Population!BX97+Population!CQ97+Population!CR97</f>
        <v>1554</v>
      </c>
      <c r="M54" s="18">
        <f>Population!DS97</f>
        <v>50216</v>
      </c>
      <c r="N54" s="76">
        <f t="shared" si="9"/>
        <v>884301</v>
      </c>
      <c r="O54" s="69">
        <f>Population!DU97</f>
        <v>156966</v>
      </c>
      <c r="P54" s="18">
        <f>Population!DV97</f>
        <v>473054</v>
      </c>
      <c r="Q54" s="21">
        <f>Population!CU97+Population!CV97+Population!CP97</f>
        <v>16355</v>
      </c>
      <c r="R54" s="74">
        <f t="shared" si="19"/>
        <v>646375</v>
      </c>
      <c r="S54" s="100">
        <f t="shared" si="14"/>
        <v>1833339</v>
      </c>
      <c r="T54" s="20">
        <f>Population!CF97</f>
        <v>92500</v>
      </c>
      <c r="U54" s="20">
        <f>SUM(Population!G97:K97,Population!N97)</f>
        <v>81348</v>
      </c>
      <c r="V54" s="74">
        <v>2145</v>
      </c>
      <c r="W54" s="18">
        <v>3825</v>
      </c>
      <c r="X54" s="101">
        <f t="shared" si="12"/>
        <v>179818</v>
      </c>
      <c r="Y54" s="71">
        <f t="shared" si="18"/>
        <v>2013157</v>
      </c>
    </row>
    <row r="55" spans="1:25" hidden="1" x14ac:dyDescent="0.25">
      <c r="A55" s="17">
        <v>44682</v>
      </c>
      <c r="B55" s="17"/>
      <c r="C55" s="72">
        <f t="shared" si="17"/>
        <v>159865</v>
      </c>
      <c r="D55" s="18">
        <f>18986+480</f>
        <v>19466</v>
      </c>
      <c r="E55" s="18">
        <v>56793</v>
      </c>
      <c r="F55" s="18">
        <v>1557</v>
      </c>
      <c r="G55" s="78">
        <f>Population!DK98+Population!DL98</f>
        <v>237681</v>
      </c>
      <c r="H55" s="65">
        <f>Population!DM98+Population!DN98</f>
        <v>65825</v>
      </c>
      <c r="I55" s="69">
        <f>Population!DP98</f>
        <v>157482</v>
      </c>
      <c r="J55" s="18">
        <f>Population!DR98</f>
        <v>21488</v>
      </c>
      <c r="K55" s="18">
        <f>Population!DO98+Population!DT98</f>
        <v>653185</v>
      </c>
      <c r="L55" s="18">
        <f>Population!CW98+Population!CX98+Population!BX98+Population!CQ98+Population!CR98</f>
        <v>1546</v>
      </c>
      <c r="M55" s="18">
        <f>Population!DS98</f>
        <v>49272</v>
      </c>
      <c r="N55" s="76">
        <f t="shared" si="9"/>
        <v>882973</v>
      </c>
      <c r="O55" s="69">
        <f>Population!DU98</f>
        <v>158970</v>
      </c>
      <c r="P55" s="18">
        <f>Population!DV98</f>
        <v>482669</v>
      </c>
      <c r="Q55" s="21">
        <f>Population!CU98+Population!CV98+Population!CP98</f>
        <v>16313</v>
      </c>
      <c r="R55" s="74">
        <f t="shared" si="19"/>
        <v>657952</v>
      </c>
      <c r="S55" s="100">
        <f t="shared" si="14"/>
        <v>1844431</v>
      </c>
      <c r="T55" s="20">
        <f>Population!CF98</f>
        <v>94061</v>
      </c>
      <c r="U55" s="20">
        <f>SUM(Population!G98:K98,Population!N98)</f>
        <v>79681</v>
      </c>
      <c r="V55" s="74">
        <v>2082</v>
      </c>
      <c r="W55" s="18">
        <v>3826</v>
      </c>
      <c r="X55" s="101">
        <f t="shared" si="12"/>
        <v>179650</v>
      </c>
      <c r="Y55" s="71">
        <f t="shared" si="18"/>
        <v>2024081</v>
      </c>
    </row>
    <row r="56" spans="1:25" hidden="1" x14ac:dyDescent="0.25">
      <c r="A56" s="17">
        <v>44713</v>
      </c>
      <c r="B56" s="17"/>
      <c r="C56" s="72">
        <f t="shared" si="17"/>
        <v>159917</v>
      </c>
      <c r="D56" s="18">
        <f>18915+508</f>
        <v>19423</v>
      </c>
      <c r="E56" s="18">
        <v>57006</v>
      </c>
      <c r="F56" s="18">
        <v>1565</v>
      </c>
      <c r="G56" s="78">
        <f>Population!DK99+Population!DL99</f>
        <v>237911</v>
      </c>
      <c r="H56" s="65">
        <f>Population!DM99+Population!DN99</f>
        <v>65694</v>
      </c>
      <c r="I56" s="69">
        <f>Population!DP99</f>
        <v>157986</v>
      </c>
      <c r="J56" s="18">
        <f>Population!DR99</f>
        <v>21221</v>
      </c>
      <c r="K56" s="18">
        <f>Population!DO99+Population!DT99</f>
        <v>655387</v>
      </c>
      <c r="L56" s="18">
        <f>Population!CW99+Population!CX99+Population!BX99+Population!CQ99+Population!CR99</f>
        <v>1593</v>
      </c>
      <c r="M56" s="18">
        <f>Population!DS99</f>
        <v>48927</v>
      </c>
      <c r="N56" s="76">
        <f t="shared" si="9"/>
        <v>885114</v>
      </c>
      <c r="O56" s="69">
        <f>Population!DU99</f>
        <v>160112</v>
      </c>
      <c r="P56" s="18">
        <f>Population!DV99</f>
        <v>488587</v>
      </c>
      <c r="Q56" s="21">
        <f>Population!CU99+Population!CV99+Population!CP99</f>
        <v>16455</v>
      </c>
      <c r="R56" s="74">
        <f t="shared" si="19"/>
        <v>665154</v>
      </c>
      <c r="S56" s="100">
        <f t="shared" si="14"/>
        <v>1853873</v>
      </c>
      <c r="T56" s="20">
        <f>Population!CF99</f>
        <v>94733</v>
      </c>
      <c r="U56" s="20">
        <f>SUM(Population!G99:K99,Population!N99)</f>
        <v>78707</v>
      </c>
      <c r="V56" s="74">
        <v>2071</v>
      </c>
      <c r="W56" s="18">
        <v>4024</v>
      </c>
      <c r="X56" s="101">
        <f t="shared" si="12"/>
        <v>179535</v>
      </c>
      <c r="Y56" s="71">
        <f t="shared" si="18"/>
        <v>2033408</v>
      </c>
    </row>
    <row r="57" spans="1:25" hidden="1" x14ac:dyDescent="0.25">
      <c r="A57" s="17"/>
      <c r="B57" s="17"/>
      <c r="C57" s="72"/>
      <c r="D57" s="18"/>
      <c r="E57" s="18"/>
      <c r="F57" s="18"/>
      <c r="G57" s="78"/>
      <c r="H57" s="65"/>
      <c r="I57" s="69"/>
      <c r="J57" s="18"/>
      <c r="K57" s="18"/>
      <c r="L57" s="18"/>
      <c r="M57" s="18"/>
      <c r="N57" s="76"/>
      <c r="O57" s="69"/>
      <c r="P57" s="18"/>
      <c r="Q57" s="21"/>
      <c r="R57" s="74"/>
      <c r="S57" s="100"/>
      <c r="T57" s="20"/>
      <c r="U57" s="20"/>
      <c r="V57" s="74"/>
      <c r="W57" s="18"/>
      <c r="X57" s="101"/>
      <c r="Y57" s="71"/>
    </row>
    <row r="58" spans="1:25" hidden="1" x14ac:dyDescent="0.25">
      <c r="A58" s="17">
        <v>44743</v>
      </c>
      <c r="B58" s="17"/>
      <c r="C58" s="72">
        <f t="shared" si="17"/>
        <v>160278</v>
      </c>
      <c r="D58" s="18">
        <f>19006+497</f>
        <v>19503</v>
      </c>
      <c r="E58" s="18">
        <v>57236</v>
      </c>
      <c r="F58" s="18">
        <v>1583</v>
      </c>
      <c r="G58" s="78">
        <f>Population!DK100+Population!DL100</f>
        <v>238600</v>
      </c>
      <c r="H58" s="65">
        <f>Population!DM100+Population!DN100</f>
        <v>65646</v>
      </c>
      <c r="I58" s="69">
        <f>Population!DP100</f>
        <v>159478</v>
      </c>
      <c r="J58" s="18">
        <f>Population!DR100</f>
        <v>21366</v>
      </c>
      <c r="K58" s="18">
        <f>Population!DO100+Population!DT100</f>
        <v>659336</v>
      </c>
      <c r="L58" s="18">
        <f>Population!CW100+Population!CX100+Population!BX100+Population!CQ100+Population!CR100</f>
        <v>1600</v>
      </c>
      <c r="M58" s="18">
        <f>Population!DS100</f>
        <v>49305</v>
      </c>
      <c r="N58" s="76">
        <f t="shared" si="9"/>
        <v>891085</v>
      </c>
      <c r="O58" s="69">
        <f>Population!DU100</f>
        <v>161101</v>
      </c>
      <c r="P58" s="18">
        <f>Population!DV100</f>
        <v>493760</v>
      </c>
      <c r="Q58" s="21">
        <f>Population!CU100+Population!CV100+Population!CP100</f>
        <v>16482</v>
      </c>
      <c r="R58" s="74">
        <f>SUM(O58:Q58)</f>
        <v>671343</v>
      </c>
      <c r="S58" s="100">
        <f t="shared" si="14"/>
        <v>1866674</v>
      </c>
      <c r="T58" s="20">
        <f>Population!CF100</f>
        <v>95450</v>
      </c>
      <c r="U58" s="20">
        <f>SUM(Population!G100:K100,Population!N100)</f>
        <v>78850</v>
      </c>
      <c r="V58" s="74">
        <v>2097</v>
      </c>
      <c r="W58" s="18">
        <v>4211</v>
      </c>
      <c r="X58" s="101">
        <f t="shared" si="12"/>
        <v>180608</v>
      </c>
      <c r="Y58" s="71">
        <f t="shared" ref="Y58:Y69" si="20">S58+X58</f>
        <v>2047282</v>
      </c>
    </row>
    <row r="59" spans="1:25" hidden="1" x14ac:dyDescent="0.25">
      <c r="A59" s="17">
        <v>44774</v>
      </c>
      <c r="B59" s="17"/>
      <c r="C59" s="64">
        <f t="shared" si="17"/>
        <v>160335</v>
      </c>
      <c r="D59" s="21">
        <f>19146+531</f>
        <v>19677</v>
      </c>
      <c r="E59" s="21">
        <v>57568</v>
      </c>
      <c r="F59" s="21">
        <v>1602</v>
      </c>
      <c r="G59" s="79">
        <f>Population!DK101+Population!DL101</f>
        <v>239182</v>
      </c>
      <c r="H59" s="73">
        <f>Population!DM101+Population!DN101</f>
        <v>65538</v>
      </c>
      <c r="I59" s="70">
        <f>Population!DP101</f>
        <v>160538</v>
      </c>
      <c r="J59" s="21">
        <f>Population!DR101</f>
        <v>22318</v>
      </c>
      <c r="K59" s="21">
        <f>Population!DO101+Population!DT101</f>
        <v>662866</v>
      </c>
      <c r="L59" s="18">
        <f>Population!CW101+Population!CX101+Population!BX101+Population!CQ101+Population!CR101</f>
        <v>2146</v>
      </c>
      <c r="M59" s="21">
        <f>Population!DS101</f>
        <v>49329</v>
      </c>
      <c r="N59" s="76">
        <f t="shared" si="9"/>
        <v>897197</v>
      </c>
      <c r="O59" s="70">
        <f>Population!DU101</f>
        <v>161700</v>
      </c>
      <c r="P59" s="21">
        <f>Population!DV101</f>
        <v>499595</v>
      </c>
      <c r="Q59" s="21">
        <f>Population!CU101+Population!CV101+Population!CP101</f>
        <v>16725</v>
      </c>
      <c r="R59" s="74">
        <f t="shared" ref="R59:R69" si="21">SUM(O59:Q59)</f>
        <v>678020</v>
      </c>
      <c r="S59" s="100">
        <f t="shared" si="14"/>
        <v>1879937</v>
      </c>
      <c r="T59" s="26">
        <f>Population!CF101</f>
        <v>96294</v>
      </c>
      <c r="U59" s="26">
        <f>SUM(Population!G101:K101,Population!N101)</f>
        <v>79051</v>
      </c>
      <c r="V59" s="74">
        <v>2358</v>
      </c>
      <c r="W59" s="18">
        <v>4371</v>
      </c>
      <c r="X59" s="101">
        <f t="shared" si="12"/>
        <v>182074</v>
      </c>
      <c r="Y59" s="71">
        <f t="shared" si="20"/>
        <v>2062011</v>
      </c>
    </row>
    <row r="60" spans="1:25" hidden="1" x14ac:dyDescent="0.25">
      <c r="A60" s="17">
        <v>44805</v>
      </c>
      <c r="B60" s="17"/>
      <c r="C60" s="72">
        <f t="shared" si="17"/>
        <v>159899</v>
      </c>
      <c r="D60" s="18">
        <f>19154+510</f>
        <v>19664</v>
      </c>
      <c r="E60" s="18">
        <v>57838</v>
      </c>
      <c r="F60" s="18">
        <v>1604</v>
      </c>
      <c r="G60" s="78">
        <f>Population!DK102+Population!DL102</f>
        <v>239005</v>
      </c>
      <c r="H60" s="65">
        <f>Population!DM102+Population!DN102</f>
        <v>65234</v>
      </c>
      <c r="I60" s="70">
        <f>Population!DP102</f>
        <v>160422</v>
      </c>
      <c r="J60" s="18">
        <f>Population!DR102</f>
        <v>22604</v>
      </c>
      <c r="K60" s="18">
        <f>Population!DO102+Population!DT102</f>
        <v>664630</v>
      </c>
      <c r="L60" s="18">
        <f>Population!CW102+Population!CX102+Population!BX102+Population!CQ102+Population!CR102</f>
        <v>3844</v>
      </c>
      <c r="M60" s="18">
        <f>Population!DS102</f>
        <v>49427</v>
      </c>
      <c r="N60" s="76">
        <f t="shared" si="9"/>
        <v>900927</v>
      </c>
      <c r="O60" s="69">
        <f>Population!DU102</f>
        <v>161897</v>
      </c>
      <c r="P60" s="21">
        <f>Population!DV102</f>
        <v>506025</v>
      </c>
      <c r="Q60" s="21">
        <f>Population!CU102+Population!CV102+Population!CP102</f>
        <v>17482</v>
      </c>
      <c r="R60" s="74">
        <f t="shared" si="21"/>
        <v>685404</v>
      </c>
      <c r="S60" s="100">
        <f t="shared" si="14"/>
        <v>1890570</v>
      </c>
      <c r="T60" s="20">
        <f>Population!CF102</f>
        <v>97236</v>
      </c>
      <c r="U60" s="20">
        <f>SUM(Population!G102:K102,Population!N102)</f>
        <v>79441</v>
      </c>
      <c r="V60" s="74">
        <v>2474</v>
      </c>
      <c r="W60" s="18">
        <v>4470</v>
      </c>
      <c r="X60" s="101">
        <f t="shared" si="12"/>
        <v>183621</v>
      </c>
      <c r="Y60" s="71">
        <f t="shared" si="20"/>
        <v>2074191</v>
      </c>
    </row>
    <row r="61" spans="1:25" hidden="1" x14ac:dyDescent="0.25">
      <c r="A61" s="17">
        <v>44835</v>
      </c>
      <c r="B61" s="17"/>
      <c r="C61" s="72">
        <f t="shared" si="17"/>
        <v>159474</v>
      </c>
      <c r="D61" s="18">
        <f>19219+538</f>
        <v>19757</v>
      </c>
      <c r="E61" s="18">
        <v>58173</v>
      </c>
      <c r="F61" s="18">
        <v>1610</v>
      </c>
      <c r="G61" s="78">
        <f>Population!DK103+Population!DL103</f>
        <v>239014</v>
      </c>
      <c r="H61" s="65">
        <f>Population!DM103+Population!DN103</f>
        <v>65053</v>
      </c>
      <c r="I61" s="70">
        <f>Population!DP103</f>
        <v>160234</v>
      </c>
      <c r="J61" s="18">
        <f>Population!DR103</f>
        <v>23401</v>
      </c>
      <c r="K61" s="18">
        <f>Population!DO103+Population!DT103</f>
        <v>665596</v>
      </c>
      <c r="L61" s="18">
        <f>Population!CW103+Population!CX103+Population!BX103+Population!CQ103+Population!CR103</f>
        <v>5092</v>
      </c>
      <c r="M61" s="18">
        <f>Population!DS103</f>
        <v>49156</v>
      </c>
      <c r="N61" s="76">
        <f t="shared" si="9"/>
        <v>903479</v>
      </c>
      <c r="O61" s="69">
        <f>Population!DU103</f>
        <v>162305</v>
      </c>
      <c r="P61" s="21">
        <f>Population!DV103</f>
        <v>511078</v>
      </c>
      <c r="Q61" s="21">
        <f>Population!CU103+Population!CV103+Population!CP103</f>
        <v>18312</v>
      </c>
      <c r="R61" s="74">
        <f t="shared" si="21"/>
        <v>691695</v>
      </c>
      <c r="S61" s="100">
        <f t="shared" si="14"/>
        <v>1899241</v>
      </c>
      <c r="T61" s="20">
        <f>Population!CF103</f>
        <v>98069</v>
      </c>
      <c r="U61" s="20">
        <f>SUM(Population!G103:K103,Population!N103)</f>
        <v>80000</v>
      </c>
      <c r="V61" s="74">
        <v>2569</v>
      </c>
      <c r="W61" s="18">
        <v>4650</v>
      </c>
      <c r="X61" s="101">
        <f t="shared" si="12"/>
        <v>185288</v>
      </c>
      <c r="Y61" s="71">
        <f t="shared" si="20"/>
        <v>2084529</v>
      </c>
    </row>
    <row r="62" spans="1:25" hidden="1" x14ac:dyDescent="0.25">
      <c r="A62" s="17">
        <v>44866</v>
      </c>
      <c r="B62" s="17"/>
      <c r="C62" s="72">
        <f t="shared" si="17"/>
        <v>159328</v>
      </c>
      <c r="D62" s="18">
        <f>19298+533</f>
        <v>19831</v>
      </c>
      <c r="E62" s="18">
        <v>58461</v>
      </c>
      <c r="F62" s="18">
        <v>1626</v>
      </c>
      <c r="G62" s="78">
        <f>Population!DK104+Population!DL104</f>
        <v>239246</v>
      </c>
      <c r="H62" s="65">
        <f>Population!DM104+Population!DN104</f>
        <v>64930</v>
      </c>
      <c r="I62" s="70">
        <f>Population!DP104</f>
        <v>160465</v>
      </c>
      <c r="J62" s="18">
        <f>Population!DR104</f>
        <v>24231</v>
      </c>
      <c r="K62" s="18">
        <f>Population!DO104+Population!DT104</f>
        <v>668086</v>
      </c>
      <c r="L62" s="18">
        <f>Population!CW104+Population!CX104+Population!BX104+Population!CQ104+Population!CR104</f>
        <v>6269</v>
      </c>
      <c r="M62" s="18">
        <f>Population!DS104</f>
        <v>49227</v>
      </c>
      <c r="N62" s="76">
        <f t="shared" si="9"/>
        <v>908278</v>
      </c>
      <c r="O62" s="69">
        <f>Population!DU104</f>
        <v>162923</v>
      </c>
      <c r="P62" s="21">
        <f>Population!DV104</f>
        <v>516955</v>
      </c>
      <c r="Q62" s="21">
        <f>Population!CU104+Population!CV104+Population!CP104</f>
        <v>19379</v>
      </c>
      <c r="R62" s="74">
        <f t="shared" si="21"/>
        <v>699257</v>
      </c>
      <c r="S62" s="100">
        <f t="shared" si="14"/>
        <v>1911711</v>
      </c>
      <c r="T62" s="20">
        <f>Population!CF104</f>
        <v>99009</v>
      </c>
      <c r="U62" s="20">
        <f>SUM(Population!G104:K104,Population!N104)</f>
        <v>80580</v>
      </c>
      <c r="V62" s="74">
        <v>2677</v>
      </c>
      <c r="W62" s="18">
        <v>4560</v>
      </c>
      <c r="X62" s="101">
        <f t="shared" si="12"/>
        <v>186826</v>
      </c>
      <c r="Y62" s="71">
        <f t="shared" si="20"/>
        <v>2098537</v>
      </c>
    </row>
    <row r="63" spans="1:25" hidden="1" x14ac:dyDescent="0.25">
      <c r="A63" s="17">
        <v>44896</v>
      </c>
      <c r="B63" s="17"/>
      <c r="C63" s="72">
        <f t="shared" si="17"/>
        <v>159334</v>
      </c>
      <c r="D63" s="18">
        <f>19383+534</f>
        <v>19917</v>
      </c>
      <c r="E63" s="18">
        <v>58835</v>
      </c>
      <c r="F63" s="18">
        <v>1675</v>
      </c>
      <c r="G63" s="78">
        <f>Population!DK105+Population!DL105</f>
        <v>239761</v>
      </c>
      <c r="H63" s="65">
        <f>Population!DM105+Population!DN105</f>
        <v>64865</v>
      </c>
      <c r="I63" s="70">
        <f>Population!DP105</f>
        <v>160834</v>
      </c>
      <c r="J63" s="18">
        <f>Population!DR105</f>
        <v>25149</v>
      </c>
      <c r="K63" s="18">
        <f>Population!DO105+Population!DT105</f>
        <v>670599</v>
      </c>
      <c r="L63" s="18">
        <f>Population!CW105+Population!CX105+Population!BX105+Population!CQ105+Population!CR105</f>
        <v>7214</v>
      </c>
      <c r="M63" s="18">
        <f>Population!DS105</f>
        <v>49561</v>
      </c>
      <c r="N63" s="76">
        <f t="shared" si="9"/>
        <v>913357</v>
      </c>
      <c r="O63" s="69">
        <f>Population!DU105</f>
        <v>164045</v>
      </c>
      <c r="P63" s="21">
        <f>Population!DV105</f>
        <v>525797</v>
      </c>
      <c r="Q63" s="21">
        <f>Population!CU105+Population!CV105+Population!CP105</f>
        <v>20458</v>
      </c>
      <c r="R63" s="74">
        <f t="shared" si="21"/>
        <v>710300</v>
      </c>
      <c r="S63" s="100">
        <f t="shared" si="14"/>
        <v>1928283</v>
      </c>
      <c r="T63" s="20">
        <f>Population!CF105</f>
        <v>100602</v>
      </c>
      <c r="U63" s="20">
        <f>SUM(Population!G105:K105,Population!N105)</f>
        <v>81227</v>
      </c>
      <c r="V63" s="74">
        <v>2805</v>
      </c>
      <c r="W63" s="18">
        <v>4509</v>
      </c>
      <c r="X63" s="101">
        <f t="shared" si="12"/>
        <v>189143</v>
      </c>
      <c r="Y63" s="71">
        <f t="shared" si="20"/>
        <v>2117426</v>
      </c>
    </row>
    <row r="64" spans="1:25" hidden="1" x14ac:dyDescent="0.25">
      <c r="A64" s="17">
        <v>44927</v>
      </c>
      <c r="B64" s="17"/>
      <c r="C64" s="72">
        <f t="shared" si="17"/>
        <v>159648</v>
      </c>
      <c r="D64" s="18">
        <f>19271+533</f>
        <v>19804</v>
      </c>
      <c r="E64" s="18">
        <v>58979</v>
      </c>
      <c r="F64" s="18">
        <v>1661</v>
      </c>
      <c r="G64" s="78">
        <f>Population!DK106+Population!DL106</f>
        <v>240092</v>
      </c>
      <c r="H64" s="65">
        <f>Population!DM106+Population!DN106</f>
        <v>64855</v>
      </c>
      <c r="I64" s="70">
        <f>Population!DP106</f>
        <v>161475</v>
      </c>
      <c r="J64" s="18">
        <f>Population!DR106</f>
        <v>25937</v>
      </c>
      <c r="K64" s="18">
        <f>Population!DO106+Population!DT106</f>
        <v>673760</v>
      </c>
      <c r="L64" s="18">
        <f>Population!CW106+Population!CX106+Population!BX106+Population!CQ106+Population!CR106</f>
        <v>8373</v>
      </c>
      <c r="M64" s="18">
        <f>Population!DS106</f>
        <v>49994</v>
      </c>
      <c r="N64" s="76">
        <f t="shared" si="9"/>
        <v>919539</v>
      </c>
      <c r="O64" s="69">
        <f>Population!DU106</f>
        <v>165405</v>
      </c>
      <c r="P64" s="21">
        <f>Population!DV106</f>
        <v>536042</v>
      </c>
      <c r="Q64" s="21">
        <f>Population!CU106+Population!CV106+Population!CP106</f>
        <v>21586</v>
      </c>
      <c r="R64" s="74">
        <f t="shared" si="21"/>
        <v>723033</v>
      </c>
      <c r="S64" s="100">
        <f t="shared" si="14"/>
        <v>1947519</v>
      </c>
      <c r="T64" s="20">
        <f>Population!CF106</f>
        <v>102578</v>
      </c>
      <c r="U64" s="20">
        <f>SUM(Population!G106:K106,Population!N106)</f>
        <v>81595</v>
      </c>
      <c r="V64" s="74">
        <v>2917</v>
      </c>
      <c r="W64" s="18">
        <v>4543</v>
      </c>
      <c r="X64" s="101">
        <f t="shared" si="12"/>
        <v>191633</v>
      </c>
      <c r="Y64" s="71">
        <f t="shared" si="20"/>
        <v>2139152</v>
      </c>
    </row>
    <row r="65" spans="1:26" hidden="1" x14ac:dyDescent="0.25">
      <c r="A65" s="17">
        <v>44958</v>
      </c>
      <c r="B65" s="17"/>
      <c r="C65" s="72">
        <f t="shared" si="17"/>
        <v>159439</v>
      </c>
      <c r="D65" s="18">
        <f>19346+530</f>
        <v>19876</v>
      </c>
      <c r="E65" s="18">
        <v>59228</v>
      </c>
      <c r="F65" s="18">
        <v>1672</v>
      </c>
      <c r="G65" s="78">
        <f>Population!DK107+Population!DL107</f>
        <v>240215</v>
      </c>
      <c r="H65" s="65">
        <f>Population!DM107+Population!DN107</f>
        <v>64690</v>
      </c>
      <c r="I65" s="70">
        <f>Population!DP107</f>
        <v>162323</v>
      </c>
      <c r="J65" s="18">
        <f>Population!DR107</f>
        <v>26806</v>
      </c>
      <c r="K65" s="18">
        <f>Population!DO107+Population!DT107</f>
        <v>677759</v>
      </c>
      <c r="L65" s="18">
        <f>Population!CW107+Population!CX107+Population!BX107+Population!CQ107+Population!CR107</f>
        <v>9436</v>
      </c>
      <c r="M65" s="18">
        <f>Population!DS107</f>
        <v>50352</v>
      </c>
      <c r="N65" s="76">
        <f t="shared" si="9"/>
        <v>926676</v>
      </c>
      <c r="O65" s="69">
        <f>Population!DU107</f>
        <v>166389</v>
      </c>
      <c r="P65" s="21">
        <f>Population!DV107</f>
        <v>543249</v>
      </c>
      <c r="Q65" s="21">
        <f>Population!CU107+Population!CV107+Population!CP107</f>
        <v>22772</v>
      </c>
      <c r="R65" s="74">
        <f t="shared" si="21"/>
        <v>732410</v>
      </c>
      <c r="S65" s="100">
        <f t="shared" si="14"/>
        <v>1963991</v>
      </c>
      <c r="T65" s="20">
        <f>Population!CF107</f>
        <v>103611</v>
      </c>
      <c r="U65" s="20">
        <f>SUM(Population!G107:K107,Population!N107)</f>
        <v>82372</v>
      </c>
      <c r="V65" s="74">
        <v>3085</v>
      </c>
      <c r="W65" s="18">
        <v>4674</v>
      </c>
      <c r="X65" s="101">
        <f t="shared" si="12"/>
        <v>193742</v>
      </c>
      <c r="Y65" s="71">
        <f t="shared" si="20"/>
        <v>2157733</v>
      </c>
      <c r="Z65" s="36"/>
    </row>
    <row r="66" spans="1:26" hidden="1" x14ac:dyDescent="0.25">
      <c r="A66" s="17">
        <v>44986</v>
      </c>
      <c r="B66" s="17"/>
      <c r="C66" s="72">
        <f t="shared" si="17"/>
        <v>160016</v>
      </c>
      <c r="D66" s="18">
        <f>19339+524</f>
        <v>19863</v>
      </c>
      <c r="E66" s="18">
        <v>59272</v>
      </c>
      <c r="F66" s="18">
        <v>1667</v>
      </c>
      <c r="G66" s="78">
        <f>Population!DK108+Population!DL108</f>
        <v>240818</v>
      </c>
      <c r="H66" s="65">
        <f>Population!DM108+Population!DN108</f>
        <v>64641</v>
      </c>
      <c r="I66" s="70">
        <f>Population!DP108</f>
        <v>162351</v>
      </c>
      <c r="J66" s="18">
        <f>Population!DR108</f>
        <v>27622</v>
      </c>
      <c r="K66" s="18">
        <f>Population!DO108+Population!DT108</f>
        <v>680124</v>
      </c>
      <c r="L66" s="18">
        <f>Population!CW108+Population!CX108+Population!BX108+Population!CQ108+Population!CR108</f>
        <v>10773</v>
      </c>
      <c r="M66" s="18">
        <f>Population!DS108</f>
        <v>50573</v>
      </c>
      <c r="N66" s="76">
        <f t="shared" si="9"/>
        <v>931443</v>
      </c>
      <c r="O66" s="69">
        <f>Population!DU108</f>
        <v>167160</v>
      </c>
      <c r="P66" s="21">
        <f>Population!DV108</f>
        <v>547400</v>
      </c>
      <c r="Q66" s="21">
        <f>Population!CU108+Population!CV108+Population!CP108</f>
        <v>23659</v>
      </c>
      <c r="R66" s="74">
        <f t="shared" si="21"/>
        <v>738219</v>
      </c>
      <c r="S66" s="100">
        <f t="shared" si="14"/>
        <v>1975121</v>
      </c>
      <c r="T66" s="20">
        <f>Population!CF108</f>
        <v>104316</v>
      </c>
      <c r="U66" s="20">
        <f>SUM(Population!G108:K108,Population!N108)</f>
        <v>82750</v>
      </c>
      <c r="V66" s="74">
        <v>3126</v>
      </c>
      <c r="W66" s="18">
        <v>4590</v>
      </c>
      <c r="X66" s="101">
        <f t="shared" si="12"/>
        <v>194782</v>
      </c>
      <c r="Y66" s="71">
        <f t="shared" si="20"/>
        <v>2169903</v>
      </c>
    </row>
    <row r="67" spans="1:26" hidden="1" x14ac:dyDescent="0.25">
      <c r="A67" s="17">
        <v>45017</v>
      </c>
      <c r="B67" s="17"/>
      <c r="C67" s="72">
        <f t="shared" si="17"/>
        <v>159363</v>
      </c>
      <c r="D67" s="18">
        <f>19698+518</f>
        <v>20216</v>
      </c>
      <c r="E67" s="18">
        <v>60043</v>
      </c>
      <c r="F67" s="18">
        <v>1713</v>
      </c>
      <c r="G67" s="78">
        <f>Population!DK109+Population!DL109</f>
        <v>241335</v>
      </c>
      <c r="H67" s="65">
        <f>Population!DM109+Population!DN109</f>
        <v>64676</v>
      </c>
      <c r="I67" s="70">
        <f>Population!DP109</f>
        <v>162738</v>
      </c>
      <c r="J67" s="18">
        <f>Population!DR109</f>
        <v>28214</v>
      </c>
      <c r="K67" s="18">
        <f>Population!DO109+Population!DT109</f>
        <v>683589</v>
      </c>
      <c r="L67" s="18">
        <f>Population!CW109+Population!CX109+Population!BX109+Population!CQ109+Population!CR109</f>
        <v>11921</v>
      </c>
      <c r="M67" s="18">
        <f>Population!DS109</f>
        <v>50612</v>
      </c>
      <c r="N67" s="76">
        <f t="shared" si="9"/>
        <v>937074</v>
      </c>
      <c r="O67" s="69">
        <f>Population!DU109</f>
        <v>168379</v>
      </c>
      <c r="P67" s="21">
        <f>Population!DV109</f>
        <v>552779</v>
      </c>
      <c r="Q67" s="21">
        <f>Population!CU109+Population!CV109+Population!CP109</f>
        <v>24757</v>
      </c>
      <c r="R67" s="74">
        <f t="shared" si="21"/>
        <v>745915</v>
      </c>
      <c r="S67" s="100">
        <f t="shared" si="14"/>
        <v>1989000</v>
      </c>
      <c r="T67" s="20">
        <f>Population!CF109</f>
        <v>105034</v>
      </c>
      <c r="U67" s="20">
        <f>SUM(Population!G109:K109,Population!N109)</f>
        <v>83384</v>
      </c>
      <c r="V67" s="74">
        <v>3202</v>
      </c>
      <c r="W67" s="18">
        <v>4688</v>
      </c>
      <c r="X67" s="101">
        <f t="shared" si="12"/>
        <v>196308</v>
      </c>
      <c r="Y67" s="71">
        <f t="shared" si="20"/>
        <v>2185308</v>
      </c>
    </row>
    <row r="68" spans="1:26" hidden="1" x14ac:dyDescent="0.25">
      <c r="A68" s="17">
        <v>45047</v>
      </c>
      <c r="B68" s="17"/>
      <c r="C68" s="72">
        <f t="shared" si="17"/>
        <v>157890</v>
      </c>
      <c r="D68" s="52">
        <f>19481+518</f>
        <v>19999</v>
      </c>
      <c r="E68" s="18">
        <v>60301</v>
      </c>
      <c r="F68" s="18">
        <v>1716</v>
      </c>
      <c r="G68" s="78">
        <f>Population!DK110+Population!DL110</f>
        <v>239906</v>
      </c>
      <c r="H68" s="65">
        <f>Population!DM110+Population!DN110</f>
        <v>64446</v>
      </c>
      <c r="I68" s="70">
        <f>Population!DP110</f>
        <v>160748</v>
      </c>
      <c r="J68" s="18">
        <f>Population!DR110</f>
        <v>29044</v>
      </c>
      <c r="K68" s="18">
        <f>Population!DO110+Population!DT110</f>
        <v>682708</v>
      </c>
      <c r="L68" s="18">
        <f>Population!CW110+Population!CX110+Population!BX110+Population!CQ110+Population!CR110</f>
        <v>12766</v>
      </c>
      <c r="M68" s="18">
        <f>Population!DS110</f>
        <v>51153</v>
      </c>
      <c r="N68" s="76">
        <f t="shared" si="9"/>
        <v>936419</v>
      </c>
      <c r="O68" s="69">
        <f>Population!DU110</f>
        <v>169049</v>
      </c>
      <c r="P68" s="21">
        <f>Population!DV110</f>
        <v>556573</v>
      </c>
      <c r="Q68" s="21">
        <f>Population!CU110+Population!CV110+Population!CP110</f>
        <v>25608</v>
      </c>
      <c r="R68" s="74">
        <f t="shared" si="21"/>
        <v>751230</v>
      </c>
      <c r="S68" s="100">
        <f t="shared" si="14"/>
        <v>1992001</v>
      </c>
      <c r="T68" s="20">
        <f>Population!CF110</f>
        <v>105539</v>
      </c>
      <c r="U68" s="20">
        <f>SUM(Population!G110:K110,Population!N110)</f>
        <v>83090</v>
      </c>
      <c r="V68" s="74">
        <v>3212</v>
      </c>
      <c r="W68" s="18">
        <v>4732</v>
      </c>
      <c r="X68" s="101">
        <f t="shared" si="12"/>
        <v>196573</v>
      </c>
      <c r="Y68" s="71">
        <f t="shared" si="20"/>
        <v>2188574</v>
      </c>
    </row>
    <row r="69" spans="1:26" hidden="1" x14ac:dyDescent="0.25">
      <c r="A69" s="17">
        <v>45078</v>
      </c>
      <c r="B69" s="17"/>
      <c r="C69" s="72">
        <f t="shared" si="17"/>
        <v>157099</v>
      </c>
      <c r="D69" s="18">
        <f>19600+498</f>
        <v>20098</v>
      </c>
      <c r="E69" s="18">
        <v>60627</v>
      </c>
      <c r="F69" s="18">
        <v>1738</v>
      </c>
      <c r="G69" s="78">
        <f>Population!DK111+Population!DL111</f>
        <v>239562</v>
      </c>
      <c r="H69" s="65">
        <f>Population!DM111+Population!DN111</f>
        <v>64467</v>
      </c>
      <c r="I69" s="70">
        <f>Population!DP111</f>
        <v>158656</v>
      </c>
      <c r="J69" s="18">
        <f>Population!DR111</f>
        <v>29358</v>
      </c>
      <c r="K69" s="18">
        <f>Population!DO111+Population!DT111</f>
        <v>676220</v>
      </c>
      <c r="L69" s="18">
        <f>Population!CW111+Population!CX111+Population!BX111+Population!CQ111+Population!CR111</f>
        <v>13572</v>
      </c>
      <c r="M69" s="18">
        <f>Population!DS111</f>
        <v>52385</v>
      </c>
      <c r="N69" s="76">
        <f t="shared" si="9"/>
        <v>930191</v>
      </c>
      <c r="O69" s="69">
        <f>Population!DU111</f>
        <v>166717</v>
      </c>
      <c r="P69" s="21">
        <f>Population!DV111</f>
        <v>551669</v>
      </c>
      <c r="Q69" s="21">
        <f>Population!CU111+Population!CV111+Population!CP111</f>
        <v>26534</v>
      </c>
      <c r="R69" s="74">
        <f t="shared" si="21"/>
        <v>744920</v>
      </c>
      <c r="S69" s="100">
        <f t="shared" si="14"/>
        <v>1979140</v>
      </c>
      <c r="T69" s="20">
        <f>Population!CF111</f>
        <v>104483</v>
      </c>
      <c r="U69" s="20">
        <f>SUM(Population!G111:K111,Population!N111)</f>
        <v>83532</v>
      </c>
      <c r="V69" s="74">
        <v>3201</v>
      </c>
      <c r="W69" s="18">
        <v>4748</v>
      </c>
      <c r="X69" s="101">
        <f t="shared" si="12"/>
        <v>195964</v>
      </c>
      <c r="Y69" s="71">
        <f t="shared" si="20"/>
        <v>2175104</v>
      </c>
    </row>
    <row r="70" spans="1:26" hidden="1" x14ac:dyDescent="0.25">
      <c r="A70" s="17"/>
      <c r="B70" s="17"/>
      <c r="C70" s="72"/>
      <c r="D70" s="18"/>
      <c r="E70" s="18"/>
      <c r="F70" s="18"/>
      <c r="G70" s="78"/>
      <c r="H70" s="65"/>
      <c r="I70" s="70"/>
      <c r="J70" s="18"/>
      <c r="K70" s="18"/>
      <c r="L70" s="18"/>
      <c r="M70" s="18"/>
      <c r="N70" s="76"/>
      <c r="O70" s="69"/>
      <c r="P70" s="18"/>
      <c r="Q70" s="21"/>
      <c r="R70" s="74"/>
      <c r="S70" s="100"/>
      <c r="T70" s="20"/>
      <c r="U70" s="20"/>
      <c r="V70" s="74"/>
      <c r="W70" s="18"/>
      <c r="X70" s="101"/>
      <c r="Y70" s="71"/>
    </row>
    <row r="71" spans="1:26" hidden="1" x14ac:dyDescent="0.25">
      <c r="A71" s="17">
        <v>45108</v>
      </c>
      <c r="B71" s="17"/>
      <c r="C71" s="72">
        <f t="shared" si="17"/>
        <v>154501</v>
      </c>
      <c r="D71" s="18">
        <f>19612+481</f>
        <v>20093</v>
      </c>
      <c r="E71" s="18">
        <v>60454</v>
      </c>
      <c r="F71" s="18">
        <v>1740</v>
      </c>
      <c r="G71" s="78">
        <f>Population!DK112+Population!DL112</f>
        <v>236788</v>
      </c>
      <c r="H71" s="65">
        <f>Population!DM112+Population!DN112</f>
        <v>62802</v>
      </c>
      <c r="I71" s="70">
        <f>Population!DP112</f>
        <v>156821</v>
      </c>
      <c r="J71" s="18">
        <f>Population!DR112</f>
        <v>29207</v>
      </c>
      <c r="K71" s="18">
        <f>Population!DO112+Population!DT112</f>
        <v>666811</v>
      </c>
      <c r="L71" s="18">
        <f>Population!CW112+Population!CX112+Population!BX112+Population!CQ112+Population!CR112</f>
        <v>14198</v>
      </c>
      <c r="M71" s="18">
        <f>Population!DS112</f>
        <v>52072</v>
      </c>
      <c r="N71" s="76">
        <f t="shared" si="9"/>
        <v>919109</v>
      </c>
      <c r="O71" s="69">
        <f>Population!DU112</f>
        <v>163676</v>
      </c>
      <c r="P71" s="21">
        <f>Population!DV112</f>
        <v>546611</v>
      </c>
      <c r="Q71" s="21">
        <f>Population!CU112+Population!CV112+Population!CP112</f>
        <v>27371</v>
      </c>
      <c r="R71" s="74">
        <f t="shared" ref="R71:R81" si="22">SUM(O71:Q71)</f>
        <v>737658</v>
      </c>
      <c r="S71" s="100">
        <f t="shared" si="14"/>
        <v>1956357</v>
      </c>
      <c r="T71" s="20">
        <f>Population!CF112</f>
        <v>102046</v>
      </c>
      <c r="U71" s="20">
        <f>SUM(Population!G112:K112,Population!N112)</f>
        <v>83330</v>
      </c>
      <c r="V71" s="74">
        <v>3222</v>
      </c>
      <c r="W71" s="18">
        <v>4770</v>
      </c>
      <c r="X71" s="101">
        <f t="shared" si="12"/>
        <v>193368</v>
      </c>
      <c r="Y71" s="71">
        <f t="shared" ref="Y71:Y81" si="23">S71+X71</f>
        <v>2149725</v>
      </c>
    </row>
    <row r="72" spans="1:26" hidden="1" x14ac:dyDescent="0.25">
      <c r="A72" s="17">
        <v>45139</v>
      </c>
      <c r="B72" s="17"/>
      <c r="C72" s="72">
        <f t="shared" si="17"/>
        <v>152421</v>
      </c>
      <c r="D72" s="18">
        <f>19802+513</f>
        <v>20315</v>
      </c>
      <c r="E72" s="18">
        <v>59525</v>
      </c>
      <c r="F72" s="18">
        <v>1713</v>
      </c>
      <c r="G72" s="78">
        <f>Population!DK113+Population!DL113</f>
        <v>233974</v>
      </c>
      <c r="H72" s="65">
        <f>Population!DM113+Population!DN113</f>
        <v>61180</v>
      </c>
      <c r="I72" s="70">
        <f>Population!DP113</f>
        <v>155285</v>
      </c>
      <c r="J72" s="18">
        <f>Population!DR113</f>
        <v>28984</v>
      </c>
      <c r="K72" s="18">
        <f>Population!DO113+Population!DT113</f>
        <v>657294</v>
      </c>
      <c r="L72" s="18">
        <f>Population!CW113+Population!CX113+Population!BX113+Population!CQ113+Population!CR113</f>
        <v>14774</v>
      </c>
      <c r="M72" s="18">
        <f>Population!DS113</f>
        <v>51892</v>
      </c>
      <c r="N72" s="77">
        <f t="shared" si="9"/>
        <v>908229</v>
      </c>
      <c r="O72" s="69">
        <f>Population!DU113</f>
        <v>160164</v>
      </c>
      <c r="P72" s="21">
        <f>Population!DV113</f>
        <v>541379</v>
      </c>
      <c r="Q72" s="21">
        <f>Population!CU113+Population!CV113+Population!CP113</f>
        <v>28224</v>
      </c>
      <c r="R72" s="74">
        <f t="shared" si="22"/>
        <v>729767</v>
      </c>
      <c r="S72" s="100">
        <f t="shared" si="14"/>
        <v>1933150</v>
      </c>
      <c r="T72" s="20">
        <f>Population!CF113</f>
        <v>99674</v>
      </c>
      <c r="U72" s="20">
        <f>SUM(Population!G113:K113,Population!N113)</f>
        <v>83045</v>
      </c>
      <c r="V72" s="74">
        <v>3220</v>
      </c>
      <c r="W72" s="18">
        <v>4721</v>
      </c>
      <c r="X72" s="101">
        <f t="shared" si="12"/>
        <v>190660</v>
      </c>
      <c r="Y72" s="71">
        <f t="shared" si="23"/>
        <v>2123810</v>
      </c>
    </row>
    <row r="73" spans="1:26" hidden="1" x14ac:dyDescent="0.25">
      <c r="A73" s="17">
        <v>45170</v>
      </c>
      <c r="B73" s="17"/>
      <c r="C73" s="72">
        <f>G73-D73-E73-F73</f>
        <v>150217</v>
      </c>
      <c r="D73" s="18">
        <f>19855+497</f>
        <v>20352</v>
      </c>
      <c r="E73" s="18">
        <v>59968</v>
      </c>
      <c r="F73" s="18">
        <v>1720</v>
      </c>
      <c r="G73" s="78">
        <f>Population!DK114+Population!DL114</f>
        <v>232257</v>
      </c>
      <c r="H73" s="65">
        <f>Population!DM114+Population!DN114</f>
        <v>61586</v>
      </c>
      <c r="I73" s="70">
        <f>Population!DP114</f>
        <v>153226</v>
      </c>
      <c r="J73" s="18">
        <f>Population!DR114</f>
        <v>28890</v>
      </c>
      <c r="K73" s="18">
        <f>Population!DO114+Population!DT114</f>
        <v>645387</v>
      </c>
      <c r="L73" s="18">
        <f>Population!CW114+Population!CX114+Population!BX114+Population!CQ114+Population!CR114</f>
        <v>15602</v>
      </c>
      <c r="M73" s="18">
        <f>Population!DS114</f>
        <v>52079</v>
      </c>
      <c r="N73" s="77">
        <f t="shared" si="9"/>
        <v>895184</v>
      </c>
      <c r="O73" s="69">
        <f>Population!DU114</f>
        <v>155956</v>
      </c>
      <c r="P73" s="21">
        <f>Population!DV114</f>
        <v>535543</v>
      </c>
      <c r="Q73" s="21">
        <f>Population!CU114+Population!CV114+Population!CP114</f>
        <v>28900</v>
      </c>
      <c r="R73" s="74">
        <f t="shared" si="22"/>
        <v>720399</v>
      </c>
      <c r="S73" s="100">
        <f t="shared" si="14"/>
        <v>1909426</v>
      </c>
      <c r="T73" s="20">
        <f>Population!CF114</f>
        <v>97114</v>
      </c>
      <c r="U73" s="20">
        <f>SUM(Population!G114:K114,Population!N114)</f>
        <v>83250</v>
      </c>
      <c r="V73" s="74">
        <v>3380</v>
      </c>
      <c r="W73" s="18">
        <v>4603</v>
      </c>
      <c r="X73" s="101">
        <f t="shared" si="12"/>
        <v>188347</v>
      </c>
      <c r="Y73" s="71">
        <f t="shared" si="23"/>
        <v>2097773</v>
      </c>
    </row>
    <row r="74" spans="1:26" s="6" customFormat="1" hidden="1" x14ac:dyDescent="0.25">
      <c r="A74" s="17">
        <v>45200</v>
      </c>
      <c r="B74" s="17"/>
      <c r="C74" s="72">
        <f>G74-D74-E74-F74</f>
        <v>151205</v>
      </c>
      <c r="D74" s="18">
        <f>19204+506</f>
        <v>19710</v>
      </c>
      <c r="E74" s="18">
        <v>59894</v>
      </c>
      <c r="F74" s="18">
        <v>1784</v>
      </c>
      <c r="G74" s="78">
        <f>Population!DK115+Population!DL115</f>
        <v>232593</v>
      </c>
      <c r="H74" s="65">
        <f>Population!DM115+Population!DN115</f>
        <v>62546</v>
      </c>
      <c r="I74" s="70">
        <f>Population!DP115</f>
        <v>155391</v>
      </c>
      <c r="J74" s="18">
        <f>Population!DR115</f>
        <v>29925</v>
      </c>
      <c r="K74" s="18">
        <f>Population!DO115+Population!DT115</f>
        <v>656062</v>
      </c>
      <c r="L74" s="18">
        <f>Population!CW115+Population!CX115+Population!BX115+Population!CQ115+Population!CR115</f>
        <v>16520</v>
      </c>
      <c r="M74" s="18">
        <f>Population!DS115</f>
        <v>53292</v>
      </c>
      <c r="N74" s="77">
        <f t="shared" si="9"/>
        <v>911190</v>
      </c>
      <c r="O74" s="69">
        <f>Population!DU115</f>
        <v>158627</v>
      </c>
      <c r="P74" s="21">
        <f>Population!DV115</f>
        <v>548506</v>
      </c>
      <c r="Q74" s="21">
        <f>Population!CU115+Population!CV115+Population!CP115</f>
        <v>29834</v>
      </c>
      <c r="R74" s="74">
        <f t="shared" si="22"/>
        <v>736967</v>
      </c>
      <c r="S74" s="100">
        <f t="shared" si="14"/>
        <v>1943296</v>
      </c>
      <c r="T74" s="20">
        <f>Population!CF115</f>
        <v>100486</v>
      </c>
      <c r="U74" s="20">
        <f>SUM(Population!G115:K115,Population!N115)</f>
        <v>88456</v>
      </c>
      <c r="V74" s="74">
        <v>3366</v>
      </c>
      <c r="W74" s="18">
        <v>4657</v>
      </c>
      <c r="X74" s="101">
        <f t="shared" si="12"/>
        <v>196965</v>
      </c>
      <c r="Y74" s="71">
        <f t="shared" si="23"/>
        <v>2140261</v>
      </c>
    </row>
    <row r="75" spans="1:26" s="6" customFormat="1" hidden="1" x14ac:dyDescent="0.25">
      <c r="A75" s="17">
        <v>45231</v>
      </c>
      <c r="B75" s="17"/>
      <c r="C75" s="72">
        <f>G75-D75-E75-F75</f>
        <v>150958</v>
      </c>
      <c r="D75" s="18">
        <f>19383+512</f>
        <v>19895</v>
      </c>
      <c r="E75" s="18">
        <v>60315</v>
      </c>
      <c r="F75" s="18">
        <v>1789</v>
      </c>
      <c r="G75" s="78">
        <f>Population!DK116+Population!DL116</f>
        <v>232957</v>
      </c>
      <c r="H75" s="65">
        <f>Population!DM116+Population!DN116</f>
        <v>63389</v>
      </c>
      <c r="I75" s="70">
        <f>Population!DP116</f>
        <v>152777</v>
      </c>
      <c r="J75" s="18">
        <f>Population!DR116</f>
        <v>30091</v>
      </c>
      <c r="K75" s="18">
        <f>Population!DO116+Population!DT116</f>
        <v>643647</v>
      </c>
      <c r="L75" s="18">
        <f>Population!CW116+Population!CX116+Population!BX116+Population!CQ116+Population!CR116</f>
        <v>17308</v>
      </c>
      <c r="M75" s="18">
        <f>Population!DS116</f>
        <v>54147</v>
      </c>
      <c r="N75" s="76">
        <f t="shared" si="9"/>
        <v>897970</v>
      </c>
      <c r="O75" s="69">
        <f>Population!DU116</f>
        <v>153444</v>
      </c>
      <c r="P75" s="21">
        <f>Population!DV116</f>
        <v>537858</v>
      </c>
      <c r="Q75" s="21">
        <f>Population!CU116+Population!CV116+Population!CP116</f>
        <v>30778</v>
      </c>
      <c r="R75" s="74">
        <f t="shared" si="22"/>
        <v>722080</v>
      </c>
      <c r="S75" s="100">
        <f t="shared" si="14"/>
        <v>1916396</v>
      </c>
      <c r="T75" s="20">
        <f>Population!CF116</f>
        <v>97861</v>
      </c>
      <c r="U75" s="20">
        <f>SUM(Population!G116:K116,Population!N116)</f>
        <v>89663</v>
      </c>
      <c r="V75" s="74">
        <v>3499</v>
      </c>
      <c r="W75" s="18">
        <v>4591</v>
      </c>
      <c r="X75" s="101">
        <f t="shared" si="12"/>
        <v>195614</v>
      </c>
      <c r="Y75" s="71">
        <f t="shared" si="23"/>
        <v>2112010</v>
      </c>
    </row>
    <row r="76" spans="1:26" s="6" customFormat="1" hidden="1" x14ac:dyDescent="0.25">
      <c r="A76" s="17">
        <v>45261</v>
      </c>
      <c r="B76" s="17"/>
      <c r="C76" s="72">
        <f t="shared" ref="C76:C81" si="24">G76-D76-E76-F76</f>
        <v>149952</v>
      </c>
      <c r="D76" s="18">
        <f>19211+492</f>
        <v>19703</v>
      </c>
      <c r="E76" s="18">
        <v>60446</v>
      </c>
      <c r="F76" s="18">
        <v>1845</v>
      </c>
      <c r="G76" s="78">
        <f>Population!DK117+Population!DL117</f>
        <v>231946</v>
      </c>
      <c r="H76" s="65">
        <f>Population!DM117+Population!DN117</f>
        <v>63852</v>
      </c>
      <c r="I76" s="70">
        <f>Population!DP117</f>
        <v>151910</v>
      </c>
      <c r="J76" s="18">
        <f>Population!DR117</f>
        <v>30206</v>
      </c>
      <c r="K76" s="18">
        <f>Population!DO117+Population!DT117</f>
        <v>637441</v>
      </c>
      <c r="L76" s="18">
        <f>Population!CW117+Population!CX117+Population!BX117+Population!CQ117+Population!CR117</f>
        <v>18187</v>
      </c>
      <c r="M76" s="18">
        <f>Population!DS117</f>
        <v>54999</v>
      </c>
      <c r="N76" s="77">
        <f t="shared" si="9"/>
        <v>892743</v>
      </c>
      <c r="O76" s="69">
        <f>Population!DU117</f>
        <v>151507</v>
      </c>
      <c r="P76" s="21">
        <f>Population!DV117</f>
        <v>536202</v>
      </c>
      <c r="Q76" s="21">
        <f>Population!CU117+Population!CV117+Population!CP117</f>
        <v>31694</v>
      </c>
      <c r="R76" s="74">
        <f t="shared" si="22"/>
        <v>719403</v>
      </c>
      <c r="S76" s="100">
        <f t="shared" si="14"/>
        <v>1907944</v>
      </c>
      <c r="T76" s="20">
        <f>Population!CF117</f>
        <v>97085</v>
      </c>
      <c r="U76" s="20">
        <f>SUM(Population!G117:K117,Population!N117)</f>
        <v>92938</v>
      </c>
      <c r="V76" s="74">
        <v>3520</v>
      </c>
      <c r="W76" s="18">
        <v>4481</v>
      </c>
      <c r="X76" s="101">
        <f t="shared" si="12"/>
        <v>198024</v>
      </c>
      <c r="Y76" s="71">
        <f t="shared" si="23"/>
        <v>2105968</v>
      </c>
    </row>
    <row r="77" spans="1:26" s="6" customFormat="1" hidden="1" x14ac:dyDescent="0.25">
      <c r="A77" s="17">
        <v>45292</v>
      </c>
      <c r="B77" s="17"/>
      <c r="C77" s="72">
        <f t="shared" si="24"/>
        <v>149818</v>
      </c>
      <c r="D77" s="18">
        <f>19078+507</f>
        <v>19585</v>
      </c>
      <c r="E77" s="18">
        <v>60337</v>
      </c>
      <c r="F77" s="18">
        <v>1806</v>
      </c>
      <c r="G77" s="78">
        <f>Population!DK118+Population!DL118</f>
        <v>231546</v>
      </c>
      <c r="H77" s="65">
        <f>Population!DM118+Population!DN118</f>
        <v>64352</v>
      </c>
      <c r="I77" s="70">
        <f>Population!DP118</f>
        <v>151103</v>
      </c>
      <c r="J77" s="18">
        <f>Population!DR118</f>
        <v>30497</v>
      </c>
      <c r="K77" s="18">
        <f>Population!DO118+Population!DT118</f>
        <v>633398</v>
      </c>
      <c r="L77" s="18">
        <f>Population!CW118+Population!CX118+Population!BX118+Population!CQ118+Population!CR118</f>
        <v>19468</v>
      </c>
      <c r="M77" s="18">
        <f>Population!DS118</f>
        <v>56007</v>
      </c>
      <c r="N77" s="77">
        <f t="shared" si="9"/>
        <v>890473</v>
      </c>
      <c r="O77" s="69">
        <f>Population!DU118</f>
        <v>150937</v>
      </c>
      <c r="P77" s="21">
        <f>Population!DV118</f>
        <v>538116</v>
      </c>
      <c r="Q77" s="21">
        <f>Population!CU118+Population!CV118+Population!CP118</f>
        <v>32653</v>
      </c>
      <c r="R77" s="74">
        <f t="shared" si="22"/>
        <v>721706</v>
      </c>
      <c r="S77" s="100">
        <f t="shared" si="14"/>
        <v>1908077</v>
      </c>
      <c r="T77" s="20">
        <f>Population!CF118</f>
        <v>97077</v>
      </c>
      <c r="U77" s="20">
        <f>SUM(Population!G118:K118,Population!N118)</f>
        <v>95906</v>
      </c>
      <c r="V77" s="75">
        <v>3632</v>
      </c>
      <c r="W77" s="21">
        <v>4344</v>
      </c>
      <c r="X77" s="101">
        <f t="shared" si="12"/>
        <v>200959</v>
      </c>
      <c r="Y77" s="71">
        <f t="shared" si="23"/>
        <v>2109036</v>
      </c>
    </row>
    <row r="78" spans="1:26" s="6" customFormat="1" hidden="1" x14ac:dyDescent="0.25">
      <c r="A78" s="17">
        <v>45323</v>
      </c>
      <c r="B78" s="17"/>
      <c r="C78" s="72">
        <f t="shared" si="24"/>
        <v>148405</v>
      </c>
      <c r="D78" s="18">
        <f>19320+489</f>
        <v>19809</v>
      </c>
      <c r="E78" s="18">
        <v>60967</v>
      </c>
      <c r="F78" s="18">
        <v>1818</v>
      </c>
      <c r="G78" s="78">
        <f>Population!DK119+Population!DL119</f>
        <v>230999</v>
      </c>
      <c r="H78" s="65">
        <f>Population!DM119+Population!DN119</f>
        <v>64849</v>
      </c>
      <c r="I78" s="70">
        <f>Population!DP119</f>
        <v>150753</v>
      </c>
      <c r="J78" s="18">
        <f>Population!DR119</f>
        <v>30779</v>
      </c>
      <c r="K78" s="18">
        <f>Population!DO119+Population!DT119</f>
        <v>628988</v>
      </c>
      <c r="L78" s="18">
        <f>Population!CW119+Population!CX119+Population!BX119+Population!CQ119+Population!CR119</f>
        <v>20712</v>
      </c>
      <c r="M78" s="18">
        <f>Population!DS119</f>
        <v>56632</v>
      </c>
      <c r="N78" s="76">
        <f t="shared" si="9"/>
        <v>887864</v>
      </c>
      <c r="O78" s="69">
        <f>Population!DU119</f>
        <v>149474</v>
      </c>
      <c r="P78" s="21">
        <f>Population!DV119</f>
        <v>538490</v>
      </c>
      <c r="Q78" s="21">
        <f>Population!CU119+Population!CV119+Population!CP119</f>
        <v>33703</v>
      </c>
      <c r="R78" s="74">
        <f t="shared" si="22"/>
        <v>721667</v>
      </c>
      <c r="S78" s="100">
        <f t="shared" si="14"/>
        <v>1905379</v>
      </c>
      <c r="T78" s="20">
        <f>Population!CF119</f>
        <v>96335</v>
      </c>
      <c r="U78" s="20">
        <f>SUM(Population!G119:K119,Population!N119)</f>
        <v>99421</v>
      </c>
      <c r="V78" s="75">
        <v>3765</v>
      </c>
      <c r="W78" s="21">
        <v>4147</v>
      </c>
      <c r="X78" s="101">
        <f t="shared" si="12"/>
        <v>203668</v>
      </c>
      <c r="Y78" s="71">
        <f t="shared" si="23"/>
        <v>2109047</v>
      </c>
    </row>
    <row r="79" spans="1:26" s="6" customFormat="1" ht="13.2" hidden="1" customHeight="1" x14ac:dyDescent="0.25">
      <c r="A79" s="17">
        <v>45352</v>
      </c>
      <c r="B79" s="17"/>
      <c r="C79" s="72">
        <f t="shared" si="24"/>
        <v>147210</v>
      </c>
      <c r="D79" s="18">
        <f>19316+491</f>
        <v>19807</v>
      </c>
      <c r="E79" s="18">
        <v>60875</v>
      </c>
      <c r="F79" s="18">
        <v>1805</v>
      </c>
      <c r="G79" s="78">
        <f>Population!DK120+Population!DL120</f>
        <v>229697</v>
      </c>
      <c r="H79" s="65">
        <f>Population!DM120+Population!DN120</f>
        <v>65430</v>
      </c>
      <c r="I79" s="70">
        <f>Population!DP120</f>
        <v>149192</v>
      </c>
      <c r="J79" s="18">
        <f>Population!DR120</f>
        <v>30928</v>
      </c>
      <c r="K79" s="18">
        <f>Population!DO120+Population!DT120</f>
        <v>621005</v>
      </c>
      <c r="L79" s="18">
        <f>Population!CW120+Population!CX120+Population!BX120+Population!CQ120+Population!CR120</f>
        <v>21775</v>
      </c>
      <c r="M79" s="18">
        <f>Population!DS120</f>
        <v>57008</v>
      </c>
      <c r="N79" s="77">
        <f t="shared" si="9"/>
        <v>879908</v>
      </c>
      <c r="O79" s="69">
        <f>Population!DU120</f>
        <v>146148</v>
      </c>
      <c r="P79" s="21">
        <f>Population!DV120</f>
        <v>530241</v>
      </c>
      <c r="Q79" s="21">
        <f>Population!CU120+Population!CV120+Population!CP120</f>
        <v>34823</v>
      </c>
      <c r="R79" s="74">
        <f t="shared" si="22"/>
        <v>711212</v>
      </c>
      <c r="S79" s="100">
        <f t="shared" si="14"/>
        <v>1886247</v>
      </c>
      <c r="T79" s="20">
        <f>Population!CF120</f>
        <v>94729</v>
      </c>
      <c r="U79" s="20">
        <f>SUM(Population!G120:K120,Population!N120)</f>
        <v>101682</v>
      </c>
      <c r="V79" s="75">
        <v>3732</v>
      </c>
      <c r="W79" s="21">
        <v>4148</v>
      </c>
      <c r="X79" s="101">
        <f t="shared" si="12"/>
        <v>204291</v>
      </c>
      <c r="Y79" s="71">
        <f t="shared" si="23"/>
        <v>2090538</v>
      </c>
    </row>
    <row r="80" spans="1:26" s="6" customFormat="1" ht="12.6" hidden="1" customHeight="1" x14ac:dyDescent="0.25">
      <c r="A80" s="17">
        <v>45383</v>
      </c>
      <c r="B80" s="17"/>
      <c r="C80" s="72">
        <f t="shared" si="24"/>
        <v>144795</v>
      </c>
      <c r="D80" s="18">
        <f>18683+485</f>
        <v>19168</v>
      </c>
      <c r="E80" s="18">
        <v>60678</v>
      </c>
      <c r="F80" s="18">
        <v>1759</v>
      </c>
      <c r="G80" s="78">
        <f>Population!DK121+Population!DL121</f>
        <v>226400</v>
      </c>
      <c r="H80" s="65">
        <f>Population!DM121+Population!DN121</f>
        <v>64814</v>
      </c>
      <c r="I80" s="70">
        <f>Population!DP121</f>
        <v>143806</v>
      </c>
      <c r="J80" s="18">
        <f>Population!DR121</f>
        <v>30982</v>
      </c>
      <c r="K80" s="18">
        <f>Population!DO121+Population!DT121</f>
        <v>604475</v>
      </c>
      <c r="L80" s="18">
        <f>Population!CW121+Population!CX121+Population!BX121+Population!CQ121+Population!CR121</f>
        <v>22555</v>
      </c>
      <c r="M80" s="18">
        <f>Population!DS121</f>
        <v>53091</v>
      </c>
      <c r="N80" s="77">
        <f t="shared" si="9"/>
        <v>854909</v>
      </c>
      <c r="O80" s="69">
        <f>Population!DU121</f>
        <v>138422</v>
      </c>
      <c r="P80" s="21">
        <f>Population!DV121</f>
        <v>503986</v>
      </c>
      <c r="Q80" s="21">
        <f>Population!CU121+Population!CV121+Population!CP121</f>
        <v>35159</v>
      </c>
      <c r="R80" s="74">
        <f t="shared" si="22"/>
        <v>677567</v>
      </c>
      <c r="S80" s="100">
        <f t="shared" si="14"/>
        <v>1823690</v>
      </c>
      <c r="T80" s="20">
        <f>Population!CF121</f>
        <v>91170</v>
      </c>
      <c r="U80" s="20">
        <f>SUM(Population!G121:K121,Population!N121)</f>
        <v>100129</v>
      </c>
      <c r="V80" s="75">
        <v>3748</v>
      </c>
      <c r="W80" s="21">
        <v>4217</v>
      </c>
      <c r="X80" s="101">
        <f t="shared" si="12"/>
        <v>199264</v>
      </c>
      <c r="Y80" s="71">
        <f t="shared" si="23"/>
        <v>2022954</v>
      </c>
    </row>
    <row r="81" spans="1:26" s="6" customFormat="1" ht="12.6" hidden="1" customHeight="1" x14ac:dyDescent="0.25">
      <c r="A81" s="17">
        <v>45413</v>
      </c>
      <c r="B81" s="17"/>
      <c r="C81" s="72">
        <f t="shared" si="24"/>
        <v>142507</v>
      </c>
      <c r="D81" s="18">
        <f>19124+444</f>
        <v>19568</v>
      </c>
      <c r="E81" s="18">
        <v>61665</v>
      </c>
      <c r="F81" s="18">
        <v>1777</v>
      </c>
      <c r="G81" s="78">
        <f>Population!DK122+Population!DL122</f>
        <v>225517</v>
      </c>
      <c r="H81" s="65">
        <f>Population!DM122+Population!DN122</f>
        <v>66043</v>
      </c>
      <c r="I81" s="70">
        <f>Population!DP122</f>
        <v>143634</v>
      </c>
      <c r="J81" s="18">
        <f>Population!DR122</f>
        <v>27899</v>
      </c>
      <c r="K81" s="18">
        <f>Population!DO122+Population!DT122</f>
        <v>592428</v>
      </c>
      <c r="L81" s="18">
        <f>Population!CW122+Population!CX122+Population!BX122+Population!CQ122+Population!CR122</f>
        <v>23200</v>
      </c>
      <c r="M81" s="18">
        <f>Population!DS122</f>
        <v>53568</v>
      </c>
      <c r="N81" s="76">
        <f t="shared" si="9"/>
        <v>840729</v>
      </c>
      <c r="O81" s="69">
        <f>Population!DU122</f>
        <v>136208</v>
      </c>
      <c r="P81" s="18">
        <f>Population!DV122</f>
        <v>499483</v>
      </c>
      <c r="Q81" s="21">
        <f>Population!CU122+Population!CV122+Population!CP122</f>
        <v>36821</v>
      </c>
      <c r="R81" s="74">
        <f t="shared" si="22"/>
        <v>672512</v>
      </c>
      <c r="S81" s="100">
        <f t="shared" si="14"/>
        <v>1804801</v>
      </c>
      <c r="T81" s="20">
        <f>Population!CF122</f>
        <v>90203</v>
      </c>
      <c r="U81" s="20">
        <f>SUM(Population!G122:K122,Population!N122)</f>
        <v>99679</v>
      </c>
      <c r="V81" s="75">
        <v>3667</v>
      </c>
      <c r="W81" s="21">
        <v>4315</v>
      </c>
      <c r="X81" s="101">
        <f t="shared" si="12"/>
        <v>197864</v>
      </c>
      <c r="Y81" s="71">
        <f t="shared" si="23"/>
        <v>2002665</v>
      </c>
    </row>
    <row r="82" spans="1:26" s="6" customFormat="1" ht="12.6" hidden="1" customHeight="1" x14ac:dyDescent="0.25">
      <c r="A82" s="17">
        <v>45444</v>
      </c>
      <c r="B82" s="17"/>
      <c r="C82" s="72">
        <v>144151</v>
      </c>
      <c r="D82" s="18">
        <v>19193</v>
      </c>
      <c r="E82" s="18">
        <v>60703</v>
      </c>
      <c r="F82" s="18">
        <v>1764</v>
      </c>
      <c r="G82" s="78">
        <v>225811</v>
      </c>
      <c r="H82" s="65">
        <v>67157</v>
      </c>
      <c r="I82" s="70">
        <v>142125</v>
      </c>
      <c r="J82" s="18">
        <v>28653</v>
      </c>
      <c r="K82" s="18">
        <v>590825</v>
      </c>
      <c r="L82" s="18">
        <v>23966</v>
      </c>
      <c r="M82" s="18">
        <v>53162</v>
      </c>
      <c r="N82" s="77">
        <v>838731</v>
      </c>
      <c r="O82" s="69">
        <v>134105</v>
      </c>
      <c r="P82" s="21">
        <v>492546</v>
      </c>
      <c r="Q82" s="21">
        <v>37888</v>
      </c>
      <c r="R82" s="74">
        <v>664539</v>
      </c>
      <c r="S82" s="100">
        <v>1796238</v>
      </c>
      <c r="T82" s="20">
        <v>92496</v>
      </c>
      <c r="U82" s="20">
        <v>98035</v>
      </c>
      <c r="V82" s="75">
        <v>3844</v>
      </c>
      <c r="W82" s="21">
        <v>4394</v>
      </c>
      <c r="X82" s="101">
        <v>198769</v>
      </c>
      <c r="Y82" s="71">
        <v>1995007</v>
      </c>
    </row>
    <row r="83" spans="1:26" s="6" customFormat="1" ht="12.6" hidden="1" customHeight="1" x14ac:dyDescent="0.25">
      <c r="A83" s="17"/>
      <c r="B83" s="17"/>
      <c r="C83" s="72"/>
      <c r="D83" s="18"/>
      <c r="E83" s="18"/>
      <c r="F83" s="18"/>
      <c r="G83" s="78"/>
      <c r="H83" s="65"/>
      <c r="I83" s="70"/>
      <c r="J83" s="18"/>
      <c r="K83" s="18"/>
      <c r="L83" s="18"/>
      <c r="M83" s="18"/>
      <c r="N83" s="77"/>
      <c r="O83" s="69"/>
      <c r="P83" s="21"/>
      <c r="Q83" s="21"/>
      <c r="R83" s="74"/>
      <c r="S83" s="100"/>
      <c r="T83" s="20"/>
      <c r="U83" s="20"/>
      <c r="V83" s="75"/>
      <c r="W83" s="21"/>
      <c r="X83" s="101"/>
      <c r="Y83" s="71"/>
    </row>
    <row r="84" spans="1:26" s="6" customFormat="1" ht="12.75" hidden="1" customHeight="1" x14ac:dyDescent="0.25">
      <c r="A84" s="17">
        <v>45474</v>
      </c>
      <c r="B84" s="17"/>
      <c r="C84" s="72"/>
      <c r="D84" s="18"/>
      <c r="E84" s="18"/>
      <c r="F84" s="18"/>
      <c r="G84" s="78"/>
      <c r="H84" s="65"/>
      <c r="I84" s="70"/>
      <c r="J84" s="18"/>
      <c r="K84" s="18"/>
      <c r="L84" s="18"/>
      <c r="M84" s="18"/>
      <c r="N84" s="76"/>
      <c r="O84" s="69"/>
      <c r="P84" s="18"/>
      <c r="Q84" s="21"/>
      <c r="R84" s="74"/>
      <c r="S84" s="100"/>
      <c r="T84" s="20"/>
      <c r="U84" s="20"/>
      <c r="V84" s="75"/>
      <c r="W84" s="21"/>
      <c r="X84" s="101"/>
      <c r="Y84" s="71"/>
    </row>
    <row r="85" spans="1:26" s="6" customFormat="1" ht="12.75" hidden="1" customHeight="1" x14ac:dyDescent="0.25">
      <c r="A85" s="17">
        <v>45505</v>
      </c>
      <c r="B85" s="17"/>
      <c r="C85" s="72"/>
      <c r="D85" s="18"/>
      <c r="E85" s="18"/>
      <c r="F85" s="18"/>
      <c r="G85" s="78"/>
      <c r="H85" s="65"/>
      <c r="I85" s="70"/>
      <c r="J85" s="18"/>
      <c r="K85" s="18"/>
      <c r="L85" s="18"/>
      <c r="M85" s="18"/>
      <c r="N85" s="77"/>
      <c r="O85" s="69"/>
      <c r="P85" s="21"/>
      <c r="Q85" s="21"/>
      <c r="R85" s="74"/>
      <c r="S85" s="100"/>
      <c r="T85" s="20"/>
      <c r="U85" s="20"/>
      <c r="V85" s="75"/>
      <c r="W85" s="21"/>
      <c r="X85" s="101"/>
      <c r="Y85" s="71"/>
    </row>
    <row r="86" spans="1:26" s="6" customFormat="1" ht="12.75" hidden="1" customHeight="1" x14ac:dyDescent="0.25">
      <c r="A86" s="17">
        <v>45536</v>
      </c>
      <c r="B86" s="17"/>
      <c r="C86" s="72"/>
      <c r="D86" s="18"/>
      <c r="E86" s="18"/>
      <c r="F86" s="18"/>
      <c r="G86" s="78"/>
      <c r="H86" s="65"/>
      <c r="I86" s="70"/>
      <c r="J86" s="18"/>
      <c r="K86" s="18"/>
      <c r="L86" s="18"/>
      <c r="M86" s="18"/>
      <c r="N86" s="77"/>
      <c r="O86" s="69"/>
      <c r="P86" s="21"/>
      <c r="Q86" s="21"/>
      <c r="R86" s="74"/>
      <c r="S86" s="100"/>
      <c r="T86" s="20"/>
      <c r="U86" s="20"/>
      <c r="V86" s="75"/>
      <c r="W86" s="21"/>
      <c r="X86" s="101"/>
      <c r="Y86" s="71"/>
    </row>
    <row r="87" spans="1:26" s="6" customFormat="1" ht="12.75" hidden="1" customHeight="1" x14ac:dyDescent="0.25">
      <c r="A87" s="17">
        <v>45566</v>
      </c>
      <c r="B87" s="17"/>
      <c r="C87" s="72"/>
      <c r="D87" s="18"/>
      <c r="E87" s="18"/>
      <c r="F87" s="18"/>
      <c r="G87" s="78"/>
      <c r="H87" s="65"/>
      <c r="I87" s="70"/>
      <c r="J87" s="18"/>
      <c r="K87" s="18"/>
      <c r="L87" s="18"/>
      <c r="M87" s="18"/>
      <c r="N87" s="76"/>
      <c r="O87" s="69"/>
      <c r="P87" s="18"/>
      <c r="Q87" s="21"/>
      <c r="R87" s="74"/>
      <c r="S87" s="100"/>
      <c r="T87" s="20"/>
      <c r="U87" s="20"/>
      <c r="V87" s="75"/>
      <c r="W87" s="21"/>
      <c r="X87" s="101"/>
      <c r="Y87" s="71"/>
    </row>
    <row r="88" spans="1:26" s="6" customFormat="1" ht="12.75" hidden="1" customHeight="1" x14ac:dyDescent="0.25">
      <c r="A88" s="17">
        <v>45597</v>
      </c>
      <c r="B88" s="17"/>
      <c r="C88" s="72"/>
      <c r="D88" s="18"/>
      <c r="E88" s="18"/>
      <c r="F88" s="18"/>
      <c r="G88" s="78"/>
      <c r="H88" s="65"/>
      <c r="I88" s="70"/>
      <c r="J88" s="18"/>
      <c r="K88" s="18"/>
      <c r="L88" s="18"/>
      <c r="M88" s="18"/>
      <c r="N88" s="77"/>
      <c r="O88" s="69"/>
      <c r="P88" s="21"/>
      <c r="Q88" s="21"/>
      <c r="R88" s="74"/>
      <c r="S88" s="100"/>
      <c r="T88" s="20"/>
      <c r="U88" s="20"/>
      <c r="V88" s="75"/>
      <c r="W88" s="21"/>
      <c r="X88" s="101"/>
      <c r="Y88" s="71"/>
    </row>
    <row r="89" spans="1:26" s="6" customFormat="1" ht="12.75" hidden="1" customHeight="1" x14ac:dyDescent="0.25">
      <c r="A89" s="17">
        <v>45627</v>
      </c>
      <c r="B89" s="17"/>
      <c r="C89" s="72"/>
      <c r="D89" s="18"/>
      <c r="E89" s="18"/>
      <c r="F89" s="18"/>
      <c r="G89" s="78"/>
      <c r="H89" s="65"/>
      <c r="I89" s="70"/>
      <c r="J89" s="18"/>
      <c r="K89" s="18"/>
      <c r="L89" s="18"/>
      <c r="M89" s="18"/>
      <c r="N89" s="77"/>
      <c r="O89" s="69"/>
      <c r="P89" s="21"/>
      <c r="Q89" s="21"/>
      <c r="R89" s="74"/>
      <c r="S89" s="100"/>
      <c r="T89" s="20"/>
      <c r="U89" s="20"/>
      <c r="V89" s="75"/>
      <c r="W89" s="21"/>
      <c r="X89" s="101"/>
      <c r="Y89" s="71"/>
    </row>
    <row r="90" spans="1:26" s="6" customFormat="1" ht="12.75" hidden="1" customHeight="1" x14ac:dyDescent="0.25">
      <c r="A90" s="17">
        <v>45658</v>
      </c>
      <c r="B90" s="17"/>
      <c r="C90" s="72"/>
      <c r="D90" s="18"/>
      <c r="E90" s="18"/>
      <c r="F90" s="18"/>
      <c r="G90" s="78"/>
      <c r="H90" s="65"/>
      <c r="I90" s="70"/>
      <c r="J90" s="18"/>
      <c r="K90" s="18"/>
      <c r="L90" s="18"/>
      <c r="M90" s="18"/>
      <c r="N90" s="77"/>
      <c r="O90" s="69"/>
      <c r="P90" s="18"/>
      <c r="Q90" s="21"/>
      <c r="R90" s="75"/>
      <c r="S90" s="100"/>
      <c r="T90" s="20"/>
      <c r="U90" s="20"/>
      <c r="V90" s="74"/>
      <c r="W90" s="18"/>
      <c r="X90" s="101"/>
      <c r="Y90" s="71"/>
      <c r="Z90" s="32"/>
    </row>
    <row r="91" spans="1:26" s="6" customFormat="1" ht="12.6" hidden="1" customHeight="1" x14ac:dyDescent="0.25">
      <c r="A91" s="17">
        <v>45689</v>
      </c>
      <c r="B91" s="17"/>
      <c r="C91" s="72"/>
      <c r="D91" s="18"/>
      <c r="E91" s="18"/>
      <c r="F91" s="18"/>
      <c r="G91" s="78"/>
      <c r="H91" s="65"/>
      <c r="I91" s="70"/>
      <c r="J91" s="18"/>
      <c r="K91" s="18"/>
      <c r="L91" s="18"/>
      <c r="M91" s="18"/>
      <c r="N91" s="77"/>
      <c r="O91" s="69"/>
      <c r="P91" s="18"/>
      <c r="Q91" s="21"/>
      <c r="R91" s="75"/>
      <c r="S91" s="100"/>
      <c r="T91" s="20"/>
      <c r="U91" s="20"/>
      <c r="V91" s="74"/>
      <c r="W91" s="18"/>
      <c r="X91" s="101"/>
      <c r="Y91" s="71"/>
      <c r="Z91" s="32"/>
    </row>
    <row r="92" spans="1:26" ht="12.75" hidden="1" customHeight="1" x14ac:dyDescent="0.25">
      <c r="A92" s="17">
        <v>45717</v>
      </c>
      <c r="B92" s="17"/>
      <c r="C92" s="72"/>
      <c r="D92" s="18"/>
      <c r="E92" s="18"/>
      <c r="F92" s="18"/>
      <c r="G92" s="78"/>
      <c r="H92" s="65"/>
      <c r="I92" s="70"/>
      <c r="J92" s="18"/>
      <c r="K92" s="18"/>
      <c r="L92" s="18"/>
      <c r="M92" s="18"/>
      <c r="N92" s="77"/>
      <c r="O92" s="69"/>
      <c r="P92" s="18"/>
      <c r="Q92" s="21"/>
      <c r="R92" s="75"/>
      <c r="S92" s="100"/>
      <c r="T92" s="20"/>
      <c r="U92" s="20"/>
      <c r="V92" s="74"/>
      <c r="W92" s="18"/>
      <c r="X92" s="101"/>
      <c r="Y92" s="71"/>
    </row>
    <row r="93" spans="1:26" s="149" customFormat="1" ht="12.75" hidden="1" customHeight="1" x14ac:dyDescent="0.25">
      <c r="A93" s="17">
        <v>45748</v>
      </c>
      <c r="B93" s="17"/>
      <c r="C93" s="72"/>
      <c r="D93" s="18"/>
      <c r="E93" s="18"/>
      <c r="F93" s="18"/>
      <c r="G93" s="78"/>
      <c r="H93" s="65"/>
      <c r="I93" s="70"/>
      <c r="J93" s="18"/>
      <c r="K93" s="18"/>
      <c r="L93" s="18"/>
      <c r="M93" s="18"/>
      <c r="N93" s="77"/>
      <c r="O93" s="69"/>
      <c r="P93" s="18"/>
      <c r="Q93" s="21"/>
      <c r="R93" s="75"/>
      <c r="S93" s="100"/>
      <c r="T93" s="20"/>
      <c r="U93" s="20"/>
      <c r="V93" s="74"/>
      <c r="W93" s="18"/>
      <c r="X93" s="101"/>
      <c r="Y93" s="71"/>
      <c r="Z93" s="32"/>
    </row>
    <row r="94" spans="1:26" s="6" customFormat="1" ht="12.75" hidden="1" customHeight="1" x14ac:dyDescent="0.25">
      <c r="A94" s="17">
        <v>45778</v>
      </c>
      <c r="B94" s="17"/>
      <c r="C94" s="72"/>
      <c r="D94" s="18"/>
      <c r="E94" s="18"/>
      <c r="F94" s="18"/>
      <c r="G94" s="78"/>
      <c r="H94" s="65"/>
      <c r="I94" s="70"/>
      <c r="J94" s="18"/>
      <c r="K94" s="18"/>
      <c r="L94" s="18"/>
      <c r="M94" s="18"/>
      <c r="N94" s="77"/>
      <c r="O94" s="69"/>
      <c r="P94" s="18"/>
      <c r="Q94" s="21"/>
      <c r="R94" s="75"/>
      <c r="S94" s="100"/>
      <c r="T94" s="20"/>
      <c r="U94" s="20"/>
      <c r="V94" s="74"/>
      <c r="W94" s="18"/>
      <c r="X94" s="101"/>
      <c r="Y94" s="71"/>
      <c r="Z94" s="32"/>
    </row>
    <row r="95" spans="1:26" s="24" customFormat="1" ht="12.75" hidden="1" customHeight="1" x14ac:dyDescent="0.25">
      <c r="A95" s="17">
        <v>45809</v>
      </c>
      <c r="B95" s="17"/>
      <c r="C95" s="72"/>
      <c r="D95" s="18"/>
      <c r="E95" s="18"/>
      <c r="F95" s="18"/>
      <c r="G95" s="78"/>
      <c r="H95" s="65"/>
      <c r="I95" s="70"/>
      <c r="J95" s="18"/>
      <c r="K95" s="18"/>
      <c r="L95" s="18"/>
      <c r="M95" s="18"/>
      <c r="N95" s="77"/>
      <c r="O95" s="69"/>
      <c r="P95" s="18"/>
      <c r="Q95" s="21"/>
      <c r="R95" s="75"/>
      <c r="S95" s="100"/>
      <c r="T95" s="20"/>
      <c r="U95" s="20"/>
      <c r="V95" s="74"/>
      <c r="W95" s="18"/>
      <c r="X95" s="101"/>
      <c r="Y95" s="71"/>
      <c r="Z95" s="32"/>
    </row>
    <row r="96" spans="1:26" s="24" customFormat="1" ht="12.75" hidden="1" customHeight="1" x14ac:dyDescent="0.2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  <c r="O96" s="19"/>
      <c r="P96" s="19"/>
      <c r="Q96" s="18"/>
      <c r="R96" s="19"/>
      <c r="S96" s="19"/>
      <c r="T96" s="20"/>
      <c r="U96" s="20"/>
      <c r="V96" s="18"/>
      <c r="W96" s="18"/>
      <c r="X96" s="19"/>
      <c r="Y96" s="43"/>
      <c r="Z96" s="6"/>
    </row>
    <row r="97" spans="1:26" s="24" customFormat="1" ht="12.75" hidden="1" customHeight="1" x14ac:dyDescent="0.25">
      <c r="A97" s="40" t="s">
        <v>103</v>
      </c>
      <c r="B97" s="40"/>
      <c r="C97" s="32"/>
      <c r="D97" s="32"/>
      <c r="E97" s="32"/>
      <c r="F97" s="32"/>
      <c r="G97" s="32"/>
      <c r="H97" s="32"/>
      <c r="I97" s="32"/>
      <c r="J97" s="32"/>
      <c r="K97" s="32"/>
      <c r="L97" s="18"/>
      <c r="M97" s="32"/>
      <c r="N97" s="32"/>
      <c r="O97" s="32"/>
      <c r="P97" s="32"/>
      <c r="Q97" s="19"/>
      <c r="R97" s="32"/>
      <c r="S97" s="32"/>
      <c r="T97" s="32"/>
      <c r="U97" s="32"/>
      <c r="V97" s="18"/>
      <c r="W97" s="18"/>
      <c r="X97" s="32"/>
      <c r="Y97" s="32"/>
      <c r="Z97" s="6"/>
    </row>
    <row r="98" spans="1:26" s="24" customFormat="1" ht="12.75" hidden="1" customHeight="1" x14ac:dyDescent="0.25">
      <c r="A98" s="41" t="s">
        <v>339</v>
      </c>
      <c r="B98" s="41"/>
      <c r="C98" s="42">
        <f t="shared" ref="C98:Y98" si="25">AVERAGE(C6:C17)</f>
        <v>153482.58333333334</v>
      </c>
      <c r="D98" s="42">
        <f t="shared" si="25"/>
        <v>19649.083333333332</v>
      </c>
      <c r="E98" s="42">
        <f t="shared" si="25"/>
        <v>49135.916666666664</v>
      </c>
      <c r="F98" s="42">
        <f t="shared" si="25"/>
        <v>1236.1666666666667</v>
      </c>
      <c r="G98" s="42">
        <f t="shared" si="25"/>
        <v>223503.75</v>
      </c>
      <c r="H98" s="42">
        <f t="shared" si="25"/>
        <v>62199.916666666664</v>
      </c>
      <c r="I98" s="42">
        <f t="shared" si="25"/>
        <v>112338.16666666667</v>
      </c>
      <c r="J98" s="42">
        <f t="shared" si="25"/>
        <v>15111.5</v>
      </c>
      <c r="K98" s="42">
        <f t="shared" si="25"/>
        <v>506812.25</v>
      </c>
      <c r="L98" s="42">
        <f t="shared" si="25"/>
        <v>9067.75</v>
      </c>
      <c r="M98" s="42">
        <f t="shared" si="25"/>
        <v>88732.5</v>
      </c>
      <c r="N98" s="42">
        <f t="shared" si="25"/>
        <v>732062.16666666663</v>
      </c>
      <c r="O98" s="42">
        <f t="shared" si="25"/>
        <v>44312.166666666664</v>
      </c>
      <c r="P98" s="42">
        <f t="shared" si="25"/>
        <v>76912.833333333328</v>
      </c>
      <c r="Q98" s="42">
        <f t="shared" si="25"/>
        <v>1064.9166666666667</v>
      </c>
      <c r="R98" s="42">
        <f t="shared" si="25"/>
        <v>122289.91666666667</v>
      </c>
      <c r="S98" s="42">
        <f t="shared" si="25"/>
        <v>1018830.75</v>
      </c>
      <c r="T98" s="42">
        <f t="shared" si="25"/>
        <v>64641.416666666664</v>
      </c>
      <c r="U98" s="42">
        <f t="shared" si="25"/>
        <v>71324.75</v>
      </c>
      <c r="V98" s="42">
        <f t="shared" si="25"/>
        <v>1218.8333333333333</v>
      </c>
      <c r="W98" s="42">
        <f t="shared" si="25"/>
        <v>0</v>
      </c>
      <c r="X98" s="42">
        <f t="shared" si="25"/>
        <v>137185</v>
      </c>
      <c r="Y98" s="42">
        <f t="shared" si="25"/>
        <v>1156015.75</v>
      </c>
      <c r="Z98" s="6"/>
    </row>
    <row r="99" spans="1:26" s="24" customFormat="1" ht="12.75" hidden="1" customHeight="1" x14ac:dyDescent="0.25">
      <c r="A99" s="41" t="s">
        <v>173</v>
      </c>
      <c r="B99" s="41"/>
      <c r="C99" s="42">
        <f t="shared" ref="C99:K99" si="26">AVERAGE(C19:C30)</f>
        <v>150994</v>
      </c>
      <c r="D99" s="42">
        <f t="shared" si="26"/>
        <v>19845.666666666668</v>
      </c>
      <c r="E99" s="42">
        <f t="shared" si="26"/>
        <v>50880.166666666664</v>
      </c>
      <c r="F99" s="42">
        <f t="shared" si="26"/>
        <v>1316.6666666666667</v>
      </c>
      <c r="G99" s="42">
        <f t="shared" si="26"/>
        <v>223036.5</v>
      </c>
      <c r="H99" s="42">
        <f t="shared" si="26"/>
        <v>64880.25</v>
      </c>
      <c r="I99" s="42">
        <f t="shared" si="26"/>
        <v>108704.5</v>
      </c>
      <c r="J99" s="42">
        <f t="shared" si="26"/>
        <v>14170.75</v>
      </c>
      <c r="K99" s="42">
        <f t="shared" si="26"/>
        <v>522458.33333333331</v>
      </c>
      <c r="L99" s="42">
        <v>0</v>
      </c>
      <c r="M99" s="42">
        <f t="shared" ref="M99:V99" si="27">AVERAGE(M19:M30)</f>
        <v>43787.5</v>
      </c>
      <c r="N99" s="42">
        <f t="shared" si="27"/>
        <v>690529.58333333337</v>
      </c>
      <c r="O99" s="42">
        <f t="shared" si="27"/>
        <v>112513.33333333333</v>
      </c>
      <c r="P99" s="42">
        <f t="shared" si="27"/>
        <v>231695.83333333334</v>
      </c>
      <c r="Q99" s="42">
        <f t="shared" si="27"/>
        <v>13907.166666666666</v>
      </c>
      <c r="R99" s="42">
        <f t="shared" si="27"/>
        <v>358116.33333333331</v>
      </c>
      <c r="S99" s="42">
        <f t="shared" si="27"/>
        <v>1336562.6666666667</v>
      </c>
      <c r="T99" s="42">
        <f t="shared" si="27"/>
        <v>71743.333333333328</v>
      </c>
      <c r="U99" s="42">
        <f t="shared" si="27"/>
        <v>74669.166666666672</v>
      </c>
      <c r="V99" s="42">
        <f t="shared" si="27"/>
        <v>1586.9166666666667</v>
      </c>
      <c r="W99" s="42">
        <v>0</v>
      </c>
      <c r="X99" s="42">
        <f>AVERAGE(X19:X30)</f>
        <v>147999.41666666666</v>
      </c>
      <c r="Y99" s="42">
        <f>AVERAGE(Y19:Y30)</f>
        <v>1484562.0833333333</v>
      </c>
      <c r="Z99" s="6"/>
    </row>
    <row r="100" spans="1:26" s="24" customFormat="1" ht="12.75" hidden="1" customHeight="1" x14ac:dyDescent="0.25">
      <c r="A100" s="41" t="s">
        <v>188</v>
      </c>
      <c r="B100" s="41"/>
      <c r="C100" s="42">
        <f t="shared" ref="C100:K100" si="28">AVERAGE(C32:C43)</f>
        <v>156175.16666666666</v>
      </c>
      <c r="D100" s="42">
        <f t="shared" si="28"/>
        <v>19443.75</v>
      </c>
      <c r="E100" s="42">
        <f t="shared" si="28"/>
        <v>54092.416666666664</v>
      </c>
      <c r="F100" s="42">
        <f t="shared" si="28"/>
        <v>1459.3333333333333</v>
      </c>
      <c r="G100" s="42">
        <f t="shared" si="28"/>
        <v>231170.66666666666</v>
      </c>
      <c r="H100" s="42">
        <f t="shared" si="28"/>
        <v>66967.333333333328</v>
      </c>
      <c r="I100" s="42">
        <f t="shared" si="28"/>
        <v>130855.41666666667</v>
      </c>
      <c r="J100" s="42">
        <f t="shared" si="28"/>
        <v>20559.083333333332</v>
      </c>
      <c r="K100" s="42">
        <f t="shared" si="28"/>
        <v>584056.83333333337</v>
      </c>
      <c r="L100" s="42">
        <v>0</v>
      </c>
      <c r="M100" s="42">
        <f t="shared" ref="M100:V100" si="29">AVERAGE(M32:M43)</f>
        <v>45737.583333333336</v>
      </c>
      <c r="N100" s="42">
        <f t="shared" si="29"/>
        <v>782821.25</v>
      </c>
      <c r="O100" s="42">
        <f t="shared" si="29"/>
        <v>134722.66666666666</v>
      </c>
      <c r="P100" s="42">
        <f t="shared" si="29"/>
        <v>346072.5</v>
      </c>
      <c r="Q100" s="42">
        <f t="shared" si="29"/>
        <v>18296.416666666668</v>
      </c>
      <c r="R100" s="42">
        <f t="shared" si="29"/>
        <v>499091.58333333331</v>
      </c>
      <c r="S100" s="42">
        <f t="shared" si="29"/>
        <v>1580050.8333333333</v>
      </c>
      <c r="T100" s="42">
        <f t="shared" si="29"/>
        <v>79719.833333333328</v>
      </c>
      <c r="U100" s="42">
        <f t="shared" si="29"/>
        <v>78955.5</v>
      </c>
      <c r="V100" s="42">
        <f t="shared" si="29"/>
        <v>1634.5833333333333</v>
      </c>
      <c r="W100" s="42">
        <v>0</v>
      </c>
      <c r="X100" s="42">
        <f>AVERAGE(X32:X43)</f>
        <v>160309.91666666666</v>
      </c>
      <c r="Y100" s="42">
        <f>AVERAGE(Y32:Y43)</f>
        <v>1740360.75</v>
      </c>
      <c r="Z100" s="6"/>
    </row>
    <row r="101" spans="1:26" s="24" customFormat="1" ht="12.75" hidden="1" customHeight="1" x14ac:dyDescent="0.25">
      <c r="A101" s="41" t="s">
        <v>189</v>
      </c>
      <c r="B101" s="41"/>
      <c r="C101" s="42">
        <f t="shared" ref="C101:K101" si="30">AVERAGE(C45:C56)</f>
        <v>158575.83333333334</v>
      </c>
      <c r="D101" s="42">
        <f t="shared" si="30"/>
        <v>19519.25</v>
      </c>
      <c r="E101" s="42">
        <f t="shared" si="30"/>
        <v>56061.25</v>
      </c>
      <c r="F101" s="42">
        <f t="shared" si="30"/>
        <v>1544.1666666666667</v>
      </c>
      <c r="G101" s="42">
        <f t="shared" si="30"/>
        <v>235700.5</v>
      </c>
      <c r="H101" s="42">
        <f t="shared" si="30"/>
        <v>66123.083333333328</v>
      </c>
      <c r="I101" s="42">
        <f t="shared" si="30"/>
        <v>150486.33333333334</v>
      </c>
      <c r="J101" s="42">
        <f t="shared" si="30"/>
        <v>22946.333333333332</v>
      </c>
      <c r="K101" s="42">
        <f t="shared" si="30"/>
        <v>635808</v>
      </c>
      <c r="L101" s="42">
        <v>0</v>
      </c>
      <c r="M101" s="42">
        <f t="shared" ref="M101:Y101" si="31">AVERAGE(M45:M56)</f>
        <v>48512.25</v>
      </c>
      <c r="N101" s="42">
        <f t="shared" si="31"/>
        <v>859292.91666666663</v>
      </c>
      <c r="O101" s="42">
        <f t="shared" si="31"/>
        <v>152122.58333333334</v>
      </c>
      <c r="P101" s="42">
        <f t="shared" si="31"/>
        <v>445551.08333333331</v>
      </c>
      <c r="Q101" s="42">
        <f t="shared" si="31"/>
        <v>16750.833333333332</v>
      </c>
      <c r="R101" s="42">
        <f t="shared" si="31"/>
        <v>614424.5</v>
      </c>
      <c r="S101" s="42">
        <f t="shared" si="31"/>
        <v>1775541</v>
      </c>
      <c r="T101" s="42">
        <f t="shared" si="31"/>
        <v>89148.75</v>
      </c>
      <c r="U101" s="42">
        <f t="shared" si="31"/>
        <v>80226.25</v>
      </c>
      <c r="V101" s="42">
        <f t="shared" si="31"/>
        <v>1928.5</v>
      </c>
      <c r="W101" s="42">
        <f t="shared" si="31"/>
        <v>2452.5</v>
      </c>
      <c r="X101" s="42">
        <f t="shared" si="31"/>
        <v>173756</v>
      </c>
      <c r="Y101" s="42">
        <f t="shared" si="31"/>
        <v>1949297</v>
      </c>
      <c r="Z101" s="6"/>
    </row>
    <row r="102" spans="1:26" s="24" customFormat="1" ht="12.75" hidden="1" customHeight="1" x14ac:dyDescent="0.25">
      <c r="A102" s="41" t="s">
        <v>223</v>
      </c>
      <c r="B102" s="41"/>
      <c r="C102" s="42">
        <f t="shared" ref="C102:K102" si="32">AVERAGE(C58:C69)</f>
        <v>159341.91666666666</v>
      </c>
      <c r="D102" s="42">
        <f t="shared" si="32"/>
        <v>19850.416666666668</v>
      </c>
      <c r="E102" s="42">
        <f t="shared" si="32"/>
        <v>58880.083333333336</v>
      </c>
      <c r="F102" s="42">
        <f t="shared" si="32"/>
        <v>1655.5833333333333</v>
      </c>
      <c r="G102" s="42">
        <f t="shared" si="32"/>
        <v>239728</v>
      </c>
      <c r="H102" s="42">
        <f t="shared" si="32"/>
        <v>64920.083333333336</v>
      </c>
      <c r="I102" s="42">
        <f t="shared" si="32"/>
        <v>160855.16666666666</v>
      </c>
      <c r="J102" s="42">
        <f t="shared" si="32"/>
        <v>25504.166666666668</v>
      </c>
      <c r="K102" s="42">
        <f t="shared" si="32"/>
        <v>672106.08333333337</v>
      </c>
      <c r="L102" s="42">
        <f>AVERAGE(L62:L74)</f>
        <v>11784.833333333334</v>
      </c>
      <c r="M102" s="42">
        <f t="shared" ref="M102:Y102" si="33">AVERAGE(M58:M69)</f>
        <v>50089.5</v>
      </c>
      <c r="N102" s="42">
        <f t="shared" si="33"/>
        <v>916305.41666666663</v>
      </c>
      <c r="O102" s="42">
        <f t="shared" si="33"/>
        <v>164755.83333333334</v>
      </c>
      <c r="P102" s="42">
        <f t="shared" si="33"/>
        <v>528410.16666666663</v>
      </c>
      <c r="Q102" s="42">
        <f t="shared" si="33"/>
        <v>21146.166666666668</v>
      </c>
      <c r="R102" s="42">
        <f t="shared" si="33"/>
        <v>714312.16666666663</v>
      </c>
      <c r="S102" s="42">
        <f t="shared" si="33"/>
        <v>1935265.6666666667</v>
      </c>
      <c r="T102" s="42">
        <f t="shared" si="33"/>
        <v>101018.41666666667</v>
      </c>
      <c r="U102" s="42">
        <f t="shared" si="33"/>
        <v>81322.666666666672</v>
      </c>
      <c r="V102" s="42">
        <f t="shared" si="33"/>
        <v>2810.25</v>
      </c>
      <c r="W102" s="42">
        <f t="shared" si="33"/>
        <v>4562.166666666667</v>
      </c>
      <c r="X102" s="42">
        <f t="shared" si="33"/>
        <v>189713.5</v>
      </c>
      <c r="Y102" s="42">
        <f t="shared" si="33"/>
        <v>2124979.1666666665</v>
      </c>
      <c r="Z102" s="6"/>
    </row>
    <row r="103" spans="1:26" s="24" customFormat="1" ht="12.75" hidden="1" customHeight="1" x14ac:dyDescent="0.25">
      <c r="A103" s="41" t="s">
        <v>381</v>
      </c>
      <c r="B103" s="41"/>
      <c r="C103" s="42">
        <f t="shared" ref="C103:K103" si="34">AVERAGE(C71:C82)</f>
        <v>148845</v>
      </c>
      <c r="D103" s="42">
        <f t="shared" si="34"/>
        <v>19766.5</v>
      </c>
      <c r="E103" s="42">
        <f t="shared" si="34"/>
        <v>60485.583333333336</v>
      </c>
      <c r="F103" s="42">
        <f t="shared" si="34"/>
        <v>1776.6666666666667</v>
      </c>
      <c r="G103" s="42">
        <f t="shared" si="34"/>
        <v>230873.75</v>
      </c>
      <c r="H103" s="42">
        <f t="shared" si="34"/>
        <v>64000</v>
      </c>
      <c r="I103" s="42">
        <f t="shared" si="34"/>
        <v>150501.91666666666</v>
      </c>
      <c r="J103" s="42">
        <f t="shared" si="34"/>
        <v>29753.416666666668</v>
      </c>
      <c r="K103" s="42">
        <f t="shared" si="34"/>
        <v>631480.08333333337</v>
      </c>
      <c r="L103" s="42">
        <f>AVERAGE(L76:L82)</f>
        <v>21409</v>
      </c>
      <c r="M103" s="42">
        <f t="shared" ref="M103:Y103" si="35">AVERAGE(M71:M82)</f>
        <v>53995.75</v>
      </c>
      <c r="N103" s="42">
        <f t="shared" si="35"/>
        <v>884753.25</v>
      </c>
      <c r="O103" s="42">
        <f t="shared" si="35"/>
        <v>149889</v>
      </c>
      <c r="P103" s="42">
        <f t="shared" si="35"/>
        <v>529080.08333333337</v>
      </c>
      <c r="Q103" s="42">
        <f t="shared" si="35"/>
        <v>32320.666666666668</v>
      </c>
      <c r="R103" s="42">
        <f t="shared" si="35"/>
        <v>711289.75</v>
      </c>
      <c r="S103" s="42">
        <f t="shared" si="35"/>
        <v>1890916.75</v>
      </c>
      <c r="T103" s="42">
        <f t="shared" si="35"/>
        <v>96356.333333333328</v>
      </c>
      <c r="U103" s="42">
        <f t="shared" si="35"/>
        <v>92961.166666666672</v>
      </c>
      <c r="V103" s="42">
        <f t="shared" si="35"/>
        <v>3549.5833333333335</v>
      </c>
      <c r="W103" s="42">
        <f t="shared" si="35"/>
        <v>4449</v>
      </c>
      <c r="X103" s="42">
        <f t="shared" si="35"/>
        <v>197316.08333333334</v>
      </c>
      <c r="Y103" s="42">
        <f t="shared" si="35"/>
        <v>2088232.8333333333</v>
      </c>
      <c r="Z103" s="6"/>
    </row>
    <row r="104" spans="1:26" s="24" customFormat="1" ht="12.75" hidden="1" customHeight="1" x14ac:dyDescent="0.25">
      <c r="A104" s="41" t="s">
        <v>382</v>
      </c>
      <c r="B104" s="41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6"/>
    </row>
    <row r="105" spans="1:26" s="24" customFormat="1" ht="12.75" hidden="1" customHeight="1" x14ac:dyDescent="0.25">
      <c r="A105" s="33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s="24" customFormat="1" ht="22.8" customHeight="1" x14ac:dyDescent="0.25">
      <c r="A106" s="147" t="s">
        <v>105</v>
      </c>
      <c r="B106" s="148"/>
      <c r="C106" s="149"/>
      <c r="D106" s="149"/>
      <c r="E106" s="149"/>
      <c r="F106" s="149"/>
      <c r="G106" s="149"/>
      <c r="H106" s="150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51"/>
      <c r="W106" s="149"/>
      <c r="X106" s="149"/>
      <c r="Y106" s="149"/>
      <c r="Z106" s="149"/>
    </row>
    <row r="107" spans="1:26" s="24" customFormat="1" ht="12.75" customHeight="1" x14ac:dyDescent="0.25">
      <c r="A107" s="156" t="s">
        <v>340</v>
      </c>
      <c r="B107" s="29"/>
      <c r="C107" s="31">
        <v>154324</v>
      </c>
      <c r="D107" s="24">
        <v>12581</v>
      </c>
      <c r="E107" s="24">
        <v>39226</v>
      </c>
      <c r="F107" s="24">
        <v>0</v>
      </c>
      <c r="G107" s="106">
        <f>212460-(1958+873+33)</f>
        <v>209596</v>
      </c>
      <c r="H107" s="31">
        <v>0</v>
      </c>
      <c r="I107" s="24">
        <f>117604+1958-J107</f>
        <v>106120</v>
      </c>
      <c r="J107" s="24">
        <f>13340+102</f>
        <v>13442</v>
      </c>
      <c r="K107" s="24">
        <f>481394+876</f>
        <v>482270</v>
      </c>
      <c r="L107" s="24">
        <v>0</v>
      </c>
      <c r="M107" s="24">
        <v>0</v>
      </c>
      <c r="N107" s="102">
        <f>SUM(I107:M107)</f>
        <v>601832</v>
      </c>
      <c r="O107" s="24">
        <v>0</v>
      </c>
      <c r="P107" s="24">
        <v>0</v>
      </c>
      <c r="Q107" s="24">
        <v>0</v>
      </c>
      <c r="R107" s="24">
        <v>0</v>
      </c>
      <c r="S107" s="105">
        <f>G107+N107+Q107+H107</f>
        <v>811428</v>
      </c>
      <c r="T107" s="38">
        <f>60969+33</f>
        <v>61002</v>
      </c>
      <c r="U107" s="38">
        <v>68061</v>
      </c>
      <c r="V107" s="38">
        <v>992</v>
      </c>
      <c r="W107" s="38">
        <v>0</v>
      </c>
      <c r="X107" s="104">
        <f t="shared" ref="X107:X118" si="36">SUM(T107:V107)</f>
        <v>130055</v>
      </c>
      <c r="Y107" s="154">
        <f t="shared" ref="Y107:Y118" si="37">X107+S107</f>
        <v>941483</v>
      </c>
      <c r="Z107" s="6"/>
    </row>
    <row r="108" spans="1:26" s="24" customFormat="1" ht="12.75" customHeight="1" x14ac:dyDescent="0.25">
      <c r="A108" s="156" t="s">
        <v>341</v>
      </c>
      <c r="B108" s="29"/>
      <c r="C108" s="31">
        <v>150069</v>
      </c>
      <c r="D108" s="24">
        <v>19577</v>
      </c>
      <c r="E108" s="24">
        <v>40097</v>
      </c>
      <c r="F108" s="24">
        <v>0</v>
      </c>
      <c r="G108" s="106">
        <f>212601-(1958+868+32)</f>
        <v>209743</v>
      </c>
      <c r="H108" s="31">
        <v>0</v>
      </c>
      <c r="I108" s="24">
        <f>85246+34407+1958-J108</f>
        <v>107847</v>
      </c>
      <c r="J108" s="24">
        <f>104+9938+3722</f>
        <v>13764</v>
      </c>
      <c r="K108" s="24">
        <f>369645+114856+868</f>
        <v>485369</v>
      </c>
      <c r="L108" s="24">
        <v>0</v>
      </c>
      <c r="M108" s="24">
        <v>0</v>
      </c>
      <c r="N108" s="102">
        <f t="shared" ref="N108:N118" si="38">SUM(I108:M108)</f>
        <v>606980</v>
      </c>
      <c r="O108" s="24">
        <v>0</v>
      </c>
      <c r="P108" s="24">
        <v>0</v>
      </c>
      <c r="Q108" s="24">
        <v>0</v>
      </c>
      <c r="R108" s="24">
        <v>0</v>
      </c>
      <c r="S108" s="105">
        <f t="shared" ref="S108:S118" si="39">G108+N108+Q108+H108</f>
        <v>816723</v>
      </c>
      <c r="T108" s="38">
        <f>48947+12140+32</f>
        <v>61119</v>
      </c>
      <c r="U108" s="38">
        <v>67809</v>
      </c>
      <c r="V108" s="38">
        <v>993</v>
      </c>
      <c r="W108" s="38">
        <v>0</v>
      </c>
      <c r="X108" s="104">
        <f t="shared" si="36"/>
        <v>129921</v>
      </c>
      <c r="Y108" s="154">
        <f t="shared" si="37"/>
        <v>946644</v>
      </c>
    </row>
    <row r="109" spans="1:26" s="24" customFormat="1" ht="12.75" customHeight="1" x14ac:dyDescent="0.25">
      <c r="A109" s="156" t="s">
        <v>342</v>
      </c>
      <c r="B109" s="29"/>
      <c r="C109" s="31">
        <v>149378</v>
      </c>
      <c r="D109" s="24">
        <v>19789</v>
      </c>
      <c r="E109" s="24">
        <v>40410</v>
      </c>
      <c r="F109" s="24">
        <v>0</v>
      </c>
      <c r="G109" s="106">
        <f>212433-(1948+875+33)</f>
        <v>209577</v>
      </c>
      <c r="H109" s="31">
        <v>0</v>
      </c>
      <c r="I109" s="24">
        <f>53558+68627+1948-J109</f>
        <v>109917</v>
      </c>
      <c r="J109" s="24">
        <f>101+6695+7420</f>
        <v>14216</v>
      </c>
      <c r="K109" s="24">
        <f>248664+240064+875</f>
        <v>489603</v>
      </c>
      <c r="L109" s="24">
        <v>0</v>
      </c>
      <c r="M109" s="24">
        <v>0</v>
      </c>
      <c r="N109" s="102">
        <f t="shared" si="38"/>
        <v>613736</v>
      </c>
      <c r="O109" s="24">
        <v>0</v>
      </c>
      <c r="P109" s="24">
        <v>0</v>
      </c>
      <c r="Q109" s="24">
        <v>0</v>
      </c>
      <c r="R109" s="24">
        <v>0</v>
      </c>
      <c r="S109" s="105">
        <f t="shared" si="39"/>
        <v>823313</v>
      </c>
      <c r="T109" s="38">
        <f>35358+26064+33</f>
        <v>61455</v>
      </c>
      <c r="U109" s="38">
        <v>68380</v>
      </c>
      <c r="V109" s="38">
        <v>1021</v>
      </c>
      <c r="W109" s="38">
        <v>0</v>
      </c>
      <c r="X109" s="104">
        <f t="shared" si="36"/>
        <v>130856</v>
      </c>
      <c r="Y109" s="154">
        <f t="shared" si="37"/>
        <v>954169</v>
      </c>
    </row>
    <row r="110" spans="1:26" s="24" customFormat="1" ht="12.75" customHeight="1" x14ac:dyDescent="0.25">
      <c r="A110" s="156" t="s">
        <v>343</v>
      </c>
      <c r="B110" s="29"/>
      <c r="C110" s="31">
        <v>149606</v>
      </c>
      <c r="D110" s="24">
        <v>19957</v>
      </c>
      <c r="E110" s="24">
        <v>40141</v>
      </c>
      <c r="F110" s="24">
        <v>0</v>
      </c>
      <c r="G110" s="106">
        <f>212513-(1962+808+39)</f>
        <v>209704</v>
      </c>
      <c r="H110" s="31">
        <v>0</v>
      </c>
      <c r="I110" s="24">
        <f>34225+89322+1962-J110</f>
        <v>111304</v>
      </c>
      <c r="J110" s="24">
        <f>3788+10324+93</f>
        <v>14205</v>
      </c>
      <c r="K110" s="24">
        <f>132076+360915+808</f>
        <v>493799</v>
      </c>
      <c r="L110" s="24">
        <v>0</v>
      </c>
      <c r="M110" s="24">
        <v>0</v>
      </c>
      <c r="N110" s="102">
        <f t="shared" si="38"/>
        <v>619308</v>
      </c>
      <c r="O110" s="24">
        <v>0</v>
      </c>
      <c r="P110" s="24">
        <v>0</v>
      </c>
      <c r="Q110" s="24">
        <v>0</v>
      </c>
      <c r="R110" s="24">
        <v>0</v>
      </c>
      <c r="S110" s="105">
        <f t="shared" si="39"/>
        <v>829012</v>
      </c>
      <c r="T110" s="38">
        <f>15305+46709+39</f>
        <v>62053</v>
      </c>
      <c r="U110" s="38">
        <v>68878</v>
      </c>
      <c r="V110" s="38">
        <v>1040</v>
      </c>
      <c r="W110" s="38">
        <v>0</v>
      </c>
      <c r="X110" s="104">
        <f t="shared" si="36"/>
        <v>131971</v>
      </c>
      <c r="Y110" s="154">
        <f t="shared" si="37"/>
        <v>960983</v>
      </c>
    </row>
    <row r="111" spans="1:26" s="24" customFormat="1" ht="12.75" customHeight="1" x14ac:dyDescent="0.25">
      <c r="A111" s="156" t="s">
        <v>344</v>
      </c>
      <c r="B111" s="29"/>
      <c r="C111" s="31">
        <v>149253</v>
      </c>
      <c r="D111" s="24">
        <v>20206</v>
      </c>
      <c r="E111" s="24">
        <v>40480</v>
      </c>
      <c r="F111" s="24">
        <v>0</v>
      </c>
      <c r="G111" s="106">
        <f>212737-(1933+821+44)</f>
        <v>209939</v>
      </c>
      <c r="H111" s="31">
        <v>0</v>
      </c>
      <c r="I111" s="24">
        <f>20316+104734+1933-J111</f>
        <v>112788</v>
      </c>
      <c r="J111" s="24">
        <f>2104+11998+93</f>
        <v>14195</v>
      </c>
      <c r="K111" s="24">
        <f>76673+420655+821</f>
        <v>498149</v>
      </c>
      <c r="L111" s="24">
        <v>0</v>
      </c>
      <c r="M111" s="24">
        <v>0</v>
      </c>
      <c r="N111" s="102">
        <f t="shared" si="38"/>
        <v>625132</v>
      </c>
      <c r="O111" s="24">
        <v>0</v>
      </c>
      <c r="P111" s="24">
        <v>0</v>
      </c>
      <c r="Q111" s="24">
        <v>0</v>
      </c>
      <c r="R111" s="24">
        <v>0</v>
      </c>
      <c r="S111" s="105">
        <f t="shared" si="39"/>
        <v>835071</v>
      </c>
      <c r="T111" s="38">
        <f>8056+54673+44</f>
        <v>62773</v>
      </c>
      <c r="U111" s="38">
        <v>69398</v>
      </c>
      <c r="V111" s="38">
        <v>1042</v>
      </c>
      <c r="W111" s="38">
        <v>0</v>
      </c>
      <c r="X111" s="104">
        <f t="shared" si="36"/>
        <v>133213</v>
      </c>
      <c r="Y111" s="154">
        <f t="shared" si="37"/>
        <v>968284</v>
      </c>
    </row>
    <row r="112" spans="1:26" s="24" customFormat="1" ht="12.75" customHeight="1" x14ac:dyDescent="0.25">
      <c r="A112" s="156" t="s">
        <v>345</v>
      </c>
      <c r="B112" s="29"/>
      <c r="C112" s="31">
        <v>144416</v>
      </c>
      <c r="D112" s="24">
        <v>20594</v>
      </c>
      <c r="E112" s="24">
        <v>40883</v>
      </c>
      <c r="F112" s="24">
        <v>0</v>
      </c>
      <c r="G112" s="106">
        <f>208726-(2003+46+784)</f>
        <v>205893</v>
      </c>
      <c r="H112" s="31">
        <v>0</v>
      </c>
      <c r="I112" s="24">
        <f>126579+2003-J112</f>
        <v>114253</v>
      </c>
      <c r="J112" s="24">
        <f>14224+105</f>
        <v>14329</v>
      </c>
      <c r="K112" s="24">
        <f>500403+784</f>
        <v>501187</v>
      </c>
      <c r="L112" s="24">
        <v>0</v>
      </c>
      <c r="M112" s="24">
        <v>0</v>
      </c>
      <c r="N112" s="102">
        <f t="shared" si="38"/>
        <v>629769</v>
      </c>
      <c r="O112" s="24">
        <v>0</v>
      </c>
      <c r="P112" s="24">
        <v>0</v>
      </c>
      <c r="Q112" s="24">
        <v>0</v>
      </c>
      <c r="R112" s="24">
        <v>0</v>
      </c>
      <c r="S112" s="105">
        <f t="shared" si="39"/>
        <v>835662</v>
      </c>
      <c r="T112" s="38">
        <f>46+63172+0</f>
        <v>63218</v>
      </c>
      <c r="U112" s="38">
        <v>69525</v>
      </c>
      <c r="V112" s="38">
        <v>1053</v>
      </c>
      <c r="W112" s="38">
        <v>0</v>
      </c>
      <c r="X112" s="104">
        <f t="shared" si="36"/>
        <v>133796</v>
      </c>
      <c r="Y112" s="154">
        <f t="shared" si="37"/>
        <v>969458</v>
      </c>
    </row>
    <row r="113" spans="1:25" s="24" customFormat="1" ht="12.75" customHeight="1" x14ac:dyDescent="0.25">
      <c r="A113" s="156" t="s">
        <v>346</v>
      </c>
      <c r="B113" s="29"/>
      <c r="C113" s="31">
        <v>151377</v>
      </c>
      <c r="D113" s="24">
        <v>20825</v>
      </c>
      <c r="E113" s="24">
        <v>41730</v>
      </c>
      <c r="F113" s="24">
        <v>0</v>
      </c>
      <c r="G113" s="106">
        <f>239147-(2173+51+831+22160)</f>
        <v>213932</v>
      </c>
      <c r="H113" s="31">
        <v>0</v>
      </c>
      <c r="I113" s="24">
        <f>121478+2173-J113</f>
        <v>109443</v>
      </c>
      <c r="J113" s="24">
        <f>14087+121</f>
        <v>14208</v>
      </c>
      <c r="K113" s="24">
        <f>501381+831</f>
        <v>502212</v>
      </c>
      <c r="L113" s="24">
        <v>0</v>
      </c>
      <c r="M113" s="24">
        <v>0</v>
      </c>
      <c r="N113" s="102">
        <f t="shared" si="38"/>
        <v>625863</v>
      </c>
      <c r="O113" s="24">
        <f>932+41231+444+28110</f>
        <v>70717</v>
      </c>
      <c r="P113" s="24">
        <f>20220+64792+564+20904</f>
        <v>106480</v>
      </c>
      <c r="Q113" s="24">
        <v>0</v>
      </c>
      <c r="R113" s="106">
        <f t="shared" ref="R113:R118" si="40">SUM(O113:P113)</f>
        <v>177197</v>
      </c>
      <c r="S113" s="105">
        <f t="shared" si="39"/>
        <v>839795</v>
      </c>
      <c r="T113" s="38">
        <f>64010+51+0</f>
        <v>64061</v>
      </c>
      <c r="U113" s="38">
        <v>70990</v>
      </c>
      <c r="V113" s="38">
        <v>1164</v>
      </c>
      <c r="W113" s="38">
        <v>0</v>
      </c>
      <c r="X113" s="104">
        <f t="shared" si="36"/>
        <v>136215</v>
      </c>
      <c r="Y113" s="154">
        <f t="shared" si="37"/>
        <v>976010</v>
      </c>
    </row>
    <row r="114" spans="1:25" s="24" customFormat="1" ht="12.75" customHeight="1" x14ac:dyDescent="0.25">
      <c r="A114" s="156" t="s">
        <v>347</v>
      </c>
      <c r="B114" s="29"/>
      <c r="C114" s="31">
        <v>150247</v>
      </c>
      <c r="D114" s="24">
        <v>21268</v>
      </c>
      <c r="E114" s="24">
        <v>41991</v>
      </c>
      <c r="F114" s="24">
        <v>0</v>
      </c>
      <c r="G114" s="106">
        <f>240415-(23860+2188+50+811)</f>
        <v>213506</v>
      </c>
      <c r="H114" s="31">
        <v>0</v>
      </c>
      <c r="I114" s="24">
        <f>119763+2188-J114</f>
        <v>107880</v>
      </c>
      <c r="J114" s="24">
        <f>13960+111</f>
        <v>14071</v>
      </c>
      <c r="K114" s="24">
        <f>503302+811</f>
        <v>504113</v>
      </c>
      <c r="L114" s="24">
        <v>0</v>
      </c>
      <c r="M114" s="24">
        <v>0</v>
      </c>
      <c r="N114" s="102">
        <f t="shared" si="38"/>
        <v>626064</v>
      </c>
      <c r="O114" s="24">
        <f>1112+46782+504+32428</f>
        <v>80826</v>
      </c>
      <c r="P114" s="24">
        <f>21408+81636+836+25874</f>
        <v>129754</v>
      </c>
      <c r="Q114" s="24">
        <v>0</v>
      </c>
      <c r="R114" s="106">
        <f t="shared" si="40"/>
        <v>210580</v>
      </c>
      <c r="S114" s="105">
        <f t="shared" si="39"/>
        <v>839570</v>
      </c>
      <c r="T114" s="38">
        <f>64733+50+0</f>
        <v>64783</v>
      </c>
      <c r="U114" s="38">
        <v>71450</v>
      </c>
      <c r="V114" s="38">
        <v>1189</v>
      </c>
      <c r="W114" s="38">
        <v>0</v>
      </c>
      <c r="X114" s="104">
        <f t="shared" si="36"/>
        <v>137422</v>
      </c>
      <c r="Y114" s="154">
        <f t="shared" si="37"/>
        <v>976992</v>
      </c>
    </row>
    <row r="115" spans="1:25" s="24" customFormat="1" ht="12.75" customHeight="1" x14ac:dyDescent="0.25">
      <c r="A115" s="156" t="s">
        <v>348</v>
      </c>
      <c r="B115" s="29"/>
      <c r="C115" s="31">
        <v>149303</v>
      </c>
      <c r="D115" s="24">
        <v>21575</v>
      </c>
      <c r="E115" s="24">
        <v>42256</v>
      </c>
      <c r="F115" s="24">
        <v>0</v>
      </c>
      <c r="G115" s="106">
        <f>240896-(24730+2186+49+797)</f>
        <v>213134</v>
      </c>
      <c r="H115" s="31">
        <v>0</v>
      </c>
      <c r="I115" s="24">
        <f>117744+2186-J115</f>
        <v>106117</v>
      </c>
      <c r="J115" s="24">
        <f>13688+125</f>
        <v>13813</v>
      </c>
      <c r="K115" s="24">
        <f>503377+797</f>
        <v>504174</v>
      </c>
      <c r="L115" s="24">
        <v>0</v>
      </c>
      <c r="M115" s="24">
        <v>0</v>
      </c>
      <c r="N115" s="102">
        <f t="shared" si="38"/>
        <v>624104</v>
      </c>
      <c r="O115" s="24">
        <f>1168+49861+540+34253</f>
        <v>85822</v>
      </c>
      <c r="P115" s="24">
        <f>21949+90926+1073+27367</f>
        <v>141315</v>
      </c>
      <c r="Q115" s="24">
        <v>0</v>
      </c>
      <c r="R115" s="106">
        <f t="shared" si="40"/>
        <v>227137</v>
      </c>
      <c r="S115" s="105">
        <f t="shared" si="39"/>
        <v>837238</v>
      </c>
      <c r="T115" s="38">
        <f>49+64672+0</f>
        <v>64721</v>
      </c>
      <c r="U115" s="38">
        <v>71131</v>
      </c>
      <c r="V115" s="38">
        <v>1195</v>
      </c>
      <c r="W115" s="38">
        <v>0</v>
      </c>
      <c r="X115" s="104">
        <f t="shared" si="36"/>
        <v>137047</v>
      </c>
      <c r="Y115" s="154">
        <f t="shared" si="37"/>
        <v>974285</v>
      </c>
    </row>
    <row r="116" spans="1:25" s="24" customFormat="1" ht="12.75" customHeight="1" x14ac:dyDescent="0.25">
      <c r="A116" s="156" t="s">
        <v>349</v>
      </c>
      <c r="B116" s="29"/>
      <c r="C116" s="31">
        <v>148833</v>
      </c>
      <c r="D116" s="24">
        <v>21925</v>
      </c>
      <c r="E116" s="24">
        <v>42615</v>
      </c>
      <c r="F116" s="24">
        <v>0</v>
      </c>
      <c r="G116" s="106">
        <f>241565-(25157+2187+49+799)</f>
        <v>213373</v>
      </c>
      <c r="H116" s="31">
        <v>0</v>
      </c>
      <c r="I116" s="24">
        <f>116514+2187-J116</f>
        <v>105141</v>
      </c>
      <c r="J116" s="24">
        <f>13438+122</f>
        <v>13560</v>
      </c>
      <c r="K116" s="24">
        <f>504498+799</f>
        <v>505297</v>
      </c>
      <c r="L116" s="24">
        <v>0</v>
      </c>
      <c r="M116" s="24">
        <v>0</v>
      </c>
      <c r="N116" s="102">
        <f t="shared" si="38"/>
        <v>623998</v>
      </c>
      <c r="O116" s="24">
        <f>1163+52484+516+35815</f>
        <v>89978</v>
      </c>
      <c r="P116" s="24">
        <f>22251+102161+1227+28898</f>
        <v>154537</v>
      </c>
      <c r="Q116" s="24">
        <v>0</v>
      </c>
      <c r="R116" s="106">
        <f t="shared" si="40"/>
        <v>244515</v>
      </c>
      <c r="S116" s="105">
        <f t="shared" si="39"/>
        <v>837371</v>
      </c>
      <c r="T116" s="38">
        <f>64852+49+0</f>
        <v>64901</v>
      </c>
      <c r="U116" s="38">
        <v>70593</v>
      </c>
      <c r="V116" s="38">
        <v>1181</v>
      </c>
      <c r="W116" s="38">
        <v>0</v>
      </c>
      <c r="X116" s="104">
        <f t="shared" si="36"/>
        <v>136675</v>
      </c>
      <c r="Y116" s="154">
        <f t="shared" si="37"/>
        <v>974046</v>
      </c>
    </row>
    <row r="117" spans="1:25" s="24" customFormat="1" ht="12.75" customHeight="1" x14ac:dyDescent="0.25">
      <c r="A117" s="156" t="s">
        <v>350</v>
      </c>
      <c r="B117" s="29"/>
      <c r="C117" s="31">
        <v>148355</v>
      </c>
      <c r="D117" s="24">
        <v>22233</v>
      </c>
      <c r="E117" s="24">
        <v>42955</v>
      </c>
      <c r="F117" s="24">
        <v>0</v>
      </c>
      <c r="G117" s="106">
        <f>242423-(25866+2181+45+788)</f>
        <v>213543</v>
      </c>
      <c r="H117" s="31">
        <v>0</v>
      </c>
      <c r="I117" s="24">
        <f>115684+2181-J117</f>
        <v>104041</v>
      </c>
      <c r="J117" s="24">
        <f>13695+129</f>
        <v>13824</v>
      </c>
      <c r="K117" s="31">
        <f>507039+788</f>
        <v>507827</v>
      </c>
      <c r="L117" s="24">
        <v>0</v>
      </c>
      <c r="M117" s="24">
        <v>0</v>
      </c>
      <c r="N117" s="102">
        <f t="shared" si="38"/>
        <v>625692</v>
      </c>
      <c r="O117" s="24">
        <f>1186+55287+541+37539</f>
        <v>94553</v>
      </c>
      <c r="P117" s="24">
        <f>22713+112427+1426+30362</f>
        <v>166928</v>
      </c>
      <c r="Q117" s="24">
        <v>0</v>
      </c>
      <c r="R117" s="106">
        <f t="shared" si="40"/>
        <v>261481</v>
      </c>
      <c r="S117" s="105">
        <f t="shared" si="39"/>
        <v>839235</v>
      </c>
      <c r="T117" s="38">
        <f>65185+45+0</f>
        <v>65230</v>
      </c>
      <c r="U117" s="38">
        <v>70939</v>
      </c>
      <c r="V117" s="38">
        <v>1202</v>
      </c>
      <c r="W117" s="38">
        <v>0</v>
      </c>
      <c r="X117" s="104">
        <f t="shared" si="36"/>
        <v>137371</v>
      </c>
      <c r="Y117" s="154">
        <f t="shared" si="37"/>
        <v>976606</v>
      </c>
    </row>
    <row r="118" spans="1:25" s="24" customFormat="1" ht="12.75" customHeight="1" x14ac:dyDescent="0.25">
      <c r="A118" s="156" t="s">
        <v>351</v>
      </c>
      <c r="B118" s="29"/>
      <c r="C118" s="31">
        <v>147887</v>
      </c>
      <c r="D118" s="24">
        <v>22516</v>
      </c>
      <c r="E118" s="24">
        <v>43330</v>
      </c>
      <c r="F118" s="24">
        <v>0</v>
      </c>
      <c r="G118" s="106">
        <f>243429-(26681+2193+48+774)</f>
        <v>213733</v>
      </c>
      <c r="H118" s="31">
        <v>0</v>
      </c>
      <c r="I118" s="24">
        <f>114823+2193-J118</f>
        <v>103219</v>
      </c>
      <c r="J118" s="24">
        <f>13667+130</f>
        <v>13797</v>
      </c>
      <c r="K118" s="31">
        <f>508828+774</f>
        <v>509602</v>
      </c>
      <c r="L118" s="24">
        <v>0</v>
      </c>
      <c r="M118" s="24">
        <v>0</v>
      </c>
      <c r="N118" s="102">
        <f t="shared" si="38"/>
        <v>626618</v>
      </c>
      <c r="O118" s="24">
        <f>1259+57468+563+38692</f>
        <v>97982</v>
      </c>
      <c r="P118" s="24">
        <f>23249+119881+1610+31413</f>
        <v>176153</v>
      </c>
      <c r="Q118" s="24">
        <v>0</v>
      </c>
      <c r="R118" s="106">
        <f t="shared" si="40"/>
        <v>274135</v>
      </c>
      <c r="S118" s="105">
        <f t="shared" si="39"/>
        <v>840351</v>
      </c>
      <c r="T118" s="38">
        <f>65543+48+0</f>
        <v>65591</v>
      </c>
      <c r="U118" s="38">
        <v>71019</v>
      </c>
      <c r="V118" s="38">
        <v>1256</v>
      </c>
      <c r="W118" s="38">
        <v>0</v>
      </c>
      <c r="X118" s="104">
        <f t="shared" si="36"/>
        <v>137866</v>
      </c>
      <c r="Y118" s="154">
        <f t="shared" si="37"/>
        <v>978217</v>
      </c>
    </row>
    <row r="119" spans="1:25" s="24" customFormat="1" ht="12.75" customHeight="1" x14ac:dyDescent="0.25">
      <c r="A119" s="156"/>
      <c r="B119" s="29"/>
      <c r="C119" s="31"/>
      <c r="G119" s="106"/>
      <c r="H119" s="31"/>
      <c r="K119" s="31"/>
      <c r="N119" s="1"/>
      <c r="R119" s="1"/>
      <c r="T119" s="38"/>
      <c r="U119" s="38"/>
      <c r="V119" s="38"/>
      <c r="W119" s="38"/>
      <c r="Y119" s="155"/>
    </row>
    <row r="120" spans="1:25" s="24" customFormat="1" ht="12.75" customHeight="1" x14ac:dyDescent="0.25">
      <c r="A120" s="156" t="s">
        <v>161</v>
      </c>
      <c r="B120" s="29"/>
      <c r="C120" s="31">
        <v>147214</v>
      </c>
      <c r="D120" s="24">
        <v>16976</v>
      </c>
      <c r="E120" s="24">
        <v>47849</v>
      </c>
      <c r="F120" s="24">
        <v>0</v>
      </c>
      <c r="G120" s="106">
        <f>244548-(27919+2176+52+763)</f>
        <v>213638</v>
      </c>
      <c r="H120" s="106">
        <v>0</v>
      </c>
      <c r="I120" s="24">
        <f>114294+2176-J120</f>
        <v>102779</v>
      </c>
      <c r="J120" s="24">
        <f>13565+126</f>
        <v>13691</v>
      </c>
      <c r="K120" s="31">
        <f>509258+763</f>
        <v>510021</v>
      </c>
      <c r="L120" s="24">
        <v>0</v>
      </c>
      <c r="M120" s="24">
        <v>0</v>
      </c>
      <c r="N120" s="102">
        <f>SUM(I120:M120)</f>
        <v>626491</v>
      </c>
      <c r="O120" s="24">
        <f>1396+58367+693+39507</f>
        <v>99963</v>
      </c>
      <c r="P120" s="24">
        <f>23944+125462+1886+32314</f>
        <v>183606</v>
      </c>
      <c r="Q120" s="24">
        <v>0</v>
      </c>
      <c r="R120" s="106">
        <f>SUM(O120:Q120)</f>
        <v>283569</v>
      </c>
      <c r="S120" s="105">
        <f>G120+N120+R120+H120</f>
        <v>1123698</v>
      </c>
      <c r="T120" s="38">
        <f>65816+52+0</f>
        <v>65868</v>
      </c>
      <c r="U120" s="38">
        <v>71366</v>
      </c>
      <c r="V120" s="38">
        <v>1314</v>
      </c>
      <c r="W120" s="38">
        <v>0</v>
      </c>
      <c r="X120" s="104">
        <f>SUM(T120:W120)</f>
        <v>138548</v>
      </c>
      <c r="Y120" s="154">
        <f t="shared" ref="Y120:Y131" si="41">X120+S120</f>
        <v>1262246</v>
      </c>
    </row>
    <row r="121" spans="1:25" s="24" customFormat="1" ht="12.75" customHeight="1" x14ac:dyDescent="0.25">
      <c r="A121" s="156" t="s">
        <v>162</v>
      </c>
      <c r="B121" s="29"/>
      <c r="C121" s="31">
        <v>148197</v>
      </c>
      <c r="D121" s="24">
        <v>16871</v>
      </c>
      <c r="E121" s="24">
        <v>48104</v>
      </c>
      <c r="F121" s="24">
        <v>0</v>
      </c>
      <c r="G121" s="106">
        <f>244862-(28734+2156+52+748)</f>
        <v>213172</v>
      </c>
      <c r="H121" s="106">
        <v>0</v>
      </c>
      <c r="I121" s="31">
        <f>114027+2156-J121</f>
        <v>102700</v>
      </c>
      <c r="J121" s="24">
        <f>13370+113</f>
        <v>13483</v>
      </c>
      <c r="K121" s="31">
        <f>508438+748</f>
        <v>509186</v>
      </c>
      <c r="L121" s="24">
        <v>0</v>
      </c>
      <c r="M121" s="24">
        <v>0</v>
      </c>
      <c r="N121" s="102">
        <f t="shared" ref="N121:N131" si="42">SUM(I121:M121)</f>
        <v>625369</v>
      </c>
      <c r="O121" s="24">
        <f>1566+59081+753+40194</f>
        <v>101594</v>
      </c>
      <c r="P121" s="24">
        <f>24300+130932+2115+33173</f>
        <v>190520</v>
      </c>
      <c r="Q121" s="24">
        <v>0</v>
      </c>
      <c r="R121" s="106">
        <f t="shared" ref="R121:R131" si="43">SUM(O121:Q121)</f>
        <v>292114</v>
      </c>
      <c r="S121" s="105">
        <f t="shared" ref="S121:S131" si="44">G121+N121+R121+H121</f>
        <v>1130655</v>
      </c>
      <c r="T121" s="38">
        <f>65854+52+0</f>
        <v>65906</v>
      </c>
      <c r="U121" s="38">
        <v>71794</v>
      </c>
      <c r="V121" s="38">
        <v>1317</v>
      </c>
      <c r="W121" s="38">
        <v>0</v>
      </c>
      <c r="X121" s="104">
        <f t="shared" ref="X121:X183" si="45">SUM(T121:W121)</f>
        <v>139017</v>
      </c>
      <c r="Y121" s="154">
        <f t="shared" si="41"/>
        <v>1269672</v>
      </c>
    </row>
    <row r="122" spans="1:25" s="24" customFormat="1" ht="12.75" customHeight="1" x14ac:dyDescent="0.25">
      <c r="A122" s="156" t="s">
        <v>163</v>
      </c>
      <c r="B122" s="29"/>
      <c r="C122" s="31">
        <v>148208</v>
      </c>
      <c r="D122" s="24">
        <v>16760</v>
      </c>
      <c r="E122" s="24">
        <v>48340</v>
      </c>
      <c r="F122" s="24">
        <v>0</v>
      </c>
      <c r="G122" s="106">
        <f>242995-(26748+2141+49+749)</f>
        <v>213308</v>
      </c>
      <c r="H122" s="106">
        <v>0</v>
      </c>
      <c r="I122" s="31">
        <f>114260+2141-J122</f>
        <v>102808</v>
      </c>
      <c r="J122" s="24">
        <f>13479+114</f>
        <v>13593</v>
      </c>
      <c r="K122" s="31">
        <f>507575+749</f>
        <v>508324</v>
      </c>
      <c r="L122" s="24">
        <v>0</v>
      </c>
      <c r="M122" s="24">
        <v>0</v>
      </c>
      <c r="N122" s="102">
        <f t="shared" si="42"/>
        <v>624725</v>
      </c>
      <c r="O122" s="24">
        <f>1534+59690+713+40985</f>
        <v>102922</v>
      </c>
      <c r="P122" s="24">
        <f>22445+138825+2056+34348</f>
        <v>197674</v>
      </c>
      <c r="Q122" s="24">
        <v>0</v>
      </c>
      <c r="R122" s="106">
        <f t="shared" si="43"/>
        <v>300596</v>
      </c>
      <c r="S122" s="105">
        <f t="shared" si="44"/>
        <v>1138629</v>
      </c>
      <c r="T122" s="38">
        <f>65825+49+0</f>
        <v>65874</v>
      </c>
      <c r="U122" s="38">
        <v>72626</v>
      </c>
      <c r="V122" s="38">
        <v>1335</v>
      </c>
      <c r="W122" s="38">
        <v>0</v>
      </c>
      <c r="X122" s="104">
        <f t="shared" si="45"/>
        <v>139835</v>
      </c>
      <c r="Y122" s="154">
        <f t="shared" si="41"/>
        <v>1278464</v>
      </c>
    </row>
    <row r="123" spans="1:25" s="24" customFormat="1" ht="12.75" customHeight="1" x14ac:dyDescent="0.25">
      <c r="A123" s="156" t="s">
        <v>164</v>
      </c>
      <c r="B123" s="29"/>
      <c r="C123" s="31">
        <v>148333</v>
      </c>
      <c r="D123" s="24">
        <v>16735</v>
      </c>
      <c r="E123" s="24">
        <v>48690</v>
      </c>
      <c r="F123" s="24">
        <v>0</v>
      </c>
      <c r="G123" s="106">
        <f>243395-(26672+2171+51+743)</f>
        <v>213758</v>
      </c>
      <c r="H123" s="106">
        <v>0</v>
      </c>
      <c r="I123" s="31">
        <f>115265+2171-J123</f>
        <v>104084</v>
      </c>
      <c r="J123" s="24">
        <f>13240+112</f>
        <v>13352</v>
      </c>
      <c r="K123" s="31">
        <f>509549+743</f>
        <v>510292</v>
      </c>
      <c r="L123" s="24">
        <v>0</v>
      </c>
      <c r="M123" s="24">
        <v>0</v>
      </c>
      <c r="N123" s="102">
        <f t="shared" si="42"/>
        <v>627728</v>
      </c>
      <c r="O123" s="24">
        <f>1601+61103+729+41960</f>
        <v>105393</v>
      </c>
      <c r="P123" s="24">
        <f>22241+145299+2101+35029</f>
        <v>204670</v>
      </c>
      <c r="Q123" s="24">
        <v>0</v>
      </c>
      <c r="R123" s="106">
        <f t="shared" si="43"/>
        <v>310063</v>
      </c>
      <c r="S123" s="105">
        <f t="shared" si="44"/>
        <v>1151549</v>
      </c>
      <c r="T123" s="38">
        <f>66379+51+0</f>
        <v>66430</v>
      </c>
      <c r="U123" s="38">
        <v>73483</v>
      </c>
      <c r="V123" s="38">
        <v>1375</v>
      </c>
      <c r="W123" s="38">
        <v>0</v>
      </c>
      <c r="X123" s="104">
        <f t="shared" si="45"/>
        <v>141288</v>
      </c>
      <c r="Y123" s="154">
        <f t="shared" si="41"/>
        <v>1292837</v>
      </c>
    </row>
    <row r="124" spans="1:25" s="24" customFormat="1" ht="12.75" customHeight="1" x14ac:dyDescent="0.25">
      <c r="A124" s="156" t="s">
        <v>165</v>
      </c>
      <c r="B124" s="29"/>
      <c r="C124" s="31">
        <v>147699</v>
      </c>
      <c r="D124" s="24">
        <v>16854</v>
      </c>
      <c r="E124" s="24">
        <v>48885</v>
      </c>
      <c r="F124" s="24">
        <v>0</v>
      </c>
      <c r="G124" s="106">
        <f>243505-(27087+2182+49+749)</f>
        <v>213438</v>
      </c>
      <c r="H124" s="106">
        <v>0</v>
      </c>
      <c r="I124" s="31">
        <f>115349+2182-J124</f>
        <v>104543</v>
      </c>
      <c r="J124" s="24">
        <f>12886+102</f>
        <v>12988</v>
      </c>
      <c r="K124" s="31">
        <f>510167+749</f>
        <v>510916</v>
      </c>
      <c r="L124" s="24">
        <v>0</v>
      </c>
      <c r="M124" s="24">
        <v>0</v>
      </c>
      <c r="N124" s="102">
        <f t="shared" si="42"/>
        <v>628447</v>
      </c>
      <c r="O124" s="24">
        <f>1684+61498+730+42048</f>
        <v>105960</v>
      </c>
      <c r="P124" s="24">
        <f>22525+147312+2148+32616</f>
        <v>204601</v>
      </c>
      <c r="Q124" s="24">
        <v>0</v>
      </c>
      <c r="R124" s="106">
        <f t="shared" si="43"/>
        <v>310561</v>
      </c>
      <c r="S124" s="105">
        <f t="shared" si="44"/>
        <v>1152446</v>
      </c>
      <c r="T124" s="38">
        <f>66522+49+0</f>
        <v>66571</v>
      </c>
      <c r="U124" s="38">
        <v>73578</v>
      </c>
      <c r="V124" s="38">
        <v>1362</v>
      </c>
      <c r="W124" s="38">
        <v>0</v>
      </c>
      <c r="X124" s="104">
        <f t="shared" si="45"/>
        <v>141511</v>
      </c>
      <c r="Y124" s="154">
        <f t="shared" si="41"/>
        <v>1293957</v>
      </c>
    </row>
    <row r="125" spans="1:25" s="24" customFormat="1" ht="12.75" customHeight="1" x14ac:dyDescent="0.25">
      <c r="A125" s="156" t="s">
        <v>166</v>
      </c>
      <c r="B125" s="29"/>
      <c r="C125" s="31">
        <v>147398</v>
      </c>
      <c r="D125" s="24">
        <v>16963</v>
      </c>
      <c r="E125" s="24">
        <v>49228</v>
      </c>
      <c r="F125" s="24">
        <v>0</v>
      </c>
      <c r="G125" s="106">
        <f>243987-(27406+2185+49+758)</f>
        <v>213589</v>
      </c>
      <c r="H125" s="106">
        <v>0</v>
      </c>
      <c r="I125" s="31">
        <f>115485+2185-J125</f>
        <v>104843</v>
      </c>
      <c r="J125" s="24">
        <f>12722+105</f>
        <v>12827</v>
      </c>
      <c r="K125" s="31">
        <f>512194+758</f>
        <v>512952</v>
      </c>
      <c r="L125" s="24">
        <v>0</v>
      </c>
      <c r="M125" s="24">
        <v>0</v>
      </c>
      <c r="N125" s="102">
        <f t="shared" si="42"/>
        <v>630622</v>
      </c>
      <c r="O125" s="24">
        <f>1692+62763+747+43581</f>
        <v>108783</v>
      </c>
      <c r="P125" s="24">
        <f>22710+152116+2257+34784</f>
        <v>211867</v>
      </c>
      <c r="Q125" s="24">
        <v>0</v>
      </c>
      <c r="R125" s="106">
        <f t="shared" si="43"/>
        <v>320650</v>
      </c>
      <c r="S125" s="105">
        <f t="shared" si="44"/>
        <v>1164861</v>
      </c>
      <c r="T125" s="38">
        <f>69030+49+0</f>
        <v>69079</v>
      </c>
      <c r="U125" s="38">
        <v>73411</v>
      </c>
      <c r="V125" s="38">
        <v>1453</v>
      </c>
      <c r="W125" s="38">
        <v>0</v>
      </c>
      <c r="X125" s="104">
        <f t="shared" si="45"/>
        <v>143943</v>
      </c>
      <c r="Y125" s="154">
        <f t="shared" si="41"/>
        <v>1308804</v>
      </c>
    </row>
    <row r="126" spans="1:25" s="24" customFormat="1" ht="12.75" customHeight="1" x14ac:dyDescent="0.25">
      <c r="A126" s="156" t="s">
        <v>167</v>
      </c>
      <c r="B126" s="29"/>
      <c r="C126" s="31">
        <v>147415</v>
      </c>
      <c r="D126" s="24">
        <v>16969</v>
      </c>
      <c r="E126" s="24">
        <v>49300</v>
      </c>
      <c r="F126" s="24">
        <v>0</v>
      </c>
      <c r="G126" s="106">
        <f>245452-(28804+2163+50+751)</f>
        <v>213684</v>
      </c>
      <c r="H126" s="106">
        <v>0</v>
      </c>
      <c r="I126" s="31">
        <f>116103+2163-J126</f>
        <v>105631</v>
      </c>
      <c r="J126" s="24">
        <f>12532+103</f>
        <v>12635</v>
      </c>
      <c r="K126" s="31">
        <f>516914+751</f>
        <v>517665</v>
      </c>
      <c r="L126" s="24">
        <v>0</v>
      </c>
      <c r="M126" s="24">
        <v>0</v>
      </c>
      <c r="N126" s="102">
        <f t="shared" si="42"/>
        <v>635931</v>
      </c>
      <c r="O126" s="24">
        <f>1789+64936+824+46886</f>
        <v>114435</v>
      </c>
      <c r="P126" s="24">
        <f>23632+164869+2559+42381</f>
        <v>233441</v>
      </c>
      <c r="Q126" s="24">
        <v>0</v>
      </c>
      <c r="R126" s="106">
        <f t="shared" si="43"/>
        <v>347876</v>
      </c>
      <c r="S126" s="105">
        <f t="shared" si="44"/>
        <v>1197491</v>
      </c>
      <c r="T126" s="38">
        <f>73696+50+0</f>
        <v>73746</v>
      </c>
      <c r="U126" s="38">
        <v>73710</v>
      </c>
      <c r="V126" s="38">
        <v>1623</v>
      </c>
      <c r="W126" s="38">
        <v>0</v>
      </c>
      <c r="X126" s="104">
        <f t="shared" si="45"/>
        <v>149079</v>
      </c>
      <c r="Y126" s="154">
        <f t="shared" si="41"/>
        <v>1346570</v>
      </c>
    </row>
    <row r="127" spans="1:25" s="24" customFormat="1" ht="12.75" customHeight="1" x14ac:dyDescent="0.25">
      <c r="A127" s="156" t="s">
        <v>168</v>
      </c>
      <c r="B127" s="29"/>
      <c r="C127" s="31">
        <v>146160</v>
      </c>
      <c r="D127" s="24">
        <v>16824</v>
      </c>
      <c r="E127" s="24">
        <v>49477</v>
      </c>
      <c r="F127" s="24">
        <v>0</v>
      </c>
      <c r="G127" s="106">
        <f>244668-(29298+2118+49+742)</f>
        <v>212461</v>
      </c>
      <c r="H127" s="106">
        <v>0</v>
      </c>
      <c r="I127" s="31">
        <f>115603+2118-J127</f>
        <v>105219</v>
      </c>
      <c r="J127" s="24">
        <f>12403+99</f>
        <v>12502</v>
      </c>
      <c r="K127" s="31">
        <f>515789+742</f>
        <v>516531</v>
      </c>
      <c r="L127" s="24">
        <v>0</v>
      </c>
      <c r="M127" s="24">
        <v>0</v>
      </c>
      <c r="N127" s="102">
        <f t="shared" si="42"/>
        <v>634252</v>
      </c>
      <c r="O127" s="24">
        <f>1816+65446+870+47874</f>
        <v>116006</v>
      </c>
      <c r="P127" s="24">
        <f>23917+169177+2695+44094</f>
        <v>239883</v>
      </c>
      <c r="Q127" s="24">
        <v>0</v>
      </c>
      <c r="R127" s="106">
        <f t="shared" si="43"/>
        <v>355889</v>
      </c>
      <c r="S127" s="105">
        <f t="shared" si="44"/>
        <v>1202602</v>
      </c>
      <c r="T127" s="38">
        <f>74413+49+0</f>
        <v>74462</v>
      </c>
      <c r="U127" s="38">
        <v>73929</v>
      </c>
      <c r="V127" s="38">
        <v>1581</v>
      </c>
      <c r="W127" s="38">
        <v>0</v>
      </c>
      <c r="X127" s="104">
        <f t="shared" si="45"/>
        <v>149972</v>
      </c>
      <c r="Y127" s="154">
        <f t="shared" si="41"/>
        <v>1352574</v>
      </c>
    </row>
    <row r="128" spans="1:25" s="24" customFormat="1" ht="12.75" customHeight="1" x14ac:dyDescent="0.25">
      <c r="A128" s="156" t="s">
        <v>169</v>
      </c>
      <c r="B128" s="29"/>
      <c r="C128" s="31">
        <v>146551</v>
      </c>
      <c r="D128" s="24">
        <v>16687</v>
      </c>
      <c r="E128" s="24">
        <v>49495</v>
      </c>
      <c r="F128" s="24">
        <v>0</v>
      </c>
      <c r="G128" s="106">
        <f>245272-(29622+2120+53+744)</f>
        <v>212733</v>
      </c>
      <c r="H128" s="106">
        <v>0</v>
      </c>
      <c r="I128" s="31">
        <f>116356+2120-J128</f>
        <v>105880</v>
      </c>
      <c r="J128" s="24">
        <f>12494+102</f>
        <v>12596</v>
      </c>
      <c r="K128" s="31">
        <f>517825+744</f>
        <v>518569</v>
      </c>
      <c r="L128" s="24">
        <v>0</v>
      </c>
      <c r="M128" s="24">
        <v>0</v>
      </c>
      <c r="N128" s="102">
        <f t="shared" si="42"/>
        <v>637045</v>
      </c>
      <c r="O128" s="24">
        <f>1811+65960+922+48197</f>
        <v>116890</v>
      </c>
      <c r="P128" s="24">
        <f>24111+174048+2778+44728</f>
        <v>245665</v>
      </c>
      <c r="Q128" s="24">
        <v>0</v>
      </c>
      <c r="R128" s="106">
        <f t="shared" si="43"/>
        <v>362555</v>
      </c>
      <c r="S128" s="105">
        <f t="shared" si="44"/>
        <v>1212333</v>
      </c>
      <c r="T128" s="38">
        <f>74679+53+0</f>
        <v>74732</v>
      </c>
      <c r="U128" s="38">
        <v>74494</v>
      </c>
      <c r="V128" s="38">
        <v>1496</v>
      </c>
      <c r="W128" s="38">
        <v>0</v>
      </c>
      <c r="X128" s="104">
        <f t="shared" si="45"/>
        <v>150722</v>
      </c>
      <c r="Y128" s="154">
        <f t="shared" si="41"/>
        <v>1363055</v>
      </c>
    </row>
    <row r="129" spans="1:25" s="24" customFormat="1" ht="12.75" customHeight="1" x14ac:dyDescent="0.25">
      <c r="A129" s="156" t="s">
        <v>170</v>
      </c>
      <c r="B129" s="29"/>
      <c r="C129" s="31">
        <v>147267</v>
      </c>
      <c r="D129" s="24">
        <v>16709</v>
      </c>
      <c r="E129" s="24">
        <v>49600</v>
      </c>
      <c r="F129" s="24">
        <v>0</v>
      </c>
      <c r="G129" s="106">
        <f>246909-(30377+2146+55+755)</f>
        <v>213576</v>
      </c>
      <c r="H129" s="106">
        <v>0</v>
      </c>
      <c r="I129" s="31">
        <f>117609+2146-J129</f>
        <v>106604</v>
      </c>
      <c r="J129" s="24">
        <f>13046+105</f>
        <v>13151</v>
      </c>
      <c r="K129" s="31">
        <f>520883+755</f>
        <v>521638</v>
      </c>
      <c r="L129" s="24">
        <v>0</v>
      </c>
      <c r="M129" s="24">
        <v>0</v>
      </c>
      <c r="N129" s="102">
        <f t="shared" si="42"/>
        <v>641393</v>
      </c>
      <c r="O129" s="24">
        <f>1861+66362+976+48347</f>
        <v>117546</v>
      </c>
      <c r="P129" s="24">
        <f>24604+178731+2936+45232</f>
        <v>251503</v>
      </c>
      <c r="Q129" s="24">
        <v>0</v>
      </c>
      <c r="R129" s="106">
        <f t="shared" si="43"/>
        <v>369049</v>
      </c>
      <c r="S129" s="105">
        <f t="shared" si="44"/>
        <v>1224018</v>
      </c>
      <c r="T129" s="38">
        <f>75132+55+0</f>
        <v>75187</v>
      </c>
      <c r="U129" s="38">
        <v>75205</v>
      </c>
      <c r="V129" s="38">
        <v>1568</v>
      </c>
      <c r="W129" s="38">
        <v>0</v>
      </c>
      <c r="X129" s="104">
        <f t="shared" si="45"/>
        <v>151960</v>
      </c>
      <c r="Y129" s="154">
        <f t="shared" si="41"/>
        <v>1375978</v>
      </c>
    </row>
    <row r="130" spans="1:25" s="24" customFormat="1" ht="12.75" customHeight="1" x14ac:dyDescent="0.25">
      <c r="A130" s="156" t="s">
        <v>171</v>
      </c>
      <c r="B130" s="29"/>
      <c r="C130" s="31">
        <v>151079</v>
      </c>
      <c r="D130" s="24">
        <v>16913</v>
      </c>
      <c r="E130" s="24">
        <v>50213</v>
      </c>
      <c r="F130" s="24">
        <v>0</v>
      </c>
      <c r="G130" s="106">
        <f>253294-(31947+2301+59+782)</f>
        <v>218205</v>
      </c>
      <c r="H130" s="106">
        <v>0</v>
      </c>
      <c r="I130" s="31">
        <f>125871+2301-J130</f>
        <v>113268</v>
      </c>
      <c r="J130" s="24">
        <f>14771+133</f>
        <v>14904</v>
      </c>
      <c r="K130" s="31">
        <f>539159+782</f>
        <v>539941</v>
      </c>
      <c r="L130" s="24">
        <v>0</v>
      </c>
      <c r="M130" s="24">
        <v>0</v>
      </c>
      <c r="N130" s="102">
        <f t="shared" si="42"/>
        <v>668113</v>
      </c>
      <c r="O130" s="24">
        <f>68419+1915+49993+1014</f>
        <v>121341</v>
      </c>
      <c r="P130" s="24">
        <f>192159+25865+47208+3153</f>
        <v>268385</v>
      </c>
      <c r="Q130" s="24">
        <v>0</v>
      </c>
      <c r="R130" s="106">
        <f t="shared" si="43"/>
        <v>389726</v>
      </c>
      <c r="S130" s="105">
        <f t="shared" si="44"/>
        <v>1276044</v>
      </c>
      <c r="T130" s="38">
        <f>76387+59+0</f>
        <v>76446</v>
      </c>
      <c r="U130" s="38">
        <v>76274</v>
      </c>
      <c r="V130" s="38">
        <v>1692</v>
      </c>
      <c r="W130" s="38">
        <v>0</v>
      </c>
      <c r="X130" s="104">
        <f t="shared" si="45"/>
        <v>154412</v>
      </c>
      <c r="Y130" s="154">
        <f t="shared" si="41"/>
        <v>1430456</v>
      </c>
    </row>
    <row r="131" spans="1:25" s="24" customFormat="1" ht="12.75" customHeight="1" x14ac:dyDescent="0.25">
      <c r="A131" s="156" t="s">
        <v>172</v>
      </c>
      <c r="B131" s="29"/>
      <c r="C131" s="31">
        <v>151164</v>
      </c>
      <c r="D131" s="24">
        <v>17252</v>
      </c>
      <c r="E131" s="24">
        <v>50972</v>
      </c>
      <c r="F131" s="24">
        <v>0</v>
      </c>
      <c r="G131" s="106">
        <f>255694-(33094+2367+61+784)</f>
        <v>219388</v>
      </c>
      <c r="H131" s="106">
        <v>0</v>
      </c>
      <c r="I131" s="31">
        <f>129843+2367-J131</f>
        <v>116230</v>
      </c>
      <c r="J131" s="24">
        <f>15847+133</f>
        <v>15980</v>
      </c>
      <c r="K131" s="31">
        <f>547375+784</f>
        <v>548159</v>
      </c>
      <c r="L131" s="24">
        <v>0</v>
      </c>
      <c r="M131" s="24">
        <v>0</v>
      </c>
      <c r="N131" s="102">
        <f t="shared" si="42"/>
        <v>680369</v>
      </c>
      <c r="O131" s="24">
        <f>69613+2015+50600+1057</f>
        <v>123285</v>
      </c>
      <c r="P131" s="24">
        <f>199038+26684+48084+3338</f>
        <v>277144</v>
      </c>
      <c r="Q131" s="24">
        <v>0</v>
      </c>
      <c r="R131" s="106">
        <f t="shared" si="43"/>
        <v>400429</v>
      </c>
      <c r="S131" s="105">
        <f t="shared" si="44"/>
        <v>1300186</v>
      </c>
      <c r="T131" s="38">
        <f>77024+61+0</f>
        <v>77085</v>
      </c>
      <c r="U131" s="38">
        <v>76281</v>
      </c>
      <c r="V131" s="38">
        <v>1783</v>
      </c>
      <c r="W131" s="38">
        <v>0</v>
      </c>
      <c r="X131" s="104">
        <f t="shared" si="45"/>
        <v>155149</v>
      </c>
      <c r="Y131" s="154">
        <f t="shared" si="41"/>
        <v>1455335</v>
      </c>
    </row>
    <row r="132" spans="1:25" s="24" customFormat="1" ht="12.75" customHeight="1" x14ac:dyDescent="0.25">
      <c r="A132" s="156"/>
      <c r="B132" s="29"/>
      <c r="C132" s="31"/>
      <c r="G132" s="106"/>
      <c r="H132" s="106"/>
      <c r="I132" s="31"/>
      <c r="K132" s="31"/>
      <c r="L132" s="31"/>
      <c r="N132" s="102"/>
      <c r="R132" s="106"/>
      <c r="S132" s="105"/>
      <c r="T132" s="38"/>
      <c r="U132" s="38"/>
      <c r="V132" s="38"/>
      <c r="W132" s="38"/>
      <c r="X132" s="104"/>
      <c r="Y132" s="154"/>
    </row>
    <row r="133" spans="1:25" s="24" customFormat="1" ht="12.75" customHeight="1" x14ac:dyDescent="0.25">
      <c r="A133" s="156" t="s">
        <v>174</v>
      </c>
      <c r="B133" s="29"/>
      <c r="C133" s="31">
        <v>151617</v>
      </c>
      <c r="D133" s="24">
        <v>17285</v>
      </c>
      <c r="E133" s="24">
        <v>51370</v>
      </c>
      <c r="F133" s="24">
        <v>0</v>
      </c>
      <c r="G133" s="106">
        <f>257676-(34113+2441+61+789)</f>
        <v>220272</v>
      </c>
      <c r="H133" s="106">
        <v>0</v>
      </c>
      <c r="I133" s="31">
        <f>133002+2441-J133</f>
        <v>118550</v>
      </c>
      <c r="J133" s="24">
        <f>16745+148</f>
        <v>16893</v>
      </c>
      <c r="K133" s="31">
        <f>554670+789</f>
        <v>555459</v>
      </c>
      <c r="L133" s="31">
        <v>0</v>
      </c>
      <c r="M133" s="24">
        <v>0</v>
      </c>
      <c r="N133" s="102">
        <f>SUM(I133:M133)</f>
        <v>690902</v>
      </c>
      <c r="O133" s="24">
        <f>70627+2088+51109+1089</f>
        <v>124913</v>
      </c>
      <c r="P133" s="24">
        <f>205516+27481+48847+3455</f>
        <v>285299</v>
      </c>
      <c r="Q133" s="24">
        <v>0</v>
      </c>
      <c r="R133" s="106">
        <f>SUM(O133:Q133)</f>
        <v>410212</v>
      </c>
      <c r="S133" s="105">
        <f>G133+N133+R133+H133</f>
        <v>1321386</v>
      </c>
      <c r="T133" s="38">
        <f>77616+61+0</f>
        <v>77677</v>
      </c>
      <c r="U133" s="38">
        <v>76185</v>
      </c>
      <c r="V133" s="38">
        <v>1860</v>
      </c>
      <c r="W133" s="38">
        <v>0</v>
      </c>
      <c r="X133" s="104">
        <f t="shared" si="45"/>
        <v>155722</v>
      </c>
      <c r="Y133" s="154">
        <f t="shared" ref="Y133:Y144" si="46">X133+S133</f>
        <v>1477108</v>
      </c>
    </row>
    <row r="134" spans="1:25" s="24" customFormat="1" ht="12.75" customHeight="1" x14ac:dyDescent="0.25">
      <c r="A134" s="156" t="s">
        <v>175</v>
      </c>
      <c r="B134" s="29"/>
      <c r="C134" s="31">
        <v>152229</v>
      </c>
      <c r="D134" s="24">
        <v>17254</v>
      </c>
      <c r="E134" s="24">
        <v>51567</v>
      </c>
      <c r="F134" s="24">
        <v>0</v>
      </c>
      <c r="G134" s="106">
        <f>260228-(35841+2500+61+776)</f>
        <v>221050</v>
      </c>
      <c r="H134" s="106">
        <v>0</v>
      </c>
      <c r="I134" s="31">
        <f>135422+2500-J134</f>
        <v>120561</v>
      </c>
      <c r="J134" s="24">
        <f>17207+154</f>
        <v>17361</v>
      </c>
      <c r="K134" s="31">
        <f>558047+776</f>
        <v>558823</v>
      </c>
      <c r="L134" s="31">
        <v>0</v>
      </c>
      <c r="M134" s="24">
        <v>0</v>
      </c>
      <c r="N134" s="102">
        <f t="shared" ref="N134:N144" si="47">SUM(I134:M134)</f>
        <v>696745</v>
      </c>
      <c r="O134" s="24">
        <f>2187+71309+1158+51467</f>
        <v>126121</v>
      </c>
      <c r="P134" s="24">
        <f>28816+212562+3680+49954</f>
        <v>295012</v>
      </c>
      <c r="Q134" s="24">
        <v>0</v>
      </c>
      <c r="R134" s="106">
        <f t="shared" ref="R134:R144" si="48">SUM(O134:Q134)</f>
        <v>421133</v>
      </c>
      <c r="S134" s="105">
        <f t="shared" ref="S134:S144" si="49">G134+N134+R134+H134</f>
        <v>1338928</v>
      </c>
      <c r="T134" s="38">
        <f>77677+61+0</f>
        <v>77738</v>
      </c>
      <c r="U134" s="38">
        <v>76553</v>
      </c>
      <c r="V134" s="38">
        <v>1643</v>
      </c>
      <c r="W134" s="38">
        <v>0</v>
      </c>
      <c r="X134" s="104">
        <f t="shared" si="45"/>
        <v>155934</v>
      </c>
      <c r="Y134" s="154">
        <f t="shared" si="46"/>
        <v>1494862</v>
      </c>
    </row>
    <row r="135" spans="1:25" s="24" customFormat="1" ht="12.75" customHeight="1" x14ac:dyDescent="0.25">
      <c r="A135" s="156" t="s">
        <v>178</v>
      </c>
      <c r="B135" s="29"/>
      <c r="C135" s="31">
        <v>152498</v>
      </c>
      <c r="D135" s="24">
        <v>17165</v>
      </c>
      <c r="E135" s="24">
        <v>51809</v>
      </c>
      <c r="F135" s="24">
        <v>0</v>
      </c>
      <c r="G135" s="106">
        <f>261578-(36696+2566+57+787)</f>
        <v>221472</v>
      </c>
      <c r="H135" s="106">
        <v>0</v>
      </c>
      <c r="I135" s="31">
        <f>137316+2566-J135</f>
        <v>122502</v>
      </c>
      <c r="J135" s="24">
        <f>17221+159</f>
        <v>17380</v>
      </c>
      <c r="K135" s="31">
        <f>563705+787</f>
        <v>564492</v>
      </c>
      <c r="L135" s="31">
        <v>0</v>
      </c>
      <c r="M135" s="24">
        <v>0</v>
      </c>
      <c r="N135" s="102">
        <f t="shared" si="47"/>
        <v>704374</v>
      </c>
      <c r="O135" s="24">
        <f>2229+72291+1191+51922</f>
        <v>127633</v>
      </c>
      <c r="P135" s="24">
        <f>29500+219478+3776+50869</f>
        <v>303623</v>
      </c>
      <c r="Q135" s="24">
        <v>0</v>
      </c>
      <c r="R135" s="106">
        <f t="shared" si="48"/>
        <v>431256</v>
      </c>
      <c r="S135" s="105">
        <f t="shared" si="49"/>
        <v>1357102</v>
      </c>
      <c r="T135" s="38">
        <f>77861+57+0</f>
        <v>77918</v>
      </c>
      <c r="U135" s="38">
        <v>76622</v>
      </c>
      <c r="V135" s="38">
        <v>1490</v>
      </c>
      <c r="W135" s="38">
        <v>0</v>
      </c>
      <c r="X135" s="104">
        <f t="shared" si="45"/>
        <v>156030</v>
      </c>
      <c r="Y135" s="154">
        <f t="shared" si="46"/>
        <v>1513132</v>
      </c>
    </row>
    <row r="136" spans="1:25" s="24" customFormat="1" ht="12.75" customHeight="1" x14ac:dyDescent="0.25">
      <c r="A136" s="156" t="s">
        <v>179</v>
      </c>
      <c r="B136" s="29"/>
      <c r="C136" s="31">
        <v>152969</v>
      </c>
      <c r="D136" s="24">
        <v>17061</v>
      </c>
      <c r="E136" s="24">
        <v>52042</v>
      </c>
      <c r="F136" s="24">
        <v>0</v>
      </c>
      <c r="G136" s="106">
        <f>263199-(37639+2636+60+792)</f>
        <v>222072</v>
      </c>
      <c r="H136" s="106">
        <v>0</v>
      </c>
      <c r="I136" s="31">
        <f>139962+2636-J136</f>
        <v>124787</v>
      </c>
      <c r="J136" s="24">
        <f>17643+168</f>
        <v>17811</v>
      </c>
      <c r="K136" s="31">
        <f>570387+792</f>
        <v>571179</v>
      </c>
      <c r="L136" s="31">
        <v>0</v>
      </c>
      <c r="M136" s="24">
        <v>0</v>
      </c>
      <c r="N136" s="102">
        <f t="shared" si="47"/>
        <v>713777</v>
      </c>
      <c r="O136" s="24">
        <f>2280+73314+1188+52408</f>
        <v>129190</v>
      </c>
      <c r="P136" s="24">
        <f>30245+227426+3926+51351</f>
        <v>312948</v>
      </c>
      <c r="Q136" s="24">
        <v>0</v>
      </c>
      <c r="R136" s="106">
        <f t="shared" si="48"/>
        <v>442138</v>
      </c>
      <c r="S136" s="105">
        <f t="shared" si="49"/>
        <v>1377987</v>
      </c>
      <c r="T136" s="38">
        <f>77774+60+0</f>
        <v>77834</v>
      </c>
      <c r="U136" s="38">
        <v>76975</v>
      </c>
      <c r="V136" s="38">
        <v>1435</v>
      </c>
      <c r="W136" s="38">
        <v>0</v>
      </c>
      <c r="X136" s="104">
        <f t="shared" si="45"/>
        <v>156244</v>
      </c>
      <c r="Y136" s="154">
        <f t="shared" si="46"/>
        <v>1534231</v>
      </c>
    </row>
    <row r="137" spans="1:25" s="24" customFormat="1" ht="12.75" customHeight="1" x14ac:dyDescent="0.25">
      <c r="A137" s="156" t="s">
        <v>180</v>
      </c>
      <c r="B137" s="29"/>
      <c r="C137" s="31">
        <v>153170</v>
      </c>
      <c r="D137" s="24">
        <v>17021</v>
      </c>
      <c r="E137" s="24">
        <v>52339</v>
      </c>
      <c r="F137" s="24">
        <v>0</v>
      </c>
      <c r="G137" s="106">
        <f>264739-(38625+2712+62+810)</f>
        <v>222530</v>
      </c>
      <c r="H137" s="106">
        <v>0</v>
      </c>
      <c r="I137" s="31">
        <f>141849+2712-J137</f>
        <v>126373</v>
      </c>
      <c r="J137" s="24">
        <f>18002+186</f>
        <v>18188</v>
      </c>
      <c r="K137" s="31">
        <f>575309+810</f>
        <v>576119</v>
      </c>
      <c r="L137" s="31">
        <v>0</v>
      </c>
      <c r="M137" s="24">
        <v>0</v>
      </c>
      <c r="N137" s="102">
        <f t="shared" si="47"/>
        <v>720680</v>
      </c>
      <c r="O137" s="24">
        <f>2352+74306+1216+52916</f>
        <v>130790</v>
      </c>
      <c r="P137" s="24">
        <f>31009+233874+4048+51444</f>
        <v>320375</v>
      </c>
      <c r="Q137" s="24">
        <v>0</v>
      </c>
      <c r="R137" s="106">
        <f t="shared" si="48"/>
        <v>451165</v>
      </c>
      <c r="S137" s="105">
        <f t="shared" si="49"/>
        <v>1394375</v>
      </c>
      <c r="T137" s="38">
        <f>77848+62+0</f>
        <v>77910</v>
      </c>
      <c r="U137" s="38">
        <v>77511</v>
      </c>
      <c r="V137" s="38">
        <v>1407</v>
      </c>
      <c r="W137" s="38">
        <v>0</v>
      </c>
      <c r="X137" s="104">
        <f t="shared" si="45"/>
        <v>156828</v>
      </c>
      <c r="Y137" s="154">
        <f t="shared" si="46"/>
        <v>1551203</v>
      </c>
    </row>
    <row r="138" spans="1:25" s="24" customFormat="1" ht="12.75" customHeight="1" x14ac:dyDescent="0.25">
      <c r="A138" s="156" t="s">
        <v>181</v>
      </c>
      <c r="B138" s="29"/>
      <c r="C138" s="31">
        <v>153687</v>
      </c>
      <c r="D138" s="24">
        <v>16950</v>
      </c>
      <c r="E138" s="24">
        <v>52698</v>
      </c>
      <c r="F138" s="24">
        <v>0</v>
      </c>
      <c r="G138" s="106">
        <f>266492-(39494+2777+64+822)</f>
        <v>223335</v>
      </c>
      <c r="H138" s="106">
        <v>0</v>
      </c>
      <c r="I138" s="31">
        <f>144213+2777-J138</f>
        <v>128448</v>
      </c>
      <c r="J138" s="24">
        <f>18344+198</f>
        <v>18542</v>
      </c>
      <c r="K138" s="31">
        <f>581119+822</f>
        <v>581941</v>
      </c>
      <c r="L138" s="31">
        <v>0</v>
      </c>
      <c r="M138" s="24">
        <v>0</v>
      </c>
      <c r="N138" s="102">
        <f t="shared" si="47"/>
        <v>728931</v>
      </c>
      <c r="O138" s="24">
        <f>2367+75542+1247+53712</f>
        <v>132868</v>
      </c>
      <c r="P138" s="24">
        <f>31675+242371+4205+53504</f>
        <v>331755</v>
      </c>
      <c r="Q138" s="24">
        <v>0</v>
      </c>
      <c r="R138" s="106">
        <f t="shared" si="48"/>
        <v>464623</v>
      </c>
      <c r="S138" s="105">
        <f t="shared" si="49"/>
        <v>1416889</v>
      </c>
      <c r="T138" s="38">
        <f>78459+64+0</f>
        <v>78523</v>
      </c>
      <c r="U138" s="38">
        <v>78398</v>
      </c>
      <c r="V138" s="38">
        <v>1459</v>
      </c>
      <c r="W138" s="38">
        <v>0</v>
      </c>
      <c r="X138" s="104">
        <f t="shared" si="45"/>
        <v>158380</v>
      </c>
      <c r="Y138" s="154">
        <f t="shared" si="46"/>
        <v>1575269</v>
      </c>
    </row>
    <row r="139" spans="1:25" s="24" customFormat="1" ht="12.75" customHeight="1" x14ac:dyDescent="0.25">
      <c r="A139" s="156" t="s">
        <v>182</v>
      </c>
      <c r="B139" s="29"/>
      <c r="C139" s="31">
        <v>154009</v>
      </c>
      <c r="D139" s="24">
        <v>16625</v>
      </c>
      <c r="E139" s="24">
        <v>52898</v>
      </c>
      <c r="F139" s="24">
        <v>0</v>
      </c>
      <c r="G139" s="106">
        <f>268045-(40806+2810+65+832)</f>
        <v>223532</v>
      </c>
      <c r="H139" s="106">
        <v>0</v>
      </c>
      <c r="I139" s="31">
        <f>146481+2810-J139</f>
        <v>130564</v>
      </c>
      <c r="J139" s="24">
        <f>18525+202</f>
        <v>18727</v>
      </c>
      <c r="K139" s="31">
        <f>586688+832</f>
        <v>587520</v>
      </c>
      <c r="L139" s="31">
        <v>0</v>
      </c>
      <c r="M139" s="24">
        <v>0</v>
      </c>
      <c r="N139" s="102">
        <f t="shared" si="47"/>
        <v>736811</v>
      </c>
      <c r="O139" s="24">
        <f>2447+76708+1290+54700</f>
        <v>135145</v>
      </c>
      <c r="P139" s="24">
        <f>32691+253511+4378+56772</f>
        <v>347352</v>
      </c>
      <c r="Q139" s="24">
        <v>0</v>
      </c>
      <c r="R139" s="106">
        <f t="shared" si="48"/>
        <v>482497</v>
      </c>
      <c r="S139" s="105">
        <f t="shared" si="49"/>
        <v>1442840</v>
      </c>
      <c r="T139" s="38">
        <f>79590+65+0</f>
        <v>79655</v>
      </c>
      <c r="U139" s="38">
        <v>79219</v>
      </c>
      <c r="V139" s="38">
        <v>1498</v>
      </c>
      <c r="W139" s="38">
        <v>0</v>
      </c>
      <c r="X139" s="104">
        <f t="shared" si="45"/>
        <v>160372</v>
      </c>
      <c r="Y139" s="154">
        <f t="shared" si="46"/>
        <v>1603212</v>
      </c>
    </row>
    <row r="140" spans="1:25" s="24" customFormat="1" ht="12.75" customHeight="1" x14ac:dyDescent="0.25">
      <c r="A140" s="156" t="s">
        <v>183</v>
      </c>
      <c r="B140" s="29"/>
      <c r="C140" s="31">
        <v>153948</v>
      </c>
      <c r="D140" s="24">
        <v>16331</v>
      </c>
      <c r="E140" s="24">
        <v>53058</v>
      </c>
      <c r="F140" s="24">
        <v>0</v>
      </c>
      <c r="G140" s="106">
        <f>269398-(42244+2898+65+854)</f>
        <v>223337</v>
      </c>
      <c r="H140" s="106">
        <v>0</v>
      </c>
      <c r="I140" s="31">
        <f>148040+2898-J140</f>
        <v>132025</v>
      </c>
      <c r="J140" s="24">
        <f>18706+207</f>
        <v>18913</v>
      </c>
      <c r="K140" s="31">
        <f>590038+854</f>
        <v>590892</v>
      </c>
      <c r="L140" s="31">
        <v>0</v>
      </c>
      <c r="M140" s="24">
        <v>0</v>
      </c>
      <c r="N140" s="102">
        <f t="shared" si="47"/>
        <v>741830</v>
      </c>
      <c r="O140" s="24">
        <f>2529+77116+1327+55334</f>
        <v>136306</v>
      </c>
      <c r="P140" s="24">
        <f>33804+258675+4584+57702</f>
        <v>354765</v>
      </c>
      <c r="Q140" s="24">
        <v>0</v>
      </c>
      <c r="R140" s="106">
        <f t="shared" si="48"/>
        <v>491071</v>
      </c>
      <c r="S140" s="105">
        <f t="shared" si="49"/>
        <v>1456238</v>
      </c>
      <c r="T140" s="38">
        <f>79994+65+0</f>
        <v>80059</v>
      </c>
      <c r="U140" s="38">
        <v>79683</v>
      </c>
      <c r="V140" s="38">
        <v>1537</v>
      </c>
      <c r="W140" s="38">
        <v>0</v>
      </c>
      <c r="X140" s="104">
        <f t="shared" si="45"/>
        <v>161279</v>
      </c>
      <c r="Y140" s="154">
        <f t="shared" si="46"/>
        <v>1617517</v>
      </c>
    </row>
    <row r="141" spans="1:25" s="24" customFormat="1" ht="12.75" customHeight="1" x14ac:dyDescent="0.25">
      <c r="A141" s="156" t="s">
        <v>184</v>
      </c>
      <c r="B141" s="29"/>
      <c r="C141" s="31">
        <v>154632</v>
      </c>
      <c r="D141" s="24">
        <v>16112</v>
      </c>
      <c r="E141" s="24">
        <v>53165</v>
      </c>
      <c r="F141" s="24">
        <v>0</v>
      </c>
      <c r="G141" s="106">
        <f>271482-(43687+2959+67+860)</f>
        <v>223909</v>
      </c>
      <c r="H141" s="106">
        <v>0</v>
      </c>
      <c r="I141" s="31">
        <f>150158+2959-J141</f>
        <v>134004</v>
      </c>
      <c r="J141" s="24">
        <f>18895+218</f>
        <v>19113</v>
      </c>
      <c r="K141" s="31">
        <f>594164+860</f>
        <v>595024</v>
      </c>
      <c r="L141" s="31">
        <v>0</v>
      </c>
      <c r="M141" s="24">
        <v>0</v>
      </c>
      <c r="N141" s="102">
        <f t="shared" si="47"/>
        <v>748141</v>
      </c>
      <c r="O141" s="24">
        <f>2615+77653+1375+56057</f>
        <v>137700</v>
      </c>
      <c r="P141" s="24">
        <f>34867+264697+4830+58373</f>
        <v>362767</v>
      </c>
      <c r="Q141" s="24">
        <v>0</v>
      </c>
      <c r="R141" s="106">
        <f t="shared" si="48"/>
        <v>500467</v>
      </c>
      <c r="S141" s="105">
        <f t="shared" si="49"/>
        <v>1472517</v>
      </c>
      <c r="T141" s="38">
        <f>80444+67+0</f>
        <v>80511</v>
      </c>
      <c r="U141" s="38">
        <v>80188</v>
      </c>
      <c r="V141" s="38">
        <v>1568</v>
      </c>
      <c r="W141" s="38">
        <v>0</v>
      </c>
      <c r="X141" s="104">
        <f t="shared" si="45"/>
        <v>162267</v>
      </c>
      <c r="Y141" s="154">
        <f t="shared" si="46"/>
        <v>1634784</v>
      </c>
    </row>
    <row r="142" spans="1:25" s="24" customFormat="1" ht="12.75" customHeight="1" x14ac:dyDescent="0.25">
      <c r="A142" s="156" t="s">
        <v>185</v>
      </c>
      <c r="B142" s="29"/>
      <c r="C142" s="31">
        <v>154983</v>
      </c>
      <c r="D142" s="24">
        <v>16296</v>
      </c>
      <c r="E142" s="24">
        <v>53221</v>
      </c>
      <c r="F142" s="24">
        <v>0</v>
      </c>
      <c r="G142" s="106">
        <f>273513-(45073+3013+68+859)</f>
        <v>224500</v>
      </c>
      <c r="H142" s="106">
        <v>0</v>
      </c>
      <c r="I142" s="31">
        <f>151528+3013-J142</f>
        <v>135213</v>
      </c>
      <c r="J142" s="24">
        <f>19100+228</f>
        <v>19328</v>
      </c>
      <c r="K142" s="31">
        <f>597671+859</f>
        <v>598530</v>
      </c>
      <c r="L142" s="31">
        <v>0</v>
      </c>
      <c r="M142" s="24">
        <v>0</v>
      </c>
      <c r="N142" s="102">
        <f t="shared" si="47"/>
        <v>753071</v>
      </c>
      <c r="O142" s="24">
        <f>2675+78285+1452+56741</f>
        <v>139153</v>
      </c>
      <c r="P142" s="24">
        <f>35946+269691+5000+59131</f>
        <v>369768</v>
      </c>
      <c r="Q142" s="24">
        <v>0</v>
      </c>
      <c r="R142" s="106">
        <f t="shared" si="48"/>
        <v>508921</v>
      </c>
      <c r="S142" s="105">
        <f t="shared" si="49"/>
        <v>1486492</v>
      </c>
      <c r="T142" s="38">
        <f>80933+68+0</f>
        <v>81001</v>
      </c>
      <c r="U142" s="38">
        <v>80498</v>
      </c>
      <c r="V142" s="38">
        <v>1564</v>
      </c>
      <c r="W142" s="38">
        <v>0</v>
      </c>
      <c r="X142" s="104">
        <f t="shared" si="45"/>
        <v>163063</v>
      </c>
      <c r="Y142" s="154">
        <f t="shared" si="46"/>
        <v>1649555</v>
      </c>
    </row>
    <row r="143" spans="1:25" s="24" customFormat="1" ht="12.75" customHeight="1" x14ac:dyDescent="0.25">
      <c r="A143" s="156" t="s">
        <v>186</v>
      </c>
      <c r="B143" s="29"/>
      <c r="C143" s="31">
        <v>155277</v>
      </c>
      <c r="D143" s="24">
        <v>16415</v>
      </c>
      <c r="E143" s="24">
        <v>53350</v>
      </c>
      <c r="F143" s="24">
        <v>0</v>
      </c>
      <c r="G143" s="106">
        <f>275092-(46041+3083+69+857)</f>
        <v>225042</v>
      </c>
      <c r="H143" s="106">
        <v>0</v>
      </c>
      <c r="I143" s="31">
        <f>152813+3083-J143</f>
        <v>136338</v>
      </c>
      <c r="J143" s="24">
        <f>19318+240</f>
        <v>19558</v>
      </c>
      <c r="K143" s="31">
        <f>600564+857</f>
        <v>601421</v>
      </c>
      <c r="L143" s="31">
        <v>0</v>
      </c>
      <c r="M143" s="24">
        <v>0</v>
      </c>
      <c r="N143" s="102">
        <f t="shared" si="47"/>
        <v>757317</v>
      </c>
      <c r="O143" s="24">
        <f>2727+78933+1488+57383</f>
        <v>140531</v>
      </c>
      <c r="P143" s="24">
        <f>36684+274451+5142+60098</f>
        <v>376375</v>
      </c>
      <c r="Q143" s="24">
        <v>0</v>
      </c>
      <c r="R143" s="106">
        <f t="shared" si="48"/>
        <v>516906</v>
      </c>
      <c r="S143" s="105">
        <f t="shared" si="49"/>
        <v>1499265</v>
      </c>
      <c r="T143" s="38">
        <f>81455+69+0</f>
        <v>81524</v>
      </c>
      <c r="U143" s="38">
        <v>80465</v>
      </c>
      <c r="V143" s="38">
        <v>1598</v>
      </c>
      <c r="W143" s="38">
        <v>0</v>
      </c>
      <c r="X143" s="104">
        <f t="shared" si="45"/>
        <v>163587</v>
      </c>
      <c r="Y143" s="154">
        <f t="shared" si="46"/>
        <v>1662852</v>
      </c>
    </row>
    <row r="144" spans="1:25" s="24" customFormat="1" ht="12.75" customHeight="1" x14ac:dyDescent="0.25">
      <c r="A144" s="156" t="s">
        <v>187</v>
      </c>
      <c r="B144" s="29"/>
      <c r="C144" s="31">
        <v>155371</v>
      </c>
      <c r="D144" s="24">
        <v>16621</v>
      </c>
      <c r="E144" s="24">
        <v>53486</v>
      </c>
      <c r="F144" s="24">
        <v>0</v>
      </c>
      <c r="G144" s="106">
        <f>276741-(47190+3140+71+862)</f>
        <v>225478</v>
      </c>
      <c r="H144" s="106">
        <v>0</v>
      </c>
      <c r="I144" s="31">
        <f>154729+3140-J144</f>
        <v>137941</v>
      </c>
      <c r="J144" s="109">
        <f>19680+248</f>
        <v>19928</v>
      </c>
      <c r="K144" s="31">
        <f>604801+862</f>
        <v>605663</v>
      </c>
      <c r="L144" s="31">
        <v>0</v>
      </c>
      <c r="M144" s="24">
        <v>0</v>
      </c>
      <c r="N144" s="102">
        <f t="shared" si="47"/>
        <v>763532</v>
      </c>
      <c r="O144" s="24">
        <f>2822+79576+1529+57939</f>
        <v>141866</v>
      </c>
      <c r="P144" s="24">
        <f>37574+279246+5265+60880</f>
        <v>382965</v>
      </c>
      <c r="Q144" s="24">
        <v>0</v>
      </c>
      <c r="R144" s="106">
        <f t="shared" si="48"/>
        <v>524831</v>
      </c>
      <c r="S144" s="105">
        <f t="shared" si="49"/>
        <v>1513841</v>
      </c>
      <c r="T144" s="38">
        <f>82267+71+3</f>
        <v>82341</v>
      </c>
      <c r="U144" s="38">
        <v>80440</v>
      </c>
      <c r="V144" s="38">
        <v>1631</v>
      </c>
      <c r="W144" s="38">
        <v>0</v>
      </c>
      <c r="X144" s="104">
        <f t="shared" si="45"/>
        <v>164412</v>
      </c>
      <c r="Y144" s="154">
        <f t="shared" si="46"/>
        <v>1678253</v>
      </c>
    </row>
    <row r="145" spans="1:26" s="24" customFormat="1" ht="12.75" customHeight="1" x14ac:dyDescent="0.25">
      <c r="A145" s="156"/>
      <c r="B145" s="29"/>
      <c r="C145" s="31"/>
      <c r="G145" s="106"/>
      <c r="H145" s="106"/>
      <c r="I145" s="31"/>
      <c r="K145" s="31"/>
      <c r="L145" s="31"/>
      <c r="N145" s="102"/>
      <c r="R145" s="106"/>
      <c r="S145" s="105"/>
      <c r="T145" s="38"/>
      <c r="U145" s="38"/>
      <c r="V145" s="38"/>
      <c r="W145" s="38"/>
      <c r="X145" s="104"/>
      <c r="Y145" s="154"/>
    </row>
    <row r="146" spans="1:26" s="24" customFormat="1" ht="12.75" customHeight="1" x14ac:dyDescent="0.25">
      <c r="A146" s="156" t="s">
        <v>190</v>
      </c>
      <c r="B146" s="29"/>
      <c r="C146" s="31">
        <v>155031</v>
      </c>
      <c r="D146" s="24">
        <v>16650</v>
      </c>
      <c r="E146" s="24">
        <v>53538</v>
      </c>
      <c r="F146" s="24">
        <v>0</v>
      </c>
      <c r="G146" s="106">
        <f>277615-(48264+3194+69+869)</f>
        <v>225219</v>
      </c>
      <c r="H146" s="106">
        <v>0</v>
      </c>
      <c r="I146" s="31">
        <f>156371+3194-J146</f>
        <v>139234</v>
      </c>
      <c r="J146" s="24">
        <f>20069+262</f>
        <v>20331</v>
      </c>
      <c r="K146" s="31">
        <f>609118+869</f>
        <v>609987</v>
      </c>
      <c r="L146" s="31">
        <v>0</v>
      </c>
      <c r="M146" s="24">
        <v>0</v>
      </c>
      <c r="N146" s="102">
        <f>SUM(I146:M146)</f>
        <v>769552</v>
      </c>
      <c r="O146" s="24">
        <f>2892+79961+1604+58441</f>
        <v>142898</v>
      </c>
      <c r="P146" s="24">
        <f>38366+283304+5402+61397</f>
        <v>388469</v>
      </c>
      <c r="Q146" s="24">
        <v>0</v>
      </c>
      <c r="R146" s="106">
        <f>SUM(O146:Q146)</f>
        <v>531367</v>
      </c>
      <c r="S146" s="105">
        <f>G146+N146+R146+H146</f>
        <v>1526138</v>
      </c>
      <c r="T146" s="38">
        <f>82912+69+2</f>
        <v>82983</v>
      </c>
      <c r="U146" s="38">
        <v>80251</v>
      </c>
      <c r="V146" s="38">
        <v>1651</v>
      </c>
      <c r="W146" s="38">
        <v>0</v>
      </c>
      <c r="X146" s="104">
        <f t="shared" si="45"/>
        <v>164885</v>
      </c>
      <c r="Y146" s="154">
        <f t="shared" ref="Y146:Y157" si="50">X146+S146</f>
        <v>1691023</v>
      </c>
    </row>
    <row r="147" spans="1:26" s="24" customFormat="1" ht="12.75" customHeight="1" x14ac:dyDescent="0.25">
      <c r="A147" s="156" t="s">
        <v>191</v>
      </c>
      <c r="B147" s="29"/>
      <c r="C147" s="31">
        <v>154949</v>
      </c>
      <c r="D147" s="24">
        <v>16726</v>
      </c>
      <c r="E147" s="24">
        <v>53702</v>
      </c>
      <c r="F147" s="24">
        <v>0</v>
      </c>
      <c r="G147" s="106">
        <f>279232-(49687+3226+71+871)</f>
        <v>225377</v>
      </c>
      <c r="H147" s="106">
        <v>0</v>
      </c>
      <c r="I147" s="31">
        <f>158272+3226-J147</f>
        <v>140810</v>
      </c>
      <c r="J147" s="24">
        <f>20426+262</f>
        <v>20688</v>
      </c>
      <c r="K147" s="31">
        <f>613152+871</f>
        <v>614023</v>
      </c>
      <c r="L147" s="31">
        <v>0</v>
      </c>
      <c r="M147" s="24">
        <v>0</v>
      </c>
      <c r="N147" s="102">
        <f t="shared" ref="N147:N157" si="51">SUM(I147:M147)</f>
        <v>775521</v>
      </c>
      <c r="O147" s="24">
        <f>2968+80317+1658+58843</f>
        <v>143786</v>
      </c>
      <c r="P147" s="24">
        <f>39468+287180+5593+61886</f>
        <v>394127</v>
      </c>
      <c r="Q147" s="24">
        <v>0</v>
      </c>
      <c r="R147" s="106">
        <f t="shared" ref="R147:R157" si="52">SUM(O147:Q147)</f>
        <v>537913</v>
      </c>
      <c r="S147" s="105">
        <f t="shared" ref="S147:S157" si="53">G147+N147+R147+H147</f>
        <v>1538811</v>
      </c>
      <c r="T147" s="38">
        <f>83683+71+2</f>
        <v>83756</v>
      </c>
      <c r="U147" s="38">
        <v>80233</v>
      </c>
      <c r="V147" s="38">
        <v>1943</v>
      </c>
      <c r="W147" s="38">
        <v>0</v>
      </c>
      <c r="X147" s="104">
        <f t="shared" si="45"/>
        <v>165932</v>
      </c>
      <c r="Y147" s="154">
        <f t="shared" si="50"/>
        <v>1704743</v>
      </c>
    </row>
    <row r="148" spans="1:26" s="24" customFormat="1" ht="12.75" customHeight="1" x14ac:dyDescent="0.25">
      <c r="A148" s="156" t="s">
        <v>193</v>
      </c>
      <c r="B148" s="29"/>
      <c r="C148" s="31">
        <v>155354</v>
      </c>
      <c r="D148" s="24">
        <v>16771</v>
      </c>
      <c r="E148" s="24">
        <v>53878</v>
      </c>
      <c r="F148" s="24">
        <v>0</v>
      </c>
      <c r="G148" s="106">
        <f>280994-(50747+3290+71+883)</f>
        <v>226003</v>
      </c>
      <c r="H148" s="106">
        <v>0</v>
      </c>
      <c r="I148" s="31">
        <f>160382+3290-J148</f>
        <v>142593</v>
      </c>
      <c r="J148" s="24">
        <f>20812+267</f>
        <v>21079</v>
      </c>
      <c r="K148" s="31">
        <f>618469+883</f>
        <v>619352</v>
      </c>
      <c r="L148" s="31">
        <v>0</v>
      </c>
      <c r="M148" s="24">
        <v>0</v>
      </c>
      <c r="N148" s="102">
        <f t="shared" si="51"/>
        <v>783024</v>
      </c>
      <c r="O148" s="24">
        <f>3020+80760+1706+59761</f>
        <v>145247</v>
      </c>
      <c r="P148" s="24">
        <f>40276+294602+5745+63177</f>
        <v>403800</v>
      </c>
      <c r="Q148" s="24">
        <v>0</v>
      </c>
      <c r="R148" s="106">
        <f t="shared" si="52"/>
        <v>549047</v>
      </c>
      <c r="S148" s="105">
        <f t="shared" si="53"/>
        <v>1558074</v>
      </c>
      <c r="T148" s="38">
        <f>84887+71+1</f>
        <v>84959</v>
      </c>
      <c r="U148" s="38">
        <v>80075</v>
      </c>
      <c r="V148" s="38">
        <v>2692</v>
      </c>
      <c r="W148" s="38">
        <v>0</v>
      </c>
      <c r="X148" s="104">
        <f t="shared" si="45"/>
        <v>167726</v>
      </c>
      <c r="Y148" s="154">
        <f t="shared" si="50"/>
        <v>1725800</v>
      </c>
    </row>
    <row r="149" spans="1:26" s="24" customFormat="1" ht="12.75" customHeight="1" x14ac:dyDescent="0.25">
      <c r="A149" s="156" t="s">
        <v>194</v>
      </c>
      <c r="B149" s="29"/>
      <c r="C149" s="31">
        <v>156040</v>
      </c>
      <c r="D149" s="24">
        <v>16797</v>
      </c>
      <c r="E149" s="24">
        <v>53767</v>
      </c>
      <c r="F149" s="24">
        <v>0</v>
      </c>
      <c r="G149" s="106">
        <f>282630-(51722+3351+70+883)</f>
        <v>226604</v>
      </c>
      <c r="H149" s="106">
        <v>0</v>
      </c>
      <c r="I149" s="31">
        <f>162022+3351-J149</f>
        <v>143994</v>
      </c>
      <c r="J149" s="24">
        <f>21104+275</f>
        <v>21379</v>
      </c>
      <c r="K149" s="31">
        <f>622898+883</f>
        <v>623781</v>
      </c>
      <c r="L149" s="31">
        <v>0</v>
      </c>
      <c r="M149" s="24">
        <v>0</v>
      </c>
      <c r="N149" s="102">
        <f t="shared" si="51"/>
        <v>789154</v>
      </c>
      <c r="O149" s="24">
        <f>3073+81158+1746+60401</f>
        <v>146378</v>
      </c>
      <c r="P149" s="24">
        <f>41029+300045+5874+63875</f>
        <v>410823</v>
      </c>
      <c r="Q149" s="24">
        <v>0</v>
      </c>
      <c r="R149" s="106">
        <f t="shared" si="52"/>
        <v>557201</v>
      </c>
      <c r="S149" s="105">
        <f t="shared" si="53"/>
        <v>1572959</v>
      </c>
      <c r="T149" s="38">
        <f>85945+70+0</f>
        <v>86015</v>
      </c>
      <c r="U149" s="38">
        <v>79796</v>
      </c>
      <c r="V149" s="38">
        <v>3314</v>
      </c>
      <c r="W149" s="38">
        <v>0</v>
      </c>
      <c r="X149" s="104">
        <f t="shared" si="45"/>
        <v>169125</v>
      </c>
      <c r="Y149" s="154">
        <f t="shared" si="50"/>
        <v>1742084</v>
      </c>
    </row>
    <row r="150" spans="1:26" s="24" customFormat="1" ht="12.75" customHeight="1" x14ac:dyDescent="0.25">
      <c r="A150" s="156" t="s">
        <v>195</v>
      </c>
      <c r="B150" s="29"/>
      <c r="C150" s="31">
        <v>155857</v>
      </c>
      <c r="D150" s="24">
        <v>17011</v>
      </c>
      <c r="E150" s="24">
        <v>54340</v>
      </c>
      <c r="F150" s="24">
        <v>0</v>
      </c>
      <c r="G150" s="106">
        <f>284528-(52916+3430+72+902)</f>
        <v>227208</v>
      </c>
      <c r="H150" s="106">
        <v>0</v>
      </c>
      <c r="I150" s="31">
        <f>163832+3430-J150</f>
        <v>145565</v>
      </c>
      <c r="J150" s="24">
        <f>21413+284</f>
        <v>21697</v>
      </c>
      <c r="K150" s="31">
        <f>626479+902</f>
        <v>627381</v>
      </c>
      <c r="L150" s="31">
        <v>0</v>
      </c>
      <c r="M150" s="24">
        <v>0</v>
      </c>
      <c r="N150" s="102">
        <f t="shared" si="51"/>
        <v>794643</v>
      </c>
      <c r="O150" s="24">
        <f>3111+81230+1787+61051</f>
        <v>147179</v>
      </c>
      <c r="P150" s="24">
        <f>42014+305099+6004+64369</f>
        <v>417486</v>
      </c>
      <c r="Q150" s="24">
        <v>0</v>
      </c>
      <c r="R150" s="106">
        <f t="shared" si="52"/>
        <v>564665</v>
      </c>
      <c r="S150" s="105">
        <f t="shared" si="53"/>
        <v>1586516</v>
      </c>
      <c r="T150" s="38">
        <f>87122+72+0</f>
        <v>87194</v>
      </c>
      <c r="U150" s="38">
        <v>79753</v>
      </c>
      <c r="V150" s="38">
        <v>3802</v>
      </c>
      <c r="W150" s="38">
        <v>0</v>
      </c>
      <c r="X150" s="104">
        <f t="shared" si="45"/>
        <v>170749</v>
      </c>
      <c r="Y150" s="154">
        <f t="shared" si="50"/>
        <v>1757265</v>
      </c>
    </row>
    <row r="151" spans="1:26" s="24" customFormat="1" ht="12.75" customHeight="1" x14ac:dyDescent="0.25">
      <c r="A151" s="156" t="s">
        <v>196</v>
      </c>
      <c r="B151" s="29"/>
      <c r="C151" s="31">
        <v>156132</v>
      </c>
      <c r="D151" s="24">
        <v>16960</v>
      </c>
      <c r="E151" s="24">
        <v>54589</v>
      </c>
      <c r="F151" s="24">
        <v>0</v>
      </c>
      <c r="G151" s="106">
        <f>286067-(53908+3492+75+911)</f>
        <v>227681</v>
      </c>
      <c r="H151" s="106">
        <v>0</v>
      </c>
      <c r="I151" s="31">
        <f>163716+3492-J151</f>
        <v>148656</v>
      </c>
      <c r="J151" s="24">
        <f>18280+272</f>
        <v>18552</v>
      </c>
      <c r="K151" s="31">
        <f>630923+911</f>
        <v>631834</v>
      </c>
      <c r="L151" s="31">
        <v>0</v>
      </c>
      <c r="M151" s="24">
        <v>0</v>
      </c>
      <c r="N151" s="102">
        <f t="shared" si="51"/>
        <v>799042</v>
      </c>
      <c r="O151" s="24">
        <f>82683+3214+62652+1815</f>
        <v>150364</v>
      </c>
      <c r="P151" s="24">
        <f>311707+42757+65757+6211</f>
        <v>426432</v>
      </c>
      <c r="Q151" s="24">
        <v>0</v>
      </c>
      <c r="R151" s="106">
        <f t="shared" si="52"/>
        <v>576796</v>
      </c>
      <c r="S151" s="105">
        <f t="shared" si="53"/>
        <v>1603519</v>
      </c>
      <c r="T151" s="38">
        <f>88117+75+0</f>
        <v>88192</v>
      </c>
      <c r="U151" s="38">
        <v>79829</v>
      </c>
      <c r="V151" s="38">
        <v>4243</v>
      </c>
      <c r="W151" s="38">
        <v>0</v>
      </c>
      <c r="X151" s="104">
        <f t="shared" si="45"/>
        <v>172264</v>
      </c>
      <c r="Y151" s="154">
        <f t="shared" si="50"/>
        <v>1775783</v>
      </c>
    </row>
    <row r="152" spans="1:26" s="24" customFormat="1" ht="12.75" customHeight="1" x14ac:dyDescent="0.25">
      <c r="A152" s="156" t="s">
        <v>197</v>
      </c>
      <c r="B152" s="29"/>
      <c r="C152" s="31">
        <v>156312</v>
      </c>
      <c r="D152" s="24">
        <v>16989</v>
      </c>
      <c r="E152" s="24">
        <v>54745</v>
      </c>
      <c r="F152" s="24">
        <v>0</v>
      </c>
      <c r="G152" s="106">
        <f>287884-(55298+3545+77+918)</f>
        <v>228046</v>
      </c>
      <c r="H152" s="106">
        <v>0</v>
      </c>
      <c r="I152" s="31">
        <f>166106+3545-J152</f>
        <v>150650</v>
      </c>
      <c r="J152" s="24">
        <f>18717+284</f>
        <v>19001</v>
      </c>
      <c r="K152" s="31">
        <f>635968+918</f>
        <v>636886</v>
      </c>
      <c r="L152" s="31">
        <v>0</v>
      </c>
      <c r="M152" s="24">
        <v>0</v>
      </c>
      <c r="N152" s="102">
        <f t="shared" si="51"/>
        <v>806537</v>
      </c>
      <c r="O152" s="24">
        <f>82928+3289+63675+1903</f>
        <v>151795</v>
      </c>
      <c r="P152" s="24">
        <f>318045+43775+67523+6331</f>
        <v>435674</v>
      </c>
      <c r="Q152" s="24">
        <v>0</v>
      </c>
      <c r="R152" s="106">
        <f t="shared" si="52"/>
        <v>587469</v>
      </c>
      <c r="S152" s="105">
        <f t="shared" si="53"/>
        <v>1622052</v>
      </c>
      <c r="T152" s="38">
        <f>89707+77+0</f>
        <v>89784</v>
      </c>
      <c r="U152" s="38">
        <v>79814</v>
      </c>
      <c r="V152" s="38">
        <v>4510</v>
      </c>
      <c r="W152" s="38">
        <v>0</v>
      </c>
      <c r="X152" s="104">
        <f t="shared" si="45"/>
        <v>174108</v>
      </c>
      <c r="Y152" s="154">
        <f t="shared" si="50"/>
        <v>1796160</v>
      </c>
    </row>
    <row r="153" spans="1:26" s="24" customFormat="1" ht="12.75" customHeight="1" x14ac:dyDescent="0.25">
      <c r="A153" s="156" t="s">
        <v>198</v>
      </c>
      <c r="B153" s="29"/>
      <c r="C153" s="31">
        <v>156488</v>
      </c>
      <c r="D153" s="24">
        <v>16901</v>
      </c>
      <c r="E153" s="24">
        <v>54714</v>
      </c>
      <c r="F153" s="24">
        <v>0</v>
      </c>
      <c r="G153" s="106">
        <f>288908-(56223+3584+77+921)</f>
        <v>228103</v>
      </c>
      <c r="H153" s="106">
        <v>0</v>
      </c>
      <c r="I153" s="31">
        <f>167188+3584-J153</f>
        <v>152106</v>
      </c>
      <c r="J153" s="24">
        <f>18381+285</f>
        <v>18666</v>
      </c>
      <c r="K153" s="31">
        <f>640097+921</f>
        <v>641018</v>
      </c>
      <c r="L153" s="31">
        <v>0</v>
      </c>
      <c r="M153" s="24">
        <v>0</v>
      </c>
      <c r="N153" s="102">
        <f t="shared" si="51"/>
        <v>811790</v>
      </c>
      <c r="O153" s="24">
        <f>83371+3305+64528+1942</f>
        <v>153146</v>
      </c>
      <c r="P153" s="24">
        <f>323173+44493+68561+6483</f>
        <v>442710</v>
      </c>
      <c r="Q153" s="24">
        <v>0</v>
      </c>
      <c r="R153" s="106">
        <f t="shared" si="52"/>
        <v>595856</v>
      </c>
      <c r="S153" s="105">
        <f t="shared" si="53"/>
        <v>1635749</v>
      </c>
      <c r="T153" s="38">
        <f>90868+77+1</f>
        <v>90946</v>
      </c>
      <c r="U153" s="38">
        <v>80044</v>
      </c>
      <c r="V153" s="38">
        <v>4627</v>
      </c>
      <c r="W153" s="38">
        <v>0</v>
      </c>
      <c r="X153" s="104">
        <f t="shared" si="45"/>
        <v>175617</v>
      </c>
      <c r="Y153" s="154">
        <f t="shared" si="50"/>
        <v>1811366</v>
      </c>
    </row>
    <row r="154" spans="1:26" s="24" customFormat="1" ht="12.75" customHeight="1" x14ac:dyDescent="0.25">
      <c r="A154" s="156" t="s">
        <v>199</v>
      </c>
      <c r="B154" s="29"/>
      <c r="C154" s="31">
        <v>157140</v>
      </c>
      <c r="D154" s="24">
        <v>16844</v>
      </c>
      <c r="E154" s="24">
        <v>54760</v>
      </c>
      <c r="F154" s="24">
        <v>0</v>
      </c>
      <c r="G154" s="106">
        <f>290701-(57308+3630+75+944)</f>
        <v>228744</v>
      </c>
      <c r="H154" s="106">
        <v>0</v>
      </c>
      <c r="I154" s="31">
        <f>168775+3630-J154</f>
        <v>153721</v>
      </c>
      <c r="J154" s="24">
        <f>18400+284</f>
        <v>18684</v>
      </c>
      <c r="K154" s="31">
        <f>644095+944</f>
        <v>645039</v>
      </c>
      <c r="L154" s="31">
        <v>0</v>
      </c>
      <c r="M154" s="24">
        <v>0</v>
      </c>
      <c r="N154" s="102">
        <f t="shared" si="51"/>
        <v>817444</v>
      </c>
      <c r="O154" s="24">
        <f>83622+3338+65455+2011</f>
        <v>154426</v>
      </c>
      <c r="P154" s="24">
        <f>327318+45310+69176+6649</f>
        <v>448453</v>
      </c>
      <c r="Q154" s="24">
        <v>0</v>
      </c>
      <c r="R154" s="106">
        <f t="shared" si="52"/>
        <v>602879</v>
      </c>
      <c r="S154" s="105">
        <f t="shared" si="53"/>
        <v>1649067</v>
      </c>
      <c r="T154" s="38">
        <f>91883+75+1</f>
        <v>91959</v>
      </c>
      <c r="U154" s="38">
        <v>80203</v>
      </c>
      <c r="V154" s="38">
        <v>4931</v>
      </c>
      <c r="W154" s="38">
        <v>0</v>
      </c>
      <c r="X154" s="104">
        <f t="shared" si="45"/>
        <v>177093</v>
      </c>
      <c r="Y154" s="154">
        <f t="shared" si="50"/>
        <v>1826160</v>
      </c>
    </row>
    <row r="155" spans="1:26" s="24" customFormat="1" ht="12.75" customHeight="1" x14ac:dyDescent="0.25">
      <c r="A155" s="156" t="s">
        <v>200</v>
      </c>
      <c r="B155" s="29"/>
      <c r="C155" s="31">
        <v>157107</v>
      </c>
      <c r="D155" s="24">
        <v>16925</v>
      </c>
      <c r="E155" s="24">
        <v>54989</v>
      </c>
      <c r="F155" s="24">
        <v>0</v>
      </c>
      <c r="G155" s="106">
        <f>292086-(58326+3701+76+962)</f>
        <v>229021</v>
      </c>
      <c r="H155" s="106">
        <v>0</v>
      </c>
      <c r="I155" s="31">
        <f>170050+3701-J155</f>
        <v>155253</v>
      </c>
      <c r="J155" s="24">
        <f>18202+296</f>
        <v>18498</v>
      </c>
      <c r="K155" s="31">
        <f>647784+962</f>
        <v>648746</v>
      </c>
      <c r="L155" s="31">
        <v>0</v>
      </c>
      <c r="M155" s="24">
        <v>0</v>
      </c>
      <c r="N155" s="102">
        <f t="shared" si="51"/>
        <v>822497</v>
      </c>
      <c r="O155" s="24">
        <f>83971+3360+66330+2061</f>
        <v>155722</v>
      </c>
      <c r="P155" s="24">
        <f>332799+46099+70062+6806</f>
        <v>455766</v>
      </c>
      <c r="Q155" s="24">
        <v>0</v>
      </c>
      <c r="R155" s="106">
        <f t="shared" si="52"/>
        <v>611488</v>
      </c>
      <c r="S155" s="105">
        <f t="shared" si="53"/>
        <v>1663006</v>
      </c>
      <c r="T155" s="38">
        <f>92814+76+3</f>
        <v>92893</v>
      </c>
      <c r="U155" s="38">
        <v>80359</v>
      </c>
      <c r="V155" s="38">
        <v>5204</v>
      </c>
      <c r="W155" s="38">
        <v>0</v>
      </c>
      <c r="X155" s="104">
        <f t="shared" si="45"/>
        <v>178456</v>
      </c>
      <c r="Y155" s="154">
        <f t="shared" si="50"/>
        <v>1841462</v>
      </c>
    </row>
    <row r="156" spans="1:26" s="24" customFormat="1" ht="12.75" customHeight="1" x14ac:dyDescent="0.25">
      <c r="A156" s="156" t="s">
        <v>201</v>
      </c>
      <c r="B156" s="29"/>
      <c r="C156" s="31">
        <v>155919</v>
      </c>
      <c r="D156" s="24">
        <v>16936</v>
      </c>
      <c r="E156" s="24">
        <v>55321</v>
      </c>
      <c r="F156" s="24">
        <v>0</v>
      </c>
      <c r="G156" s="106">
        <f>292357-(59432+3717+75+957)</f>
        <v>228176</v>
      </c>
      <c r="H156" s="106">
        <v>0</v>
      </c>
      <c r="I156" s="31">
        <f>170735+3717-J156</f>
        <v>156056</v>
      </c>
      <c r="J156" s="24">
        <f>18099+297</f>
        <v>18396</v>
      </c>
      <c r="K156" s="31">
        <f>649770+957</f>
        <v>650727</v>
      </c>
      <c r="L156" s="31">
        <v>0</v>
      </c>
      <c r="M156" s="24">
        <v>0</v>
      </c>
      <c r="N156" s="102">
        <f t="shared" si="51"/>
        <v>825179</v>
      </c>
      <c r="O156" s="24">
        <f>84295+3412+67370+2121</f>
        <v>157198</v>
      </c>
      <c r="P156" s="24">
        <f>339586+47008+70698+6891</f>
        <v>464183</v>
      </c>
      <c r="Q156" s="24">
        <v>0</v>
      </c>
      <c r="R156" s="106">
        <f t="shared" si="52"/>
        <v>621381</v>
      </c>
      <c r="S156" s="105">
        <f t="shared" si="53"/>
        <v>1674736</v>
      </c>
      <c r="T156" s="38">
        <f>93686+75+1</f>
        <v>93762</v>
      </c>
      <c r="U156" s="38">
        <v>79327</v>
      </c>
      <c r="V156" s="38">
        <v>5430</v>
      </c>
      <c r="W156" s="38">
        <v>0</v>
      </c>
      <c r="X156" s="104">
        <f t="shared" si="45"/>
        <v>178519</v>
      </c>
      <c r="Y156" s="154">
        <f t="shared" si="50"/>
        <v>1853255</v>
      </c>
    </row>
    <row r="157" spans="1:26" x14ac:dyDescent="0.25">
      <c r="A157" s="156" t="s">
        <v>202</v>
      </c>
      <c r="B157" s="29"/>
      <c r="C157" s="31">
        <v>157705</v>
      </c>
      <c r="D157" s="24">
        <v>16723</v>
      </c>
      <c r="E157" s="24">
        <v>55386</v>
      </c>
      <c r="F157" s="24">
        <v>0</v>
      </c>
      <c r="G157" s="106">
        <f>295296-(60659+3782+77+964)</f>
        <v>229814</v>
      </c>
      <c r="H157" s="106">
        <v>0</v>
      </c>
      <c r="I157" s="31">
        <f>171469+3782-J157</f>
        <v>157019</v>
      </c>
      <c r="J157" s="24">
        <f>17933+299</f>
        <v>18232</v>
      </c>
      <c r="K157" s="31">
        <f>652246+964</f>
        <v>653210</v>
      </c>
      <c r="L157" s="31">
        <v>0</v>
      </c>
      <c r="M157" s="24">
        <v>0</v>
      </c>
      <c r="N157" s="102">
        <f t="shared" si="51"/>
        <v>828461</v>
      </c>
      <c r="O157" s="24">
        <f>84875+3444+67929+2177</f>
        <v>158425</v>
      </c>
      <c r="P157" s="24">
        <f>344404+47955+71168+7083</f>
        <v>470610</v>
      </c>
      <c r="Q157" s="24">
        <v>0</v>
      </c>
      <c r="R157" s="106">
        <f t="shared" si="52"/>
        <v>629035</v>
      </c>
      <c r="S157" s="105">
        <f t="shared" si="53"/>
        <v>1687310</v>
      </c>
      <c r="T157" s="38">
        <f>94469+77+2</f>
        <v>94548</v>
      </c>
      <c r="U157" s="38">
        <v>78442</v>
      </c>
      <c r="V157" s="38">
        <v>5797</v>
      </c>
      <c r="W157" s="38">
        <v>0</v>
      </c>
      <c r="X157" s="104">
        <f t="shared" si="45"/>
        <v>178787</v>
      </c>
      <c r="Y157" s="154">
        <f t="shared" si="50"/>
        <v>1866097</v>
      </c>
      <c r="Z157" s="24"/>
    </row>
    <row r="158" spans="1:26" x14ac:dyDescent="0.25">
      <c r="A158" s="157"/>
      <c r="B158" s="29"/>
      <c r="C158" s="31"/>
      <c r="D158" s="24"/>
      <c r="E158" s="24"/>
      <c r="F158" s="24"/>
      <c r="G158" s="106"/>
      <c r="H158" s="106"/>
      <c r="I158" s="31"/>
      <c r="J158" s="24"/>
      <c r="K158" s="31"/>
      <c r="L158" s="31"/>
      <c r="M158" s="24"/>
      <c r="N158" s="102"/>
      <c r="O158" s="24"/>
      <c r="P158" s="24"/>
      <c r="Q158" s="24"/>
      <c r="R158" s="106"/>
      <c r="S158" s="105"/>
      <c r="T158" s="38"/>
      <c r="U158" s="38"/>
      <c r="V158" s="38"/>
      <c r="W158" s="38"/>
      <c r="X158" s="104"/>
      <c r="Y158" s="154"/>
      <c r="Z158" s="24"/>
    </row>
    <row r="159" spans="1:26" x14ac:dyDescent="0.25">
      <c r="A159" s="156" t="s">
        <v>203</v>
      </c>
      <c r="B159" s="29"/>
      <c r="C159" s="31">
        <v>157721</v>
      </c>
      <c r="D159" s="24">
        <v>16942</v>
      </c>
      <c r="E159" s="24">
        <v>55729</v>
      </c>
      <c r="F159" s="24">
        <v>0</v>
      </c>
      <c r="G159" s="106">
        <f>296909-(61671+3795+76+975)</f>
        <v>230392</v>
      </c>
      <c r="H159" s="106">
        <v>0</v>
      </c>
      <c r="I159" s="31">
        <f>173235+3795-J159</f>
        <v>158636</v>
      </c>
      <c r="J159" s="24">
        <f>18099+295</f>
        <v>18394</v>
      </c>
      <c r="K159" s="31">
        <f>655568+975</f>
        <v>656543</v>
      </c>
      <c r="L159" s="31">
        <v>0</v>
      </c>
      <c r="M159" s="24">
        <v>0</v>
      </c>
      <c r="N159" s="102">
        <f>SUM(I159:M159)</f>
        <v>833573</v>
      </c>
      <c r="O159" s="24">
        <f>85219+3519+68312+2247</f>
        <v>159297</v>
      </c>
      <c r="P159" s="24">
        <f>347455+48699+71366+7206</f>
        <v>474726</v>
      </c>
      <c r="Q159" s="24">
        <v>0</v>
      </c>
      <c r="R159" s="106">
        <f>SUM(O159:Q159)</f>
        <v>634023</v>
      </c>
      <c r="S159" s="105">
        <f>G159+N159+R159+H159</f>
        <v>1697988</v>
      </c>
      <c r="T159" s="38">
        <f>95118+76+1</f>
        <v>95195</v>
      </c>
      <c r="U159" s="38">
        <v>78547</v>
      </c>
      <c r="V159" s="38">
        <v>5922</v>
      </c>
      <c r="W159" s="38">
        <v>0</v>
      </c>
      <c r="X159" s="104">
        <f t="shared" si="45"/>
        <v>179664</v>
      </c>
      <c r="Y159" s="154">
        <f t="shared" ref="Y159:Y170" si="54">X159+S159</f>
        <v>1877652</v>
      </c>
      <c r="Z159" s="24"/>
    </row>
    <row r="160" spans="1:26" x14ac:dyDescent="0.25">
      <c r="A160" s="156" t="s">
        <v>210</v>
      </c>
      <c r="B160" s="29"/>
      <c r="C160" s="31">
        <v>157778</v>
      </c>
      <c r="D160" s="24">
        <v>17014</v>
      </c>
      <c r="E160" s="24">
        <v>56027</v>
      </c>
      <c r="F160" s="24">
        <v>0</v>
      </c>
      <c r="G160" s="106">
        <f>298403-(62640+3872+78+994)</f>
        <v>230819</v>
      </c>
      <c r="H160" s="106">
        <v>0</v>
      </c>
      <c r="I160" s="31">
        <f>175385+3872-J160</f>
        <v>159925</v>
      </c>
      <c r="J160" s="24">
        <f>19025+307</f>
        <v>19332</v>
      </c>
      <c r="K160" s="31">
        <f>658526+994</f>
        <v>659520</v>
      </c>
      <c r="L160" s="31">
        <v>0</v>
      </c>
      <c r="M160" s="24">
        <v>0</v>
      </c>
      <c r="N160" s="102">
        <f t="shared" ref="N160:N170" si="55">SUM(I160:M160)</f>
        <v>838777</v>
      </c>
      <c r="O160" s="24">
        <f>85329+3558+68657+2290</f>
        <v>159834</v>
      </c>
      <c r="P160" s="24">
        <f>350714+49494+71490+7298</f>
        <v>478996</v>
      </c>
      <c r="Q160" s="24">
        <v>0</v>
      </c>
      <c r="R160" s="106">
        <f t="shared" ref="R160:R170" si="56">SUM(O160:Q160)</f>
        <v>638830</v>
      </c>
      <c r="S160" s="105">
        <f t="shared" ref="S160:S170" si="57">G160+N160+R160+H160</f>
        <v>1708426</v>
      </c>
      <c r="T160" s="38">
        <f>95913+78+2</f>
        <v>95993</v>
      </c>
      <c r="U160" s="38">
        <v>78673</v>
      </c>
      <c r="V160" s="38">
        <v>5982</v>
      </c>
      <c r="W160" s="38">
        <v>142</v>
      </c>
      <c r="X160" s="104">
        <f t="shared" si="45"/>
        <v>180790</v>
      </c>
      <c r="Y160" s="154">
        <f t="shared" si="54"/>
        <v>1889216</v>
      </c>
      <c r="Z160" s="24"/>
    </row>
    <row r="161" spans="1:26" x14ac:dyDescent="0.25">
      <c r="A161" s="156" t="s">
        <v>212</v>
      </c>
      <c r="B161" s="29"/>
      <c r="C161" s="31">
        <v>157369</v>
      </c>
      <c r="D161" s="24">
        <v>17021</v>
      </c>
      <c r="E161" s="24">
        <v>56297</v>
      </c>
      <c r="F161" s="24">
        <v>0</v>
      </c>
      <c r="G161" s="106">
        <f>299418-(63749+3903+79+1000)</f>
        <v>230687</v>
      </c>
      <c r="H161" s="106">
        <v>0</v>
      </c>
      <c r="I161" s="31">
        <f>176968+3903-J161</f>
        <v>160218</v>
      </c>
      <c r="J161" s="24">
        <f>20339+314</f>
        <v>20653</v>
      </c>
      <c r="K161" s="31">
        <f>659640+1000</f>
        <v>660640</v>
      </c>
      <c r="L161" s="31">
        <v>0</v>
      </c>
      <c r="M161" s="24">
        <v>0</v>
      </c>
      <c r="N161" s="102">
        <f t="shared" si="55"/>
        <v>841511</v>
      </c>
      <c r="O161" s="24">
        <f>85055+3597+68948+2356</f>
        <v>159956</v>
      </c>
      <c r="P161" s="24">
        <f>355104+50378+71884+7418</f>
        <v>484784</v>
      </c>
      <c r="Q161" s="24">
        <v>0</v>
      </c>
      <c r="R161" s="106">
        <f t="shared" si="56"/>
        <v>644740</v>
      </c>
      <c r="S161" s="105">
        <f t="shared" si="57"/>
        <v>1716938</v>
      </c>
      <c r="T161" s="38">
        <f>96837+79+1</f>
        <v>96917</v>
      </c>
      <c r="U161" s="38">
        <v>79083</v>
      </c>
      <c r="V161" s="38">
        <v>5807</v>
      </c>
      <c r="W161" s="38">
        <v>850</v>
      </c>
      <c r="X161" s="104">
        <f t="shared" si="45"/>
        <v>182657</v>
      </c>
      <c r="Y161" s="154">
        <f t="shared" si="54"/>
        <v>1899595</v>
      </c>
      <c r="Z161" s="24"/>
    </row>
    <row r="162" spans="1:26" x14ac:dyDescent="0.25">
      <c r="A162" s="156" t="s">
        <v>213</v>
      </c>
      <c r="B162" s="29"/>
      <c r="C162" s="31">
        <v>157005</v>
      </c>
      <c r="D162" s="24">
        <v>17096</v>
      </c>
      <c r="E162" s="24">
        <v>56581</v>
      </c>
      <c r="F162" s="24">
        <v>0</v>
      </c>
      <c r="G162" s="106">
        <f>300809-(65080+3949+78+1020)</f>
        <v>230682</v>
      </c>
      <c r="H162" s="106">
        <v>0</v>
      </c>
      <c r="I162" s="31">
        <f>178133+3949-J162</f>
        <v>160438</v>
      </c>
      <c r="J162" s="24">
        <f>21325+319</f>
        <v>21644</v>
      </c>
      <c r="K162" s="31">
        <f>660067+1020</f>
        <v>661087</v>
      </c>
      <c r="L162" s="31">
        <v>0</v>
      </c>
      <c r="M162" s="24">
        <v>0</v>
      </c>
      <c r="N162" s="102">
        <f t="shared" si="55"/>
        <v>843169</v>
      </c>
      <c r="O162" s="24">
        <f>84900+3698+69288+2426</f>
        <v>160312</v>
      </c>
      <c r="P162" s="24">
        <f>358710+51397+71877+7559</f>
        <v>489543</v>
      </c>
      <c r="Q162" s="24">
        <v>0</v>
      </c>
      <c r="R162" s="106">
        <f t="shared" si="56"/>
        <v>649855</v>
      </c>
      <c r="S162" s="105">
        <f t="shared" si="57"/>
        <v>1723706</v>
      </c>
      <c r="T162" s="38">
        <f>97682+78+2</f>
        <v>97762</v>
      </c>
      <c r="U162" s="38">
        <v>79604</v>
      </c>
      <c r="V162" s="38">
        <v>5574</v>
      </c>
      <c r="W162" s="38">
        <v>1272</v>
      </c>
      <c r="X162" s="104">
        <f t="shared" si="45"/>
        <v>184212</v>
      </c>
      <c r="Y162" s="154">
        <f t="shared" si="54"/>
        <v>1907918</v>
      </c>
      <c r="Z162" s="24"/>
    </row>
    <row r="163" spans="1:26" x14ac:dyDescent="0.25">
      <c r="A163" s="156" t="s">
        <v>214</v>
      </c>
      <c r="B163" s="29"/>
      <c r="C163" s="31">
        <v>156797</v>
      </c>
      <c r="D163" s="24">
        <v>17138</v>
      </c>
      <c r="E163" s="24">
        <v>56937</v>
      </c>
      <c r="F163" s="24">
        <v>0</v>
      </c>
      <c r="G163" s="106">
        <f>302378-(66354+4056+77+1019)</f>
        <v>230872</v>
      </c>
      <c r="H163" s="106">
        <v>0</v>
      </c>
      <c r="I163" s="31">
        <f>179781+4056-J163</f>
        <v>161270</v>
      </c>
      <c r="J163" s="31">
        <f>22241+326</f>
        <v>22567</v>
      </c>
      <c r="K163" s="31">
        <f>662427+1019</f>
        <v>663446</v>
      </c>
      <c r="L163" s="31">
        <v>0</v>
      </c>
      <c r="M163" s="24">
        <v>0</v>
      </c>
      <c r="N163" s="102">
        <f t="shared" si="55"/>
        <v>847283</v>
      </c>
      <c r="O163" s="24">
        <f>84995+3767+69683+2483</f>
        <v>160928</v>
      </c>
      <c r="P163" s="24">
        <f>362830+52367+71913+7737</f>
        <v>494847</v>
      </c>
      <c r="Q163" s="24">
        <v>0</v>
      </c>
      <c r="R163" s="106">
        <f t="shared" si="56"/>
        <v>655775</v>
      </c>
      <c r="S163" s="105">
        <f t="shared" si="57"/>
        <v>1733930</v>
      </c>
      <c r="T163" s="38">
        <f>98661+77+0</f>
        <v>98738</v>
      </c>
      <c r="U163" s="38">
        <v>80150</v>
      </c>
      <c r="V163" s="38">
        <v>5180</v>
      </c>
      <c r="W163" s="38">
        <v>1710</v>
      </c>
      <c r="X163" s="104">
        <f t="shared" si="45"/>
        <v>185778</v>
      </c>
      <c r="Y163" s="154">
        <f t="shared" si="54"/>
        <v>1919708</v>
      </c>
      <c r="Z163" s="24"/>
    </row>
    <row r="164" spans="1:26" x14ac:dyDescent="0.25">
      <c r="A164" s="156" t="s">
        <v>215</v>
      </c>
      <c r="B164" s="29"/>
      <c r="C164" s="31">
        <v>157123</v>
      </c>
      <c r="D164" s="24">
        <v>17219</v>
      </c>
      <c r="E164" s="24">
        <v>57309</v>
      </c>
      <c r="F164" s="24">
        <v>0</v>
      </c>
      <c r="G164" s="106">
        <f>304104-(67252+4107+77+1017)</f>
        <v>231651</v>
      </c>
      <c r="H164" s="106">
        <v>0</v>
      </c>
      <c r="I164" s="31">
        <f>182010+4107-J164</f>
        <v>162406</v>
      </c>
      <c r="J164" s="31">
        <f>23379+332</f>
        <v>23711</v>
      </c>
      <c r="K164" s="31">
        <f>665130+1017</f>
        <v>666147</v>
      </c>
      <c r="L164" s="31">
        <v>0</v>
      </c>
      <c r="M164" s="24">
        <v>0</v>
      </c>
      <c r="N164" s="102">
        <f t="shared" si="55"/>
        <v>852264</v>
      </c>
      <c r="O164" s="24">
        <f>85171+3799+70530+2515</f>
        <v>162015</v>
      </c>
      <c r="P164" s="24">
        <f>368087+53049+73287+7889</f>
        <v>502312</v>
      </c>
      <c r="Q164" s="24">
        <v>0</v>
      </c>
      <c r="R164" s="106">
        <f t="shared" si="56"/>
        <v>664327</v>
      </c>
      <c r="S164" s="105">
        <f t="shared" si="57"/>
        <v>1748242</v>
      </c>
      <c r="T164" s="38">
        <f>100119+77+0</f>
        <v>100196</v>
      </c>
      <c r="U164" s="38">
        <v>80832</v>
      </c>
      <c r="V164" s="38">
        <v>4947</v>
      </c>
      <c r="W164" s="38">
        <v>2135</v>
      </c>
      <c r="X164" s="104">
        <f t="shared" si="45"/>
        <v>188110</v>
      </c>
      <c r="Y164" s="154">
        <f t="shared" si="54"/>
        <v>1936352</v>
      </c>
      <c r="Z164" s="24"/>
    </row>
    <row r="165" spans="1:26" x14ac:dyDescent="0.25">
      <c r="A165" s="156" t="s">
        <v>216</v>
      </c>
      <c r="B165" s="29"/>
      <c r="C165" s="31">
        <v>157028</v>
      </c>
      <c r="D165" s="24">
        <v>17260</v>
      </c>
      <c r="E165" s="24">
        <v>57571</v>
      </c>
      <c r="F165" s="24">
        <v>0</v>
      </c>
      <c r="G165" s="106">
        <f>304790-(67694+4151+77+1009)</f>
        <v>231859</v>
      </c>
      <c r="H165" s="106">
        <v>0</v>
      </c>
      <c r="I165" s="31">
        <f>183604+4151-J165</f>
        <v>163358</v>
      </c>
      <c r="J165" s="31">
        <f>24062+335</f>
        <v>24397</v>
      </c>
      <c r="K165" s="31">
        <f>667519+1009</f>
        <v>668528</v>
      </c>
      <c r="L165" s="31">
        <v>0</v>
      </c>
      <c r="M165" s="24">
        <v>0</v>
      </c>
      <c r="N165" s="102">
        <f t="shared" si="55"/>
        <v>856283</v>
      </c>
      <c r="O165" s="24">
        <f>85355+3808+71604+2543</f>
        <v>163310</v>
      </c>
      <c r="P165" s="24">
        <f>372916+53400+77601+7943</f>
        <v>511860</v>
      </c>
      <c r="Q165" s="24">
        <v>0</v>
      </c>
      <c r="R165" s="106">
        <f t="shared" si="56"/>
        <v>675170</v>
      </c>
      <c r="S165" s="105">
        <f t="shared" si="57"/>
        <v>1763312</v>
      </c>
      <c r="T165" s="38">
        <f>102142+77+2</f>
        <v>102221</v>
      </c>
      <c r="U165" s="38">
        <v>81218</v>
      </c>
      <c r="V165" s="38">
        <v>4669</v>
      </c>
      <c r="W165" s="38">
        <v>2492</v>
      </c>
      <c r="X165" s="104">
        <f t="shared" si="45"/>
        <v>190600</v>
      </c>
      <c r="Y165" s="154">
        <f t="shared" si="54"/>
        <v>1953912</v>
      </c>
      <c r="Z165" s="24"/>
    </row>
    <row r="166" spans="1:26" x14ac:dyDescent="0.25">
      <c r="A166" s="156" t="s">
        <v>217</v>
      </c>
      <c r="B166" s="29"/>
      <c r="C166" s="31">
        <v>156966</v>
      </c>
      <c r="D166" s="24">
        <v>17224</v>
      </c>
      <c r="E166" s="24">
        <v>57703</v>
      </c>
      <c r="F166" s="24">
        <v>0</v>
      </c>
      <c r="G166" s="106">
        <f>305671-(68496+4203+79+1000)</f>
        <v>231893</v>
      </c>
      <c r="H166" s="106">
        <v>0</v>
      </c>
      <c r="I166" s="31">
        <f>185593+4203-J166</f>
        <v>164561</v>
      </c>
      <c r="J166" s="31">
        <f>24896+339</f>
        <v>25235</v>
      </c>
      <c r="K166" s="31">
        <f>670683+1000</f>
        <v>671683</v>
      </c>
      <c r="L166" s="31">
        <v>0</v>
      </c>
      <c r="M166" s="24">
        <v>0</v>
      </c>
      <c r="N166" s="102">
        <f t="shared" si="55"/>
        <v>861479</v>
      </c>
      <c r="O166" s="24">
        <f>85579+3837+72251+2556</f>
        <v>164223</v>
      </c>
      <c r="P166" s="24">
        <f>377459+53974+79169+8129</f>
        <v>518731</v>
      </c>
      <c r="Q166" s="24">
        <v>0</v>
      </c>
      <c r="R166" s="106">
        <f t="shared" si="56"/>
        <v>682954</v>
      </c>
      <c r="S166" s="105">
        <f t="shared" si="57"/>
        <v>1776326</v>
      </c>
      <c r="T166" s="38">
        <f>103204+79+3</f>
        <v>103286</v>
      </c>
      <c r="U166" s="38">
        <v>81993</v>
      </c>
      <c r="V166" s="38">
        <v>4533</v>
      </c>
      <c r="W166" s="38">
        <v>2798</v>
      </c>
      <c r="X166" s="104">
        <f t="shared" si="45"/>
        <v>192610</v>
      </c>
      <c r="Y166" s="154">
        <f t="shared" si="54"/>
        <v>1968936</v>
      </c>
      <c r="Z166" s="24"/>
    </row>
    <row r="167" spans="1:26" x14ac:dyDescent="0.25">
      <c r="A167" s="156" t="s">
        <v>218</v>
      </c>
      <c r="B167" s="29"/>
      <c r="C167" s="31">
        <v>157333</v>
      </c>
      <c r="D167" s="24">
        <v>17472</v>
      </c>
      <c r="E167" s="24">
        <v>57855</v>
      </c>
      <c r="F167" s="24">
        <v>0</v>
      </c>
      <c r="G167" s="106">
        <f>307406-(69401+4263+81+1001)</f>
        <v>232660</v>
      </c>
      <c r="H167" s="106">
        <v>0</v>
      </c>
      <c r="I167" s="31">
        <f>187093+4263-J167</f>
        <v>165148</v>
      </c>
      <c r="J167" s="31">
        <f>25857+351</f>
        <v>26208</v>
      </c>
      <c r="K167" s="31">
        <f>673302+1001</f>
        <v>674303</v>
      </c>
      <c r="L167" s="31">
        <v>0</v>
      </c>
      <c r="M167" s="24">
        <v>0</v>
      </c>
      <c r="N167" s="102">
        <f t="shared" si="55"/>
        <v>865659</v>
      </c>
      <c r="O167" s="24">
        <f>85779+3869+72884+2605</f>
        <v>165137</v>
      </c>
      <c r="P167" s="24">
        <f>381136+54660+79565+8267</f>
        <v>523628</v>
      </c>
      <c r="Q167" s="24">
        <v>0</v>
      </c>
      <c r="R167" s="106">
        <f t="shared" si="56"/>
        <v>688765</v>
      </c>
      <c r="S167" s="105">
        <f t="shared" si="57"/>
        <v>1787084</v>
      </c>
      <c r="T167" s="38">
        <f>103985+81+1</f>
        <v>104067</v>
      </c>
      <c r="U167" s="38">
        <v>82449</v>
      </c>
      <c r="V167" s="38">
        <v>4195</v>
      </c>
      <c r="W167" s="38">
        <v>3269</v>
      </c>
      <c r="X167" s="104">
        <f t="shared" si="45"/>
        <v>193980</v>
      </c>
      <c r="Y167" s="154">
        <f t="shared" si="54"/>
        <v>1981064</v>
      </c>
      <c r="Z167" s="24"/>
    </row>
    <row r="168" spans="1:26" x14ac:dyDescent="0.25">
      <c r="A168" s="156" t="s">
        <v>219</v>
      </c>
      <c r="B168" s="29"/>
      <c r="C168" s="31">
        <v>156147</v>
      </c>
      <c r="D168" s="24">
        <v>17475</v>
      </c>
      <c r="E168" s="24">
        <v>58518</v>
      </c>
      <c r="F168" s="24">
        <v>0</v>
      </c>
      <c r="G168" s="106">
        <f>308872-(71307+4322+84+1019)</f>
        <v>232140</v>
      </c>
      <c r="H168" s="106">
        <v>0</v>
      </c>
      <c r="I168" s="31">
        <f>188139+4322-J168</f>
        <v>165792</v>
      </c>
      <c r="J168" s="31">
        <f>26317+352</f>
        <v>26669</v>
      </c>
      <c r="K168" s="31">
        <f>675642+1019</f>
        <v>676661</v>
      </c>
      <c r="L168" s="31">
        <v>0</v>
      </c>
      <c r="M168" s="24">
        <v>0</v>
      </c>
      <c r="N168" s="102">
        <f t="shared" si="55"/>
        <v>869122</v>
      </c>
      <c r="O168" s="24">
        <f>4073+2725+85839+73534</f>
        <v>166171</v>
      </c>
      <c r="P168" s="24">
        <f>56022+8487+382650+80106</f>
        <v>527265</v>
      </c>
      <c r="Q168" s="24">
        <v>0</v>
      </c>
      <c r="R168" s="106">
        <f t="shared" si="56"/>
        <v>693436</v>
      </c>
      <c r="S168" s="105">
        <f t="shared" si="57"/>
        <v>1794698</v>
      </c>
      <c r="T168" s="38">
        <f>104639+84+2</f>
        <v>104725</v>
      </c>
      <c r="U168" s="38">
        <v>82988</v>
      </c>
      <c r="V168" s="38">
        <v>4064</v>
      </c>
      <c r="W168" s="38">
        <v>3422</v>
      </c>
      <c r="X168" s="104">
        <f t="shared" si="45"/>
        <v>195199</v>
      </c>
      <c r="Y168" s="154">
        <f t="shared" si="54"/>
        <v>1989897</v>
      </c>
      <c r="Z168" s="24"/>
    </row>
    <row r="169" spans="1:26" x14ac:dyDescent="0.25">
      <c r="A169" s="156" t="s">
        <v>220</v>
      </c>
      <c r="B169" s="29"/>
      <c r="C169" s="31">
        <v>156144</v>
      </c>
      <c r="D169" s="24">
        <v>17376</v>
      </c>
      <c r="E169" s="24">
        <v>58892</v>
      </c>
      <c r="F169" s="24">
        <v>0</v>
      </c>
      <c r="G169" s="106">
        <f>309610-(71758+4328+85+1027)</f>
        <v>232412</v>
      </c>
      <c r="H169" s="106">
        <v>0</v>
      </c>
      <c r="I169" s="31">
        <f>187746+4328-J169</f>
        <v>164462</v>
      </c>
      <c r="J169" s="31">
        <f>27255+357</f>
        <v>27612</v>
      </c>
      <c r="K169" s="31">
        <f>674662+1027</f>
        <v>675689</v>
      </c>
      <c r="L169" s="31">
        <v>0</v>
      </c>
      <c r="M169" s="24">
        <v>0</v>
      </c>
      <c r="N169" s="102">
        <f t="shared" si="55"/>
        <v>867763</v>
      </c>
      <c r="O169" s="24">
        <f>4125+86396+2722+73641</f>
        <v>166884</v>
      </c>
      <c r="P169" s="24">
        <f>56382+386034+8529+80483</f>
        <v>531428</v>
      </c>
      <c r="Q169" s="24">
        <v>0</v>
      </c>
      <c r="R169" s="106">
        <f t="shared" si="56"/>
        <v>698312</v>
      </c>
      <c r="S169" s="105">
        <f t="shared" si="57"/>
        <v>1798487</v>
      </c>
      <c r="T169" s="38">
        <f>105172+85+2</f>
        <v>105259</v>
      </c>
      <c r="U169" s="38">
        <v>82807</v>
      </c>
      <c r="V169" s="38">
        <v>4026</v>
      </c>
      <c r="W169" s="38">
        <v>3620</v>
      </c>
      <c r="X169" s="104">
        <f t="shared" si="45"/>
        <v>195712</v>
      </c>
      <c r="Y169" s="154">
        <f t="shared" si="54"/>
        <v>1994199</v>
      </c>
    </row>
    <row r="170" spans="1:26" x14ac:dyDescent="0.25">
      <c r="A170" s="156" t="s">
        <v>221</v>
      </c>
      <c r="B170" s="29"/>
      <c r="C170" s="31">
        <v>155006</v>
      </c>
      <c r="D170" s="24">
        <v>17678</v>
      </c>
      <c r="E170" s="24">
        <v>59308</v>
      </c>
      <c r="F170" s="24">
        <v>0</v>
      </c>
      <c r="G170" s="106">
        <f>309299-(71885+4303+86+1033)</f>
        <v>231992</v>
      </c>
      <c r="H170" s="106">
        <v>0</v>
      </c>
      <c r="I170" s="31">
        <f>186508+4303-J170</f>
        <v>162808</v>
      </c>
      <c r="J170" s="31">
        <f>27634+369</f>
        <v>28003</v>
      </c>
      <c r="K170" s="31">
        <f>667446+1033</f>
        <v>668479</v>
      </c>
      <c r="L170" s="31">
        <v>0</v>
      </c>
      <c r="M170" s="24">
        <v>0</v>
      </c>
      <c r="N170" s="102">
        <f t="shared" si="55"/>
        <v>859290</v>
      </c>
      <c r="O170" s="24">
        <f>85258+4128+72393+2728</f>
        <v>164507</v>
      </c>
      <c r="P170" s="24">
        <f>381690+56441+79759+8588</f>
        <v>526478</v>
      </c>
      <c r="Q170" s="24">
        <v>0</v>
      </c>
      <c r="R170" s="106">
        <f t="shared" si="56"/>
        <v>690985</v>
      </c>
      <c r="S170" s="105">
        <f t="shared" si="57"/>
        <v>1782267</v>
      </c>
      <c r="T170" s="38">
        <f>104079+86+3</f>
        <v>104168</v>
      </c>
      <c r="U170" s="38">
        <v>83113</v>
      </c>
      <c r="V170" s="38">
        <v>3955</v>
      </c>
      <c r="W170" s="38">
        <v>3701</v>
      </c>
      <c r="X170" s="104">
        <f t="shared" si="45"/>
        <v>194937</v>
      </c>
      <c r="Y170" s="154">
        <f t="shared" si="54"/>
        <v>1977204</v>
      </c>
    </row>
    <row r="171" spans="1:26" x14ac:dyDescent="0.25">
      <c r="A171" s="156"/>
      <c r="B171" s="29"/>
      <c r="C171" s="31"/>
      <c r="D171" s="24"/>
      <c r="E171" s="24"/>
      <c r="F171" s="24"/>
      <c r="G171" s="106"/>
      <c r="H171" s="106"/>
      <c r="I171" s="31"/>
      <c r="J171" s="31"/>
      <c r="K171" s="31"/>
      <c r="L171" s="31"/>
      <c r="M171" s="24"/>
      <c r="N171" s="102"/>
      <c r="O171" s="24"/>
      <c r="P171" s="24"/>
      <c r="Q171" s="24"/>
      <c r="R171" s="106"/>
      <c r="S171" s="105"/>
      <c r="T171" s="38"/>
      <c r="U171" s="38"/>
      <c r="V171" s="38"/>
      <c r="W171" s="38"/>
      <c r="X171" s="104"/>
      <c r="Y171" s="154"/>
    </row>
    <row r="172" spans="1:26" x14ac:dyDescent="0.25">
      <c r="A172" s="156" t="s">
        <v>222</v>
      </c>
      <c r="B172" s="29"/>
      <c r="C172" s="31">
        <v>151633</v>
      </c>
      <c r="D172" s="24">
        <v>17566</v>
      </c>
      <c r="E172" s="24">
        <v>59556</v>
      </c>
      <c r="F172" s="24">
        <v>0</v>
      </c>
      <c r="G172" s="106">
        <f>305725-(71670+4187+84+1029)</f>
        <v>228755</v>
      </c>
      <c r="H172" s="106">
        <v>0</v>
      </c>
      <c r="I172" s="31">
        <f>184329+4187-J172</f>
        <v>160776</v>
      </c>
      <c r="J172" s="31">
        <f>27382+358</f>
        <v>27740</v>
      </c>
      <c r="K172" s="31">
        <f>657029+1029</f>
        <v>658058</v>
      </c>
      <c r="L172" s="31">
        <v>0</v>
      </c>
      <c r="M172" s="24">
        <v>0</v>
      </c>
      <c r="N172" s="102">
        <f>SUM(I172:M172)</f>
        <v>846574</v>
      </c>
      <c r="O172" s="24">
        <f>4154+2684+83802+70636</f>
        <v>161276</v>
      </c>
      <c r="P172" s="24">
        <f>56282+8550+377755+78491</f>
        <v>521078</v>
      </c>
      <c r="Q172" s="24">
        <v>0</v>
      </c>
      <c r="R172" s="106">
        <f>SUM(O172:Q172)</f>
        <v>682354</v>
      </c>
      <c r="S172" s="105">
        <f>G172+N172+R172+H172</f>
        <v>1757683</v>
      </c>
      <c r="T172" s="38">
        <f>84+101528+2</f>
        <v>101614</v>
      </c>
      <c r="U172" s="38">
        <v>82595</v>
      </c>
      <c r="V172" s="38">
        <v>3874</v>
      </c>
      <c r="W172" s="38">
        <v>3752</v>
      </c>
      <c r="X172" s="104">
        <f t="shared" si="45"/>
        <v>191835</v>
      </c>
      <c r="Y172" s="154">
        <f t="shared" ref="Y172:Y183" si="58">X172+S172</f>
        <v>1949518</v>
      </c>
    </row>
    <row r="173" spans="1:26" x14ac:dyDescent="0.25">
      <c r="A173" s="156" t="s">
        <v>224</v>
      </c>
      <c r="B173" s="29"/>
      <c r="C173" s="31">
        <v>149715</v>
      </c>
      <c r="D173" s="24">
        <v>17370</v>
      </c>
      <c r="E173" s="24">
        <v>58709</v>
      </c>
      <c r="F173" s="24">
        <v>0</v>
      </c>
      <c r="G173" s="106">
        <f>302517-(71609+4043+77+994)</f>
        <v>225794</v>
      </c>
      <c r="H173" s="106">
        <v>0</v>
      </c>
      <c r="I173" s="31">
        <f>182567+4043-J173</f>
        <v>159045</v>
      </c>
      <c r="J173" s="31">
        <f>27222+343</f>
        <v>27565</v>
      </c>
      <c r="K173" s="31">
        <f>646959+994</f>
        <v>647953</v>
      </c>
      <c r="L173" s="31">
        <v>0</v>
      </c>
      <c r="M173" s="24">
        <v>0</v>
      </c>
      <c r="N173" s="102">
        <f t="shared" ref="N173:N183" si="59">SUM(I173:M173)</f>
        <v>834563</v>
      </c>
      <c r="O173" s="24">
        <f>4149+2701+82097+68800</f>
        <v>157747</v>
      </c>
      <c r="P173" s="24">
        <f>56269+8490+374539+77215</f>
        <v>516513</v>
      </c>
      <c r="Q173" s="24">
        <v>0</v>
      </c>
      <c r="R173" s="106">
        <f t="shared" ref="R173:R182" si="60">SUM(O173:Q173)</f>
        <v>674260</v>
      </c>
      <c r="S173" s="105">
        <f t="shared" ref="S173:S183" si="61">G173+N173+R173+H173</f>
        <v>1734617</v>
      </c>
      <c r="T173" s="38">
        <f>77+99038+2</f>
        <v>99117</v>
      </c>
      <c r="U173" s="38">
        <v>82194</v>
      </c>
      <c r="V173" s="38">
        <v>3835</v>
      </c>
      <c r="W173" s="38">
        <v>3795</v>
      </c>
      <c r="X173" s="104">
        <f t="shared" si="45"/>
        <v>188941</v>
      </c>
      <c r="Y173" s="154">
        <f t="shared" si="58"/>
        <v>1923558</v>
      </c>
    </row>
    <row r="174" spans="1:26" x14ac:dyDescent="0.25">
      <c r="A174" s="156" t="s">
        <v>226</v>
      </c>
      <c r="B174" s="29"/>
      <c r="C174" s="31">
        <v>149264</v>
      </c>
      <c r="D174" s="24">
        <v>17143</v>
      </c>
      <c r="E174" s="24">
        <v>57656</v>
      </c>
      <c r="F174" s="24">
        <v>0</v>
      </c>
      <c r="G174" s="106">
        <f>300874-(71804+3921+77+1009)</f>
        <v>224063</v>
      </c>
      <c r="H174" s="106">
        <v>0</v>
      </c>
      <c r="I174" s="31">
        <f>3921+180240-J174</f>
        <v>156644</v>
      </c>
      <c r="J174" s="31">
        <f>27183+334</f>
        <v>27517</v>
      </c>
      <c r="K174" s="31">
        <f>634634+1009</f>
        <v>635643</v>
      </c>
      <c r="L174" s="31">
        <v>0</v>
      </c>
      <c r="M174" s="24">
        <v>0</v>
      </c>
      <c r="N174" s="102">
        <f t="shared" si="59"/>
        <v>819804</v>
      </c>
      <c r="O174" s="24">
        <f>4147+2720+79845+66786</f>
        <v>153498</v>
      </c>
      <c r="P174" s="24">
        <f>56436+8501+370622+75691</f>
        <v>511250</v>
      </c>
      <c r="Q174" s="24">
        <v>0</v>
      </c>
      <c r="R174" s="106">
        <f t="shared" si="60"/>
        <v>664748</v>
      </c>
      <c r="S174" s="105">
        <f t="shared" si="61"/>
        <v>1708615</v>
      </c>
      <c r="T174" s="38">
        <f>77+96342+1</f>
        <v>96420</v>
      </c>
      <c r="U174" s="38">
        <v>82224</v>
      </c>
      <c r="V174" s="38">
        <v>3812</v>
      </c>
      <c r="W174" s="38">
        <v>3787</v>
      </c>
      <c r="X174" s="104">
        <f t="shared" si="45"/>
        <v>186243</v>
      </c>
      <c r="Y174" s="154">
        <f t="shared" si="58"/>
        <v>1894858</v>
      </c>
    </row>
    <row r="175" spans="1:26" x14ac:dyDescent="0.25">
      <c r="A175" s="156" t="s">
        <v>228</v>
      </c>
      <c r="B175" s="29"/>
      <c r="C175" s="31">
        <v>149840</v>
      </c>
      <c r="D175" s="24">
        <v>16710</v>
      </c>
      <c r="E175" s="24">
        <v>58161</v>
      </c>
      <c r="F175" s="24">
        <v>0</v>
      </c>
      <c r="G175" s="106">
        <f>301812-(72103+3912+68+1018)</f>
        <v>224711</v>
      </c>
      <c r="H175" s="106">
        <v>0</v>
      </c>
      <c r="I175" s="31">
        <f>3912+180635-J175</f>
        <v>156391</v>
      </c>
      <c r="J175" s="31">
        <f>27819+337</f>
        <v>28156</v>
      </c>
      <c r="K175" s="31">
        <f>634360+1018</f>
        <v>635378</v>
      </c>
      <c r="L175" s="31">
        <v>0</v>
      </c>
      <c r="M175" s="24">
        <v>0</v>
      </c>
      <c r="N175" s="102">
        <f t="shared" si="59"/>
        <v>819925</v>
      </c>
      <c r="O175" s="24">
        <f>4127+2761+79115+65836</f>
        <v>151839</v>
      </c>
      <c r="P175" s="24">
        <f>56775+371008+8440+74996</f>
        <v>511219</v>
      </c>
      <c r="Q175" s="24">
        <v>0</v>
      </c>
      <c r="R175" s="106">
        <f t="shared" si="60"/>
        <v>663058</v>
      </c>
      <c r="S175" s="105">
        <f t="shared" si="61"/>
        <v>1707694</v>
      </c>
      <c r="T175" s="38">
        <f>96520+68+3</f>
        <v>96591</v>
      </c>
      <c r="U175" s="38">
        <v>84374</v>
      </c>
      <c r="V175" s="38">
        <v>3887</v>
      </c>
      <c r="W175" s="38">
        <v>3780</v>
      </c>
      <c r="X175" s="104">
        <f t="shared" si="45"/>
        <v>188632</v>
      </c>
      <c r="Y175" s="154">
        <f t="shared" si="58"/>
        <v>1896326</v>
      </c>
    </row>
    <row r="176" spans="1:26" x14ac:dyDescent="0.25">
      <c r="A176" s="156" t="s">
        <v>229</v>
      </c>
      <c r="B176" s="29"/>
      <c r="C176" s="31">
        <v>149495</v>
      </c>
      <c r="D176" s="24">
        <v>17043</v>
      </c>
      <c r="E176" s="24">
        <v>58472</v>
      </c>
      <c r="F176" s="24">
        <v>0</v>
      </c>
      <c r="G176" s="106">
        <f>302191-(1040+67+3893+72181)</f>
        <v>225010</v>
      </c>
      <c r="H176" s="106">
        <v>0</v>
      </c>
      <c r="I176" s="31">
        <f>3893+181583-J176</f>
        <v>156672</v>
      </c>
      <c r="J176" s="31">
        <f>28479+325</f>
        <v>28804</v>
      </c>
      <c r="K176" s="31">
        <f>633706+1040</f>
        <v>634746</v>
      </c>
      <c r="L176" s="31">
        <v>0</v>
      </c>
      <c r="M176" s="24">
        <v>0</v>
      </c>
      <c r="N176" s="102">
        <f t="shared" si="59"/>
        <v>820222</v>
      </c>
      <c r="O176" s="24">
        <f>4096+78648+2774+65801</f>
        <v>151319</v>
      </c>
      <c r="P176" s="24">
        <f>56970+375433+8341+74060</f>
        <v>514804</v>
      </c>
      <c r="Q176" s="24">
        <v>0</v>
      </c>
      <c r="R176" s="106">
        <f t="shared" si="60"/>
        <v>666123</v>
      </c>
      <c r="S176" s="105">
        <f t="shared" si="61"/>
        <v>1711355</v>
      </c>
      <c r="T176" s="38">
        <f>97234+67+3</f>
        <v>97304</v>
      </c>
      <c r="U176" s="38">
        <v>88876</v>
      </c>
      <c r="V176" s="24">
        <v>3934</v>
      </c>
      <c r="W176" s="24">
        <v>3786</v>
      </c>
      <c r="X176" s="104">
        <f t="shared" si="45"/>
        <v>193900</v>
      </c>
      <c r="Y176" s="154">
        <f t="shared" si="58"/>
        <v>1905255</v>
      </c>
    </row>
    <row r="177" spans="1:25" x14ac:dyDescent="0.25">
      <c r="A177" s="156" t="s">
        <v>234</v>
      </c>
      <c r="B177" s="29"/>
      <c r="C177" s="31">
        <v>148287</v>
      </c>
      <c r="D177" s="24">
        <v>16930</v>
      </c>
      <c r="E177" s="24">
        <v>59175</v>
      </c>
      <c r="F177" s="24">
        <v>0</v>
      </c>
      <c r="G177" s="106">
        <f>301206-(71825+3888+62+1039)</f>
        <v>224392</v>
      </c>
      <c r="H177" s="106">
        <v>0</v>
      </c>
      <c r="I177" s="31">
        <f>3888+181018-J177</f>
        <v>155895</v>
      </c>
      <c r="J177" s="31">
        <f>28678+333</f>
        <v>29011</v>
      </c>
      <c r="K177" s="31">
        <f>628132+1039</f>
        <v>629171</v>
      </c>
      <c r="L177" s="31">
        <v>0</v>
      </c>
      <c r="M177" s="24">
        <v>0</v>
      </c>
      <c r="N177" s="102">
        <f t="shared" si="59"/>
        <v>814077</v>
      </c>
      <c r="O177" s="24">
        <f>4074+2747+77747+64967</f>
        <v>149535</v>
      </c>
      <c r="P177" s="24">
        <f>56810+8149+72952+375750</f>
        <v>513661</v>
      </c>
      <c r="Q177" s="24">
        <v>0</v>
      </c>
      <c r="R177" s="106">
        <f t="shared" si="60"/>
        <v>663196</v>
      </c>
      <c r="S177" s="105">
        <f t="shared" si="61"/>
        <v>1701665</v>
      </c>
      <c r="T177" s="110">
        <f>96542+62+0</f>
        <v>96604</v>
      </c>
      <c r="U177" s="38">
        <v>92139</v>
      </c>
      <c r="V177" s="38">
        <v>3970</v>
      </c>
      <c r="W177" s="38">
        <v>3730</v>
      </c>
      <c r="X177" s="104">
        <f t="shared" si="45"/>
        <v>196443</v>
      </c>
      <c r="Y177" s="154">
        <f t="shared" si="58"/>
        <v>1898108</v>
      </c>
    </row>
    <row r="178" spans="1:25" x14ac:dyDescent="0.25">
      <c r="A178" s="156" t="s">
        <v>235</v>
      </c>
      <c r="B178" s="40"/>
      <c r="C178" s="31">
        <v>147525</v>
      </c>
      <c r="D178" s="24">
        <v>16985</v>
      </c>
      <c r="E178" s="24">
        <v>59497</v>
      </c>
      <c r="F178" s="24">
        <v>0</v>
      </c>
      <c r="G178" s="106">
        <f>300933-(72014+3799+62+1051)</f>
        <v>224007</v>
      </c>
      <c r="H178" s="106">
        <v>0</v>
      </c>
      <c r="I178" s="31">
        <f>3799+180620-J178</f>
        <v>155061</v>
      </c>
      <c r="J178" s="31">
        <f>29030+328</f>
        <v>29358</v>
      </c>
      <c r="K178" s="31">
        <f>624428+1051</f>
        <v>625479</v>
      </c>
      <c r="L178" s="31">
        <v>0</v>
      </c>
      <c r="M178" s="24">
        <v>0</v>
      </c>
      <c r="N178" s="102">
        <f t="shared" si="59"/>
        <v>809898</v>
      </c>
      <c r="O178" s="24">
        <f>4047+2781+77536+64766</f>
        <v>149130</v>
      </c>
      <c r="P178" s="24">
        <f>57002+8184+378377+72856</f>
        <v>516419</v>
      </c>
      <c r="Q178" s="24">
        <v>0</v>
      </c>
      <c r="R178" s="106">
        <f t="shared" si="60"/>
        <v>665549</v>
      </c>
      <c r="S178" s="105">
        <f t="shared" si="61"/>
        <v>1699454</v>
      </c>
      <c r="T178" s="38">
        <f>96649+62+2</f>
        <v>96713</v>
      </c>
      <c r="U178" s="38">
        <v>95185</v>
      </c>
      <c r="V178" s="38">
        <v>3853</v>
      </c>
      <c r="W178" s="38">
        <v>3801</v>
      </c>
      <c r="X178" s="104">
        <f t="shared" si="45"/>
        <v>199552</v>
      </c>
      <c r="Y178" s="154">
        <f t="shared" si="58"/>
        <v>1899006</v>
      </c>
    </row>
    <row r="179" spans="1:25" x14ac:dyDescent="0.25">
      <c r="A179" s="156" t="s">
        <v>236</v>
      </c>
      <c r="B179" s="40"/>
      <c r="C179" s="31">
        <v>143906</v>
      </c>
      <c r="D179" s="24">
        <v>17102</v>
      </c>
      <c r="E179" s="24">
        <v>59298</v>
      </c>
      <c r="F179" s="24">
        <v>0</v>
      </c>
      <c r="G179" s="106">
        <f>295036-(70034+3612+60+1024)</f>
        <v>220306</v>
      </c>
      <c r="H179" s="106">
        <v>0</v>
      </c>
      <c r="I179" s="31">
        <f>3612+174658-J179</f>
        <v>149854</v>
      </c>
      <c r="J179" s="31">
        <f>28104+312</f>
        <v>28416</v>
      </c>
      <c r="K179" s="31">
        <f>603100+1024</f>
        <v>604124</v>
      </c>
      <c r="L179" s="31">
        <v>0</v>
      </c>
      <c r="M179" s="24">
        <v>0</v>
      </c>
      <c r="N179" s="102">
        <f t="shared" si="59"/>
        <v>782394</v>
      </c>
      <c r="O179" s="24">
        <f>3794+2616+73738+61461</f>
        <v>141609</v>
      </c>
      <c r="P179" s="24">
        <f>55815+7809+372989+69868</f>
        <v>506481</v>
      </c>
      <c r="Q179" s="24">
        <v>0</v>
      </c>
      <c r="R179" s="106">
        <f t="shared" si="60"/>
        <v>648090</v>
      </c>
      <c r="S179" s="105">
        <f t="shared" si="61"/>
        <v>1650790</v>
      </c>
      <c r="T179" s="38">
        <f>91448+60+3</f>
        <v>91511</v>
      </c>
      <c r="U179" s="38">
        <v>94918</v>
      </c>
      <c r="V179" s="38">
        <v>3512</v>
      </c>
      <c r="W179" s="38">
        <v>3633</v>
      </c>
      <c r="X179" s="104">
        <f t="shared" si="45"/>
        <v>193574</v>
      </c>
      <c r="Y179" s="154">
        <f t="shared" si="58"/>
        <v>1844364</v>
      </c>
    </row>
    <row r="180" spans="1:25" x14ac:dyDescent="0.25">
      <c r="A180" s="156" t="s">
        <v>239</v>
      </c>
      <c r="B180" s="40"/>
      <c r="C180" s="31">
        <v>142162</v>
      </c>
      <c r="D180" s="24">
        <v>17090</v>
      </c>
      <c r="E180" s="24">
        <v>59352</v>
      </c>
      <c r="F180" s="24">
        <v>0</v>
      </c>
      <c r="G180" s="106">
        <f>293523-(70265+3568+61+1025)</f>
        <v>218604</v>
      </c>
      <c r="H180" s="106">
        <v>0</v>
      </c>
      <c r="I180" s="31">
        <f>3568+174759-J180</f>
        <v>149739</v>
      </c>
      <c r="J180" s="31">
        <f>28282+306</f>
        <v>28588</v>
      </c>
      <c r="K180" s="31">
        <f>598399+1025</f>
        <v>599424</v>
      </c>
      <c r="L180" s="31">
        <v>0</v>
      </c>
      <c r="M180" s="24">
        <v>0</v>
      </c>
      <c r="N180" s="102">
        <f t="shared" si="59"/>
        <v>777751</v>
      </c>
      <c r="O180" s="24">
        <f>3867+73305+2598+61149</f>
        <v>140919</v>
      </c>
      <c r="P180" s="24">
        <f>56004+369327+7796+68964</f>
        <v>502091</v>
      </c>
      <c r="Q180" s="24">
        <v>0</v>
      </c>
      <c r="R180" s="106">
        <f t="shared" si="60"/>
        <v>643010</v>
      </c>
      <c r="S180" s="105">
        <f t="shared" si="61"/>
        <v>1639365</v>
      </c>
      <c r="T180" s="38">
        <f>91373+61+2</f>
        <v>91436</v>
      </c>
      <c r="U180" s="38">
        <v>96569</v>
      </c>
      <c r="V180" s="38">
        <v>3483</v>
      </c>
      <c r="W180" s="38">
        <v>3365</v>
      </c>
      <c r="X180" s="104">
        <f t="shared" si="45"/>
        <v>194853</v>
      </c>
      <c r="Y180" s="154">
        <f t="shared" si="58"/>
        <v>1834218</v>
      </c>
    </row>
    <row r="181" spans="1:25" x14ac:dyDescent="0.25">
      <c r="A181" s="156" t="s">
        <v>352</v>
      </c>
      <c r="C181" s="31">
        <v>138192</v>
      </c>
      <c r="D181" s="24">
        <v>16609</v>
      </c>
      <c r="E181" s="24">
        <v>60088</v>
      </c>
      <c r="F181" s="24">
        <v>0</v>
      </c>
      <c r="G181" s="106">
        <f>287698-(68486+3246+61+1016)</f>
        <v>214889</v>
      </c>
      <c r="H181" s="31">
        <v>0</v>
      </c>
      <c r="I181" s="31">
        <f>3246+169587-J181</f>
        <v>143995</v>
      </c>
      <c r="J181" s="24">
        <f>28545+293</f>
        <v>28838</v>
      </c>
      <c r="K181" s="31">
        <f>583538+1016</f>
        <v>584554</v>
      </c>
      <c r="L181" s="31">
        <v>0</v>
      </c>
      <c r="M181" s="24">
        <v>0</v>
      </c>
      <c r="N181" s="102">
        <f t="shared" si="59"/>
        <v>757387</v>
      </c>
      <c r="O181" s="24">
        <f>3733+2513+70110+57345</f>
        <v>133701</v>
      </c>
      <c r="P181" s="24">
        <f>54815+7425+353208+64235</f>
        <v>479683</v>
      </c>
      <c r="Q181" s="24">
        <v>0</v>
      </c>
      <c r="R181" s="106">
        <f t="shared" si="60"/>
        <v>613384</v>
      </c>
      <c r="S181" s="105">
        <f t="shared" si="61"/>
        <v>1585660</v>
      </c>
      <c r="T181" s="38">
        <f>87781+61+0</f>
        <v>87842</v>
      </c>
      <c r="U181" s="38">
        <v>95862</v>
      </c>
      <c r="V181" s="38">
        <v>3499</v>
      </c>
      <c r="W181" s="38">
        <v>3513</v>
      </c>
      <c r="X181" s="104">
        <f t="shared" si="45"/>
        <v>190716</v>
      </c>
      <c r="Y181" s="154">
        <f t="shared" si="58"/>
        <v>1776376</v>
      </c>
    </row>
    <row r="182" spans="1:25" x14ac:dyDescent="0.25">
      <c r="A182" s="156" t="s">
        <v>377</v>
      </c>
      <c r="C182" s="31">
        <v>142507</v>
      </c>
      <c r="D182" s="24">
        <v>16167</v>
      </c>
      <c r="E182" s="24">
        <v>58926</v>
      </c>
      <c r="F182" s="24"/>
      <c r="G182" s="106">
        <f>288865-(67061+3026+66+1018)</f>
        <v>217694</v>
      </c>
      <c r="H182" s="31">
        <v>0</v>
      </c>
      <c r="I182" s="31">
        <f>168699+3026-J182</f>
        <v>144931</v>
      </c>
      <c r="J182" s="24">
        <f>26511+283</f>
        <v>26794</v>
      </c>
      <c r="K182" s="31">
        <f>584274+1018</f>
        <v>585292</v>
      </c>
      <c r="L182" s="31">
        <v>0</v>
      </c>
      <c r="M182" s="24">
        <v>0</v>
      </c>
      <c r="N182" s="102">
        <f t="shared" si="59"/>
        <v>757017</v>
      </c>
      <c r="O182" s="24">
        <f>3688+70693+2509+57645</f>
        <v>134535</v>
      </c>
      <c r="P182" s="24">
        <f>53774+360166+7090+65313</f>
        <v>486343</v>
      </c>
      <c r="Q182" s="24">
        <v>0</v>
      </c>
      <c r="R182" s="106">
        <f t="shared" si="60"/>
        <v>620878</v>
      </c>
      <c r="S182" s="105">
        <f t="shared" si="61"/>
        <v>1595589</v>
      </c>
      <c r="T182" s="38">
        <f>89371+66+0</f>
        <v>89437</v>
      </c>
      <c r="U182" s="38">
        <v>98635</v>
      </c>
      <c r="V182" s="38">
        <v>3535</v>
      </c>
      <c r="W182" s="38">
        <v>4063</v>
      </c>
      <c r="X182" s="104">
        <f t="shared" si="45"/>
        <v>195670</v>
      </c>
      <c r="Y182" s="154">
        <f t="shared" si="58"/>
        <v>1791259</v>
      </c>
    </row>
    <row r="183" spans="1:25" x14ac:dyDescent="0.25">
      <c r="A183" s="156" t="s">
        <v>380</v>
      </c>
      <c r="C183" s="31">
        <f>IF((G183-D183-E183)&gt;C81,C81,G183-D183-E183)</f>
        <v>142507</v>
      </c>
      <c r="D183" s="24">
        <v>16203</v>
      </c>
      <c r="E183" s="24">
        <v>59270</v>
      </c>
      <c r="F183" s="24"/>
      <c r="G183" s="106">
        <f>288242-(66245+2917+68+1025)</f>
        <v>217987</v>
      </c>
      <c r="H183" s="31"/>
      <c r="I183" s="31">
        <f>167991+2917-J183</f>
        <v>143386</v>
      </c>
      <c r="J183" s="24">
        <f>27251+271</f>
        <v>27522</v>
      </c>
      <c r="K183" s="31">
        <f>582635+1025</f>
        <v>583660</v>
      </c>
      <c r="L183" s="31"/>
      <c r="M183" s="24"/>
      <c r="N183" s="102">
        <f t="shared" si="59"/>
        <v>754568</v>
      </c>
      <c r="O183" s="24">
        <f>3650+69741+2474+56601</f>
        <v>132466</v>
      </c>
      <c r="P183" s="24">
        <f>53129+6992+356096+64068</f>
        <v>480285</v>
      </c>
      <c r="Q183" s="24"/>
      <c r="R183" s="106">
        <f t="shared" ref="R183" si="62">SUM(O183:Q183)</f>
        <v>612751</v>
      </c>
      <c r="S183" s="105">
        <f t="shared" si="61"/>
        <v>1585306</v>
      </c>
      <c r="T183" s="38">
        <f>91688+68+0</f>
        <v>91756</v>
      </c>
      <c r="U183" s="38">
        <v>96983</v>
      </c>
      <c r="V183" s="38">
        <v>3699</v>
      </c>
      <c r="W183" s="38">
        <v>4121</v>
      </c>
      <c r="X183" s="102">
        <f t="shared" si="45"/>
        <v>196559</v>
      </c>
      <c r="Y183" s="154">
        <f t="shared" si="58"/>
        <v>1781865</v>
      </c>
    </row>
    <row r="184" spans="1:25" x14ac:dyDescent="0.25">
      <c r="A184" s="156"/>
      <c r="C184" s="31"/>
      <c r="D184" s="24"/>
      <c r="V184" s="38"/>
      <c r="Y184" s="154"/>
    </row>
    <row r="185" spans="1:25" x14ac:dyDescent="0.25">
      <c r="A185" s="156" t="str">
        <f>A183</f>
        <v>Jun 2024</v>
      </c>
      <c r="B185" s="152"/>
      <c r="C185" s="153">
        <f t="shared" ref="C185:H185" si="63">C183/C82</f>
        <v>0.98859529243640354</v>
      </c>
      <c r="D185" s="153">
        <f t="shared" si="63"/>
        <v>0.84421403636742565</v>
      </c>
      <c r="E185" s="153">
        <f t="shared" si="63"/>
        <v>0.97639325898225793</v>
      </c>
      <c r="F185" s="153">
        <f t="shared" si="63"/>
        <v>0</v>
      </c>
      <c r="G185" s="153">
        <f t="shared" si="63"/>
        <v>0.96535155506153381</v>
      </c>
      <c r="H185" s="153">
        <f t="shared" si="63"/>
        <v>0</v>
      </c>
      <c r="I185" s="153">
        <v>1</v>
      </c>
      <c r="J185" s="153">
        <f t="shared" ref="J185:Y185" si="64">J183/J82</f>
        <v>0.96052769343524236</v>
      </c>
      <c r="K185" s="153">
        <f t="shared" si="64"/>
        <v>0.98787288960352049</v>
      </c>
      <c r="L185" s="153">
        <f t="shared" si="64"/>
        <v>0</v>
      </c>
      <c r="M185" s="153">
        <f t="shared" si="64"/>
        <v>0</v>
      </c>
      <c r="N185" s="153">
        <f t="shared" si="64"/>
        <v>0.89965435878726319</v>
      </c>
      <c r="O185" s="153">
        <f t="shared" si="64"/>
        <v>0.98777823347377058</v>
      </c>
      <c r="P185" s="153">
        <f t="shared" si="64"/>
        <v>0.97510689356933156</v>
      </c>
      <c r="Q185" s="153">
        <f t="shared" si="64"/>
        <v>0</v>
      </c>
      <c r="R185" s="153">
        <f t="shared" si="64"/>
        <v>0.92206928412026989</v>
      </c>
      <c r="S185" s="153">
        <f t="shared" si="64"/>
        <v>0.88257012712123895</v>
      </c>
      <c r="T185" s="153">
        <f t="shared" si="64"/>
        <v>0.99199965403909363</v>
      </c>
      <c r="U185" s="153">
        <f t="shared" si="64"/>
        <v>0.98926913857295862</v>
      </c>
      <c r="V185" s="153">
        <f t="shared" si="64"/>
        <v>0.96227887617065555</v>
      </c>
      <c r="W185" s="153">
        <f t="shared" si="64"/>
        <v>0.93786982248520712</v>
      </c>
      <c r="X185" s="153">
        <f t="shared" si="64"/>
        <v>0.98888156603896982</v>
      </c>
      <c r="Y185" s="153">
        <f t="shared" si="64"/>
        <v>0.89316227963109907</v>
      </c>
    </row>
    <row r="186" spans="1:25" x14ac:dyDescent="0.25">
      <c r="B186" s="83"/>
      <c r="N186" s="34"/>
      <c r="O186" s="34"/>
      <c r="P186" s="34"/>
      <c r="Q186" s="34"/>
      <c r="R186" s="34"/>
      <c r="S186" s="34"/>
    </row>
    <row r="187" spans="1:25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37"/>
      <c r="X187" s="36"/>
      <c r="Y187" s="36"/>
    </row>
    <row r="188" spans="1:25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37"/>
      <c r="V188" s="7"/>
      <c r="W188" s="7"/>
      <c r="Y188" s="23"/>
    </row>
    <row r="189" spans="1:25" x14ac:dyDescent="0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34"/>
      <c r="T189" s="36"/>
    </row>
    <row r="190" spans="1:25" x14ac:dyDescent="0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36"/>
    </row>
    <row r="191" spans="1:25" x14ac:dyDescent="0.25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</sheetData>
  <mergeCells count="24">
    <mergeCell ref="W4:W5"/>
    <mergeCell ref="N4:N5"/>
    <mergeCell ref="O4:O5"/>
    <mergeCell ref="P4:P5"/>
    <mergeCell ref="R4:R5"/>
    <mergeCell ref="T4:T5"/>
    <mergeCell ref="U4:U5"/>
    <mergeCell ref="V4:V5"/>
    <mergeCell ref="C2:S2"/>
    <mergeCell ref="M4:M5"/>
    <mergeCell ref="C1:Y1"/>
    <mergeCell ref="T2:X2"/>
    <mergeCell ref="Y2:Y5"/>
    <mergeCell ref="C3:H3"/>
    <mergeCell ref="I3:N3"/>
    <mergeCell ref="O3:R3"/>
    <mergeCell ref="S3:S5"/>
    <mergeCell ref="T3:U3"/>
    <mergeCell ref="X3:X5"/>
    <mergeCell ref="C4:G4"/>
    <mergeCell ref="H4:H5"/>
    <mergeCell ref="I4:I5"/>
    <mergeCell ref="J4:J5"/>
    <mergeCell ref="K4:K5"/>
  </mergeCells>
  <phoneticPr fontId="51" type="noConversion"/>
  <pageMargins left="0.18" right="0.23" top="0.33" bottom="0.16" header="0" footer="0"/>
  <pageSetup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EV159"/>
  <sheetViews>
    <sheetView zoomScaleNormal="100" workbookViewId="0">
      <pane xSplit="1" ySplit="3" topLeftCell="DV139" activePane="bottomRight" state="frozen"/>
      <selection activeCell="F136" sqref="F136"/>
      <selection pane="topRight" activeCell="F136" sqref="F136"/>
      <selection pane="bottomLeft" activeCell="F136" sqref="F136"/>
      <selection pane="bottomRight" activeCell="EC121" sqref="EC121"/>
    </sheetView>
  </sheetViews>
  <sheetFormatPr defaultColWidth="14.77734375" defaultRowHeight="13.2" x14ac:dyDescent="0.25"/>
  <cols>
    <col min="1" max="1" width="12.77734375" customWidth="1"/>
    <col min="26" max="26" width="14.77734375" style="88"/>
    <col min="50" max="53" width="14.77734375" style="88"/>
    <col min="114" max="114" width="4.77734375" customWidth="1"/>
    <col min="115" max="115" width="17.5546875" customWidth="1"/>
    <col min="116" max="116" width="50.77734375" customWidth="1"/>
    <col min="118" max="118" width="22.77734375" customWidth="1"/>
    <col min="119" max="119" width="60.21875" customWidth="1"/>
    <col min="120" max="120" width="31.5546875" customWidth="1"/>
    <col min="126" max="126" width="19.6640625" customWidth="1"/>
    <col min="127" max="127" width="18.109375" customWidth="1"/>
    <col min="129" max="129" width="3.77734375" customWidth="1"/>
    <col min="130" max="130" width="24" customWidth="1"/>
    <col min="131" max="131" width="19.6640625" customWidth="1"/>
    <col min="132" max="132" width="3.44140625" customWidth="1"/>
  </cols>
  <sheetData>
    <row r="1" spans="1:133" ht="126.6" customHeight="1" x14ac:dyDescent="0.25">
      <c r="B1" s="128" t="s">
        <v>353</v>
      </c>
      <c r="C1" s="128" t="s">
        <v>354</v>
      </c>
      <c r="D1" s="128" t="s">
        <v>355</v>
      </c>
      <c r="E1" s="128" t="s">
        <v>356</v>
      </c>
      <c r="F1" s="117" t="s">
        <v>241</v>
      </c>
      <c r="G1" s="117" t="s">
        <v>242</v>
      </c>
      <c r="H1" s="117" t="s">
        <v>243</v>
      </c>
      <c r="I1" s="117" t="s">
        <v>244</v>
      </c>
      <c r="J1" s="117" t="s">
        <v>245</v>
      </c>
      <c r="K1" s="117" t="s">
        <v>246</v>
      </c>
      <c r="L1" s="112" t="s">
        <v>247</v>
      </c>
      <c r="M1" s="112" t="s">
        <v>248</v>
      </c>
      <c r="N1" s="117" t="s">
        <v>250</v>
      </c>
      <c r="O1" s="112" t="s">
        <v>249</v>
      </c>
      <c r="P1" s="112" t="s">
        <v>328</v>
      </c>
      <c r="Q1" s="112" t="s">
        <v>251</v>
      </c>
      <c r="R1" s="112" t="s">
        <v>330</v>
      </c>
      <c r="S1" s="116" t="s">
        <v>252</v>
      </c>
      <c r="T1" s="112" t="s">
        <v>253</v>
      </c>
      <c r="U1" s="112" t="s">
        <v>254</v>
      </c>
      <c r="V1" s="112" t="s">
        <v>255</v>
      </c>
      <c r="W1" s="112" t="s">
        <v>256</v>
      </c>
      <c r="X1" s="112" t="s">
        <v>257</v>
      </c>
      <c r="Y1" s="112" t="s">
        <v>258</v>
      </c>
      <c r="Z1" s="116" t="s">
        <v>259</v>
      </c>
      <c r="AA1" s="112" t="s">
        <v>260</v>
      </c>
      <c r="AB1" s="112" t="s">
        <v>261</v>
      </c>
      <c r="AC1" s="112" t="s">
        <v>262</v>
      </c>
      <c r="AD1" s="112" t="s">
        <v>263</v>
      </c>
      <c r="AE1" s="112" t="s">
        <v>264</v>
      </c>
      <c r="AF1" s="113" t="s">
        <v>265</v>
      </c>
      <c r="AG1" s="112" t="s">
        <v>266</v>
      </c>
      <c r="AH1" s="112" t="s">
        <v>267</v>
      </c>
      <c r="AI1" s="112" t="s">
        <v>268</v>
      </c>
      <c r="AJ1" s="112" t="s">
        <v>269</v>
      </c>
      <c r="AK1" s="112" t="s">
        <v>270</v>
      </c>
      <c r="AL1" s="112" t="s">
        <v>271</v>
      </c>
      <c r="AM1" s="116" t="s">
        <v>273</v>
      </c>
      <c r="AN1" s="112" t="s">
        <v>272</v>
      </c>
      <c r="AO1" s="116" t="s">
        <v>274</v>
      </c>
      <c r="AP1" s="116" t="s">
        <v>275</v>
      </c>
      <c r="AQ1" s="129" t="s">
        <v>357</v>
      </c>
      <c r="AR1" s="112" t="s">
        <v>276</v>
      </c>
      <c r="AS1" s="112" t="s">
        <v>277</v>
      </c>
      <c r="AT1" s="112" t="s">
        <v>281</v>
      </c>
      <c r="AU1" s="112" t="s">
        <v>278</v>
      </c>
      <c r="AV1" s="112" t="s">
        <v>280</v>
      </c>
      <c r="AW1" s="116" t="s">
        <v>279</v>
      </c>
      <c r="AX1" s="112" t="s">
        <v>282</v>
      </c>
      <c r="AY1" s="112" t="s">
        <v>283</v>
      </c>
      <c r="AZ1" s="112" t="s">
        <v>284</v>
      </c>
      <c r="BA1" s="112" t="s">
        <v>285</v>
      </c>
      <c r="BB1" s="112" t="s">
        <v>286</v>
      </c>
      <c r="BC1" s="112" t="s">
        <v>287</v>
      </c>
      <c r="BD1" s="133" t="s">
        <v>358</v>
      </c>
      <c r="BE1" s="130" t="s">
        <v>359</v>
      </c>
      <c r="BF1" s="112" t="s">
        <v>288</v>
      </c>
      <c r="BG1" s="130" t="s">
        <v>360</v>
      </c>
      <c r="BH1" s="130" t="s">
        <v>360</v>
      </c>
      <c r="BI1" s="131" t="s">
        <v>361</v>
      </c>
      <c r="BJ1" s="112" t="s">
        <v>335</v>
      </c>
      <c r="BK1" s="112" t="s">
        <v>289</v>
      </c>
      <c r="BL1" s="112" t="s">
        <v>290</v>
      </c>
      <c r="BM1" s="112" t="s">
        <v>333</v>
      </c>
      <c r="BN1" s="112" t="s">
        <v>334</v>
      </c>
      <c r="BO1" s="116" t="s">
        <v>291</v>
      </c>
      <c r="BP1" s="112" t="s">
        <v>331</v>
      </c>
      <c r="BQ1" s="112" t="s">
        <v>332</v>
      </c>
      <c r="BR1" s="112" t="s">
        <v>292</v>
      </c>
      <c r="BS1" s="112" t="s">
        <v>295</v>
      </c>
      <c r="BT1" s="112" t="s">
        <v>294</v>
      </c>
      <c r="BU1" s="116" t="s">
        <v>293</v>
      </c>
      <c r="BV1" s="112" t="s">
        <v>296</v>
      </c>
      <c r="BW1" s="112" t="s">
        <v>297</v>
      </c>
      <c r="BX1" s="131" t="s">
        <v>362</v>
      </c>
      <c r="BY1" s="112" t="s">
        <v>298</v>
      </c>
      <c r="BZ1" s="131" t="s">
        <v>363</v>
      </c>
      <c r="CA1" s="112" t="s">
        <v>299</v>
      </c>
      <c r="CB1" s="112" t="s">
        <v>300</v>
      </c>
      <c r="CC1" s="112" t="s">
        <v>301</v>
      </c>
      <c r="CD1" s="112" t="s">
        <v>302</v>
      </c>
      <c r="CE1" s="112" t="s">
        <v>303</v>
      </c>
      <c r="CF1" s="118" t="s">
        <v>304</v>
      </c>
      <c r="CG1" s="131" t="s">
        <v>364</v>
      </c>
      <c r="CH1" s="112" t="s">
        <v>305</v>
      </c>
      <c r="CI1" s="112" t="s">
        <v>306</v>
      </c>
      <c r="CJ1" s="112" t="s">
        <v>307</v>
      </c>
      <c r="CK1" s="112" t="s">
        <v>309</v>
      </c>
      <c r="CL1" s="112" t="s">
        <v>310</v>
      </c>
      <c r="CM1" s="112" t="s">
        <v>311</v>
      </c>
      <c r="CN1" s="112" t="s">
        <v>312</v>
      </c>
      <c r="CO1" s="116" t="s">
        <v>313</v>
      </c>
      <c r="CP1" s="116" t="s">
        <v>314</v>
      </c>
      <c r="CQ1" s="116" t="s">
        <v>316</v>
      </c>
      <c r="CR1" s="116" t="s">
        <v>315</v>
      </c>
      <c r="CS1" s="117" t="s">
        <v>317</v>
      </c>
      <c r="CT1" s="117" t="s">
        <v>318</v>
      </c>
      <c r="CU1" s="116" t="s">
        <v>319</v>
      </c>
      <c r="CV1" s="116" t="s">
        <v>320</v>
      </c>
      <c r="CW1" s="116" t="s">
        <v>321</v>
      </c>
      <c r="CX1" s="116" t="s">
        <v>322</v>
      </c>
      <c r="CY1" s="123" t="s">
        <v>323</v>
      </c>
      <c r="CZ1" s="123" t="s">
        <v>324</v>
      </c>
      <c r="DA1" s="123" t="s">
        <v>325</v>
      </c>
      <c r="DB1" s="127" t="s">
        <v>326</v>
      </c>
      <c r="DC1" s="127" t="s">
        <v>337</v>
      </c>
      <c r="DD1" s="127" t="s">
        <v>327</v>
      </c>
      <c r="DE1" s="114"/>
      <c r="DG1" s="204" t="s">
        <v>81</v>
      </c>
      <c r="DH1" s="204"/>
      <c r="DI1" s="204"/>
      <c r="DK1" s="204" t="s">
        <v>90</v>
      </c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Z1" s="84"/>
      <c r="EA1" s="15" t="s">
        <v>83</v>
      </c>
      <c r="EC1" s="80" t="s">
        <v>100</v>
      </c>
    </row>
    <row r="2" spans="1:133" ht="52.8" x14ac:dyDescent="0.25">
      <c r="B2" s="27" t="s">
        <v>365</v>
      </c>
      <c r="C2" s="27" t="s">
        <v>366</v>
      </c>
      <c r="D2" s="27" t="s">
        <v>366</v>
      </c>
      <c r="E2" s="27" t="s">
        <v>366</v>
      </c>
      <c r="F2" t="s">
        <v>129</v>
      </c>
      <c r="G2" t="s">
        <v>130</v>
      </c>
      <c r="H2" t="s">
        <v>130</v>
      </c>
      <c r="I2" t="s">
        <v>130</v>
      </c>
      <c r="J2" t="s">
        <v>130</v>
      </c>
      <c r="K2" t="s">
        <v>130</v>
      </c>
      <c r="L2" t="s">
        <v>131</v>
      </c>
      <c r="M2" t="s">
        <v>131</v>
      </c>
      <c r="N2" t="s">
        <v>130</v>
      </c>
      <c r="O2" t="s">
        <v>131</v>
      </c>
      <c r="P2" s="111" t="s">
        <v>329</v>
      </c>
      <c r="Q2" t="s">
        <v>131</v>
      </c>
      <c r="R2" s="111" t="s">
        <v>329</v>
      </c>
      <c r="S2" t="s">
        <v>132</v>
      </c>
      <c r="T2" t="s">
        <v>131</v>
      </c>
      <c r="U2" t="s">
        <v>131</v>
      </c>
      <c r="V2" t="s">
        <v>131</v>
      </c>
      <c r="W2" t="s">
        <v>131</v>
      </c>
      <c r="X2" t="s">
        <v>133</v>
      </c>
      <c r="Y2" t="s">
        <v>133</v>
      </c>
      <c r="Z2" s="88" t="s">
        <v>82</v>
      </c>
      <c r="AA2" t="s">
        <v>133</v>
      </c>
      <c r="AB2" t="s">
        <v>133</v>
      </c>
      <c r="AC2" t="s">
        <v>133</v>
      </c>
      <c r="AD2" t="s">
        <v>133</v>
      </c>
      <c r="AE2" t="s">
        <v>133</v>
      </c>
      <c r="AF2" t="s">
        <v>134</v>
      </c>
      <c r="AG2" t="s">
        <v>133</v>
      </c>
      <c r="AH2" t="s">
        <v>133</v>
      </c>
      <c r="AI2" t="s">
        <v>133</v>
      </c>
      <c r="AJ2" t="s">
        <v>133</v>
      </c>
      <c r="AK2" t="s">
        <v>133</v>
      </c>
      <c r="AL2" t="s">
        <v>133</v>
      </c>
      <c r="AM2" t="s">
        <v>135</v>
      </c>
      <c r="AN2" t="s">
        <v>133</v>
      </c>
      <c r="AO2" t="s">
        <v>135</v>
      </c>
      <c r="AP2" t="s">
        <v>135</v>
      </c>
      <c r="AQ2" t="s">
        <v>135</v>
      </c>
      <c r="AR2" t="s">
        <v>133</v>
      </c>
      <c r="AS2" t="s">
        <v>133</v>
      </c>
      <c r="AT2" s="111" t="s">
        <v>133</v>
      </c>
      <c r="AU2" t="s">
        <v>133</v>
      </c>
      <c r="AV2" s="111" t="s">
        <v>133</v>
      </c>
      <c r="AW2" t="s">
        <v>134</v>
      </c>
      <c r="AX2" s="88" t="s">
        <v>136</v>
      </c>
      <c r="AY2" s="88" t="s">
        <v>137</v>
      </c>
      <c r="AZ2" s="88" t="s">
        <v>133</v>
      </c>
      <c r="BA2" s="88" t="s">
        <v>133</v>
      </c>
      <c r="BB2" t="s">
        <v>133</v>
      </c>
      <c r="BC2" t="s">
        <v>137</v>
      </c>
      <c r="BD2" t="s">
        <v>137</v>
      </c>
      <c r="BE2" s="27" t="s">
        <v>136</v>
      </c>
      <c r="BF2" t="s">
        <v>93</v>
      </c>
      <c r="BG2" t="s">
        <v>137</v>
      </c>
      <c r="BH2" s="27" t="s">
        <v>136</v>
      </c>
      <c r="BI2" s="27" t="s">
        <v>93</v>
      </c>
      <c r="BJ2" s="112" t="s">
        <v>136</v>
      </c>
      <c r="BK2" s="112" t="s">
        <v>93</v>
      </c>
      <c r="BL2" s="27" t="s">
        <v>93</v>
      </c>
      <c r="BM2" t="s">
        <v>138</v>
      </c>
      <c r="BN2" t="s">
        <v>138</v>
      </c>
      <c r="BO2" t="s">
        <v>139</v>
      </c>
      <c r="BP2" s="111" t="s">
        <v>367</v>
      </c>
      <c r="BQ2" s="111" t="s">
        <v>136</v>
      </c>
      <c r="BR2" t="s">
        <v>136</v>
      </c>
      <c r="BS2" s="111" t="s">
        <v>367</v>
      </c>
      <c r="BT2" s="111" t="s">
        <v>136</v>
      </c>
      <c r="BU2" t="s">
        <v>139</v>
      </c>
      <c r="BV2" t="s">
        <v>136</v>
      </c>
      <c r="BW2" t="s">
        <v>93</v>
      </c>
      <c r="BY2" s="27" t="s">
        <v>136</v>
      </c>
      <c r="BZ2" s="111" t="s">
        <v>367</v>
      </c>
      <c r="CA2" s="27" t="s">
        <v>136</v>
      </c>
      <c r="CB2" t="s">
        <v>82</v>
      </c>
      <c r="CC2" s="27" t="s">
        <v>136</v>
      </c>
      <c r="CD2" s="27" t="s">
        <v>136</v>
      </c>
      <c r="CE2" s="27" t="s">
        <v>136</v>
      </c>
      <c r="CF2" s="115" t="s">
        <v>237</v>
      </c>
      <c r="CG2" s="27" t="s">
        <v>368</v>
      </c>
      <c r="CH2" t="s">
        <v>82</v>
      </c>
      <c r="CI2" s="27" t="s">
        <v>136</v>
      </c>
      <c r="CJ2" s="27" t="s">
        <v>136</v>
      </c>
      <c r="CK2" s="27" t="s">
        <v>308</v>
      </c>
      <c r="CL2" t="s">
        <v>308</v>
      </c>
      <c r="CM2" t="s">
        <v>308</v>
      </c>
      <c r="CN2" t="s">
        <v>308</v>
      </c>
      <c r="CO2" t="s">
        <v>308</v>
      </c>
      <c r="CP2" t="s">
        <v>308</v>
      </c>
      <c r="CQ2" s="27" t="s">
        <v>367</v>
      </c>
      <c r="CR2" s="27" t="s">
        <v>136</v>
      </c>
      <c r="CS2" t="s">
        <v>240</v>
      </c>
      <c r="CT2" t="s">
        <v>240</v>
      </c>
      <c r="CU2" t="s">
        <v>308</v>
      </c>
      <c r="CV2" t="s">
        <v>308</v>
      </c>
      <c r="CW2" s="27" t="s">
        <v>367</v>
      </c>
      <c r="CX2" s="27" t="s">
        <v>136</v>
      </c>
      <c r="CY2" t="s">
        <v>101</v>
      </c>
      <c r="CZ2" t="s">
        <v>101</v>
      </c>
      <c r="DA2" t="s">
        <v>101</v>
      </c>
      <c r="DB2" s="27"/>
      <c r="DD2" s="27"/>
      <c r="DG2" s="50" t="s">
        <v>156</v>
      </c>
      <c r="DH2" s="50" t="s">
        <v>80</v>
      </c>
      <c r="DI2" s="3" t="s">
        <v>0</v>
      </c>
      <c r="DK2" s="3" t="s">
        <v>84</v>
      </c>
      <c r="DL2" s="3" t="s">
        <v>85</v>
      </c>
      <c r="DM2" s="3" t="s">
        <v>108</v>
      </c>
      <c r="DN2" s="3" t="s">
        <v>107</v>
      </c>
      <c r="DO2" s="3" t="s">
        <v>86</v>
      </c>
      <c r="DP2" s="67" t="s">
        <v>87</v>
      </c>
      <c r="DQ2" s="85" t="s">
        <v>370</v>
      </c>
      <c r="DR2" s="3" t="s">
        <v>88</v>
      </c>
      <c r="DS2" s="3" t="s">
        <v>95</v>
      </c>
      <c r="DT2" s="3" t="s">
        <v>89</v>
      </c>
      <c r="DU2" s="50" t="s">
        <v>158</v>
      </c>
      <c r="DV2" s="68" t="s">
        <v>157</v>
      </c>
      <c r="DW2" s="50" t="s">
        <v>230</v>
      </c>
      <c r="DX2" s="8" t="s">
        <v>94</v>
      </c>
      <c r="EA2" s="8" t="s">
        <v>94</v>
      </c>
      <c r="EC2" s="8" t="s">
        <v>94</v>
      </c>
    </row>
    <row r="3" spans="1:133" ht="42.6" x14ac:dyDescent="0.5">
      <c r="A3" s="119" t="s">
        <v>336</v>
      </c>
      <c r="B3" s="120" t="s">
        <v>1</v>
      </c>
      <c r="C3" s="120" t="s">
        <v>2</v>
      </c>
      <c r="D3" s="120" t="s">
        <v>3</v>
      </c>
      <c r="E3" s="120" t="s">
        <v>4</v>
      </c>
      <c r="F3" s="120" t="s">
        <v>5</v>
      </c>
      <c r="G3" s="120" t="s">
        <v>6</v>
      </c>
      <c r="H3" s="120" t="s">
        <v>7</v>
      </c>
      <c r="I3" s="120" t="s">
        <v>8</v>
      </c>
      <c r="J3" s="120" t="s">
        <v>9</v>
      </c>
      <c r="K3" s="121" t="s">
        <v>114</v>
      </c>
      <c r="L3" s="121" t="s">
        <v>10</v>
      </c>
      <c r="M3" s="121" t="s">
        <v>11</v>
      </c>
      <c r="N3" s="122" t="s">
        <v>141</v>
      </c>
      <c r="O3" s="120" t="s">
        <v>12</v>
      </c>
      <c r="P3" s="120" t="s">
        <v>13</v>
      </c>
      <c r="Q3" s="120" t="s">
        <v>14</v>
      </c>
      <c r="R3" s="120" t="s">
        <v>15</v>
      </c>
      <c r="S3" s="120" t="s">
        <v>16</v>
      </c>
      <c r="T3" s="120" t="s">
        <v>110</v>
      </c>
      <c r="U3" s="120" t="s">
        <v>111</v>
      </c>
      <c r="V3" s="120" t="s">
        <v>17</v>
      </c>
      <c r="W3" s="120" t="s">
        <v>18</v>
      </c>
      <c r="X3" s="120" t="s">
        <v>19</v>
      </c>
      <c r="Y3" s="120" t="s">
        <v>20</v>
      </c>
      <c r="Z3" s="125" t="s">
        <v>119</v>
      </c>
      <c r="AA3" s="120" t="s">
        <v>21</v>
      </c>
      <c r="AB3" s="120" t="s">
        <v>22</v>
      </c>
      <c r="AC3" s="120" t="s">
        <v>23</v>
      </c>
      <c r="AD3" s="120" t="s">
        <v>24</v>
      </c>
      <c r="AE3" s="120" t="s">
        <v>25</v>
      </c>
      <c r="AF3" s="120" t="s">
        <v>26</v>
      </c>
      <c r="AG3" s="120" t="s">
        <v>112</v>
      </c>
      <c r="AH3" s="120" t="s">
        <v>113</v>
      </c>
      <c r="AI3" s="120" t="s">
        <v>27</v>
      </c>
      <c r="AJ3" s="120" t="s">
        <v>28</v>
      </c>
      <c r="AK3" s="120" t="s">
        <v>29</v>
      </c>
      <c r="AL3" s="120" t="s">
        <v>30</v>
      </c>
      <c r="AM3" s="120" t="s">
        <v>31</v>
      </c>
      <c r="AN3" s="120" t="s">
        <v>32</v>
      </c>
      <c r="AO3" s="120" t="s">
        <v>33</v>
      </c>
      <c r="AP3" s="120" t="s">
        <v>34</v>
      </c>
      <c r="AQ3" s="120" t="s">
        <v>35</v>
      </c>
      <c r="AR3" s="120" t="s">
        <v>36</v>
      </c>
      <c r="AS3" s="120" t="s">
        <v>37</v>
      </c>
      <c r="AT3" s="120" t="s">
        <v>38</v>
      </c>
      <c r="AU3" s="120" t="s">
        <v>39</v>
      </c>
      <c r="AV3" s="120" t="s">
        <v>40</v>
      </c>
      <c r="AW3" s="120" t="s">
        <v>41</v>
      </c>
      <c r="AX3" s="120" t="s">
        <v>120</v>
      </c>
      <c r="AY3" s="120" t="s">
        <v>121</v>
      </c>
      <c r="AZ3" s="120" t="s">
        <v>42</v>
      </c>
      <c r="BA3" s="120" t="s">
        <v>122</v>
      </c>
      <c r="BB3" s="120" t="s">
        <v>43</v>
      </c>
      <c r="BC3" s="122" t="s">
        <v>123</v>
      </c>
      <c r="BD3" s="120" t="s">
        <v>44</v>
      </c>
      <c r="BE3" s="120" t="s">
        <v>45</v>
      </c>
      <c r="BF3" s="120" t="s">
        <v>46</v>
      </c>
      <c r="BG3" s="120" t="s">
        <v>47</v>
      </c>
      <c r="BH3" s="120" t="s">
        <v>48</v>
      </c>
      <c r="BI3" s="120" t="s">
        <v>49</v>
      </c>
      <c r="BJ3" s="120" t="s">
        <v>50</v>
      </c>
      <c r="BK3" s="120" t="s">
        <v>51</v>
      </c>
      <c r="BL3" s="122" t="s">
        <v>124</v>
      </c>
      <c r="BM3" s="120" t="s">
        <v>52</v>
      </c>
      <c r="BN3" s="120" t="s">
        <v>53</v>
      </c>
      <c r="BO3" s="120" t="s">
        <v>54</v>
      </c>
      <c r="BP3" s="120" t="s">
        <v>55</v>
      </c>
      <c r="BQ3" s="120" t="s">
        <v>56</v>
      </c>
      <c r="BR3" s="120" t="s">
        <v>57</v>
      </c>
      <c r="BS3" s="120" t="s">
        <v>58</v>
      </c>
      <c r="BT3" s="120" t="s">
        <v>59</v>
      </c>
      <c r="BU3" s="122" t="s">
        <v>126</v>
      </c>
      <c r="BV3" s="120" t="s">
        <v>60</v>
      </c>
      <c r="BW3" s="120" t="s">
        <v>61</v>
      </c>
      <c r="BX3" s="126" t="s">
        <v>142</v>
      </c>
      <c r="BY3" s="120" t="s">
        <v>62</v>
      </c>
      <c r="BZ3" s="120" t="s">
        <v>63</v>
      </c>
      <c r="CA3" s="120" t="s">
        <v>64</v>
      </c>
      <c r="CB3" s="120" t="s">
        <v>65</v>
      </c>
      <c r="CC3" s="120" t="s">
        <v>66</v>
      </c>
      <c r="CD3" s="120" t="s">
        <v>67</v>
      </c>
      <c r="CE3" s="120" t="s">
        <v>68</v>
      </c>
      <c r="CF3" s="120" t="s">
        <v>69</v>
      </c>
      <c r="CG3" s="120" t="s">
        <v>70</v>
      </c>
      <c r="CH3" s="120" t="s">
        <v>71</v>
      </c>
      <c r="CI3" s="120" t="s">
        <v>72</v>
      </c>
      <c r="CJ3" s="120" t="s">
        <v>73</v>
      </c>
      <c r="CK3" s="122" t="s">
        <v>150</v>
      </c>
      <c r="CL3" s="122" t="s">
        <v>151</v>
      </c>
      <c r="CM3" s="122" t="s">
        <v>152</v>
      </c>
      <c r="CN3" s="122" t="s">
        <v>153</v>
      </c>
      <c r="CO3" s="122" t="s">
        <v>154</v>
      </c>
      <c r="CP3" s="122" t="s">
        <v>155</v>
      </c>
      <c r="CQ3" s="122" t="s">
        <v>144</v>
      </c>
      <c r="CR3" s="122" t="s">
        <v>143</v>
      </c>
      <c r="CS3" s="122" t="s">
        <v>204</v>
      </c>
      <c r="CT3" s="122" t="s">
        <v>205</v>
      </c>
      <c r="CU3" s="122" t="s">
        <v>206</v>
      </c>
      <c r="CV3" s="122" t="s">
        <v>207</v>
      </c>
      <c r="CW3" s="122" t="s">
        <v>208</v>
      </c>
      <c r="CX3" s="122" t="s">
        <v>209</v>
      </c>
      <c r="CY3" s="120" t="s">
        <v>74</v>
      </c>
      <c r="CZ3" s="120" t="s">
        <v>75</v>
      </c>
      <c r="DA3" s="120" t="s">
        <v>76</v>
      </c>
      <c r="DB3" s="120" t="s">
        <v>77</v>
      </c>
      <c r="DC3" s="120" t="s">
        <v>78</v>
      </c>
      <c r="DD3" s="120" t="s">
        <v>79</v>
      </c>
      <c r="DG3" s="4"/>
      <c r="DH3" s="4"/>
      <c r="DI3" s="4"/>
      <c r="DK3" s="10" t="s">
        <v>92</v>
      </c>
      <c r="DL3" s="9" t="s">
        <v>91</v>
      </c>
      <c r="DM3" s="9"/>
      <c r="DN3" s="9"/>
      <c r="DP3" s="30"/>
      <c r="DQ3" s="134" t="s">
        <v>369</v>
      </c>
      <c r="DR3" s="30" t="s">
        <v>125</v>
      </c>
      <c r="DS3" s="30" t="s">
        <v>127</v>
      </c>
      <c r="DT3" s="30" t="s">
        <v>128</v>
      </c>
      <c r="DU3" s="30" t="s">
        <v>231</v>
      </c>
      <c r="DV3" s="158" t="s">
        <v>376</v>
      </c>
      <c r="DW3" s="30" t="s">
        <v>375</v>
      </c>
      <c r="DX3" s="5"/>
    </row>
    <row r="4" spans="1:133" x14ac:dyDescent="0.25">
      <c r="A4" s="132">
        <v>41821</v>
      </c>
      <c r="B4">
        <v>0</v>
      </c>
      <c r="C4">
        <v>0</v>
      </c>
      <c r="D4">
        <v>0</v>
      </c>
      <c r="E4">
        <v>0</v>
      </c>
      <c r="F4">
        <v>287</v>
      </c>
      <c r="G4">
        <v>16107</v>
      </c>
      <c r="H4">
        <v>35006</v>
      </c>
      <c r="I4">
        <v>3879</v>
      </c>
      <c r="J4">
        <v>8418</v>
      </c>
      <c r="K4">
        <v>1037</v>
      </c>
      <c r="L4">
        <v>24084</v>
      </c>
      <c r="M4">
        <v>1384</v>
      </c>
      <c r="N4" s="25">
        <v>0</v>
      </c>
      <c r="O4">
        <v>1504</v>
      </c>
      <c r="P4">
        <v>11633</v>
      </c>
      <c r="Q4">
        <v>308</v>
      </c>
      <c r="R4">
        <v>7456</v>
      </c>
      <c r="S4">
        <v>11644</v>
      </c>
      <c r="T4">
        <v>45</v>
      </c>
      <c r="U4">
        <v>1079</v>
      </c>
      <c r="V4">
        <v>318</v>
      </c>
      <c r="W4">
        <v>9722</v>
      </c>
      <c r="X4">
        <v>341</v>
      </c>
      <c r="Y4">
        <v>9</v>
      </c>
      <c r="Z4">
        <v>13</v>
      </c>
      <c r="AA4">
        <v>6</v>
      </c>
      <c r="AB4">
        <v>298</v>
      </c>
      <c r="AC4">
        <v>26</v>
      </c>
      <c r="AD4">
        <v>33</v>
      </c>
      <c r="AE4">
        <v>39</v>
      </c>
      <c r="AF4">
        <v>77</v>
      </c>
      <c r="AG4">
        <v>68</v>
      </c>
      <c r="AH4">
        <v>509</v>
      </c>
      <c r="AI4">
        <v>16</v>
      </c>
      <c r="AJ4">
        <v>13450</v>
      </c>
      <c r="AK4">
        <v>113753</v>
      </c>
      <c r="AL4">
        <v>2934</v>
      </c>
      <c r="AM4">
        <v>21884</v>
      </c>
      <c r="AN4">
        <v>17</v>
      </c>
      <c r="AO4">
        <v>1</v>
      </c>
      <c r="AP4">
        <v>10764</v>
      </c>
      <c r="AQ4">
        <v>0</v>
      </c>
      <c r="AR4">
        <v>1273</v>
      </c>
      <c r="AS4">
        <v>47</v>
      </c>
      <c r="AT4">
        <v>9405</v>
      </c>
      <c r="AU4">
        <v>2560</v>
      </c>
      <c r="AV4">
        <v>5054</v>
      </c>
      <c r="AW4">
        <v>16741</v>
      </c>
      <c r="AX4" s="88">
        <v>76</v>
      </c>
      <c r="AY4" s="88">
        <v>90</v>
      </c>
      <c r="AZ4" s="88">
        <v>955</v>
      </c>
      <c r="BA4" s="88">
        <v>0</v>
      </c>
      <c r="BB4">
        <v>252</v>
      </c>
      <c r="BC4">
        <v>238</v>
      </c>
      <c r="BD4">
        <v>0</v>
      </c>
      <c r="BE4">
        <v>0</v>
      </c>
      <c r="BF4">
        <v>7590</v>
      </c>
      <c r="BG4">
        <v>0</v>
      </c>
      <c r="BH4">
        <v>0</v>
      </c>
      <c r="BI4">
        <v>0</v>
      </c>
      <c r="BJ4">
        <v>49</v>
      </c>
      <c r="BK4">
        <v>5247</v>
      </c>
      <c r="BL4">
        <v>0</v>
      </c>
      <c r="BM4">
        <v>578</v>
      </c>
      <c r="BN4">
        <v>5</v>
      </c>
      <c r="BO4">
        <v>60462</v>
      </c>
      <c r="BP4">
        <v>82309</v>
      </c>
      <c r="BQ4">
        <v>334</v>
      </c>
      <c r="BR4">
        <v>94</v>
      </c>
      <c r="BS4">
        <v>11477</v>
      </c>
      <c r="BT4">
        <v>69</v>
      </c>
      <c r="BU4">
        <v>21</v>
      </c>
      <c r="BV4">
        <v>4</v>
      </c>
      <c r="BW4">
        <v>17</v>
      </c>
      <c r="BY4">
        <v>15</v>
      </c>
      <c r="BZ4">
        <v>0</v>
      </c>
      <c r="CA4">
        <v>23013</v>
      </c>
      <c r="CB4">
        <v>16353</v>
      </c>
      <c r="CC4">
        <v>142535</v>
      </c>
      <c r="CD4">
        <v>264229</v>
      </c>
      <c r="CE4">
        <v>26222</v>
      </c>
      <c r="CF4">
        <v>51046</v>
      </c>
      <c r="CG4">
        <v>0</v>
      </c>
      <c r="CH4">
        <v>45</v>
      </c>
      <c r="CI4">
        <v>5</v>
      </c>
      <c r="CJ4">
        <v>40</v>
      </c>
      <c r="CY4">
        <v>0</v>
      </c>
      <c r="CZ4">
        <v>0</v>
      </c>
      <c r="DA4">
        <v>0</v>
      </c>
      <c r="DB4">
        <v>16</v>
      </c>
      <c r="DC4">
        <v>0</v>
      </c>
      <c r="DD4">
        <v>30</v>
      </c>
      <c r="DF4" s="2"/>
      <c r="DG4" s="2">
        <f t="shared" ref="DG4:DG35" si="0">SUM(AX4:AY4,BC4:CP4,CU4:CX4)</f>
        <v>692163</v>
      </c>
      <c r="DH4" s="2">
        <f t="shared" ref="DH4:DH35" si="1">SUM(L4:M4,O4:AW4,AZ4:BB4,CQ4,CR5)</f>
        <v>269702</v>
      </c>
      <c r="DI4" s="2">
        <f t="shared" ref="DI4:DI7" si="2">SUM(DG4:DH4)</f>
        <v>961865</v>
      </c>
      <c r="DK4" s="2">
        <f t="shared" ref="DK4:DK35" si="3">SUM(L4:M4,O4:R4,T4:W4)</f>
        <v>57533</v>
      </c>
      <c r="DL4" s="2">
        <f t="shared" ref="DL4:DL35" si="4">SUM(X4:Y4,AA4:AE4,AG4:AL4,AN4,AR4:AV4,AZ4:BB4)</f>
        <v>151045</v>
      </c>
      <c r="DM4" s="2">
        <f t="shared" ref="DM4:DM35" si="5">S4</f>
        <v>11644</v>
      </c>
      <c r="DN4" s="2">
        <f t="shared" ref="DN4:DN35" si="6">AF4+AW4+AM4+AO4+AP4+AQ4</f>
        <v>49467</v>
      </c>
      <c r="DO4" s="2">
        <f t="shared" ref="DO4:DO35" si="7">SUM(AX4,BE4,BH4,BJ4,BN4,BQ4:BR4,BT4,BV4,BY4:CA4,CC4:CE4,CI4:CJ4)</f>
        <v>456690</v>
      </c>
      <c r="DP4" s="2">
        <f t="shared" ref="DP4:DP35" si="8">SUM(AY4,BC4:BD4,BG4,BM4,BP4,BS4,CW4:CX4)</f>
        <v>94692</v>
      </c>
      <c r="DQ4" s="2">
        <f t="shared" ref="DQ4:DQ35" si="9">SUM(CQ4+CR4+CW4+CX4)</f>
        <v>0</v>
      </c>
      <c r="DR4" s="2">
        <f t="shared" ref="DR4:DR35" si="10">CB4+CH4+Z4</f>
        <v>16411</v>
      </c>
      <c r="DS4" s="2">
        <f t="shared" ref="DS4:DS35" si="11">BO4+BU4</f>
        <v>60483</v>
      </c>
      <c r="DT4" s="2">
        <f t="shared" ref="DT4:DT35" si="12">BF4+BI4+BK4+BL4+BW4</f>
        <v>12854</v>
      </c>
      <c r="DU4" s="2"/>
      <c r="DV4" s="2"/>
      <c r="DW4" s="2"/>
      <c r="DX4" s="2">
        <f t="shared" ref="DX4:DX11" si="13">SUM(DK4:DT4)</f>
        <v>910819</v>
      </c>
      <c r="DZ4" s="2">
        <f t="shared" ref="DZ4:DZ35" si="14">DO4+DT4+G4+H4+I4+J4+CF4</f>
        <v>584000</v>
      </c>
      <c r="EA4" s="2">
        <f t="shared" ref="EA4:EA35" si="15">SUM(F4:K4,N4,CS4:CT4)</f>
        <v>64734</v>
      </c>
      <c r="EC4" s="2">
        <f t="shared" ref="EC4:EC35" si="16">EA4+DI4</f>
        <v>1026599</v>
      </c>
    </row>
    <row r="5" spans="1:133" x14ac:dyDescent="0.25">
      <c r="A5" s="13">
        <v>41852</v>
      </c>
      <c r="B5">
        <v>0</v>
      </c>
      <c r="C5">
        <v>0</v>
      </c>
      <c r="D5">
        <v>0</v>
      </c>
      <c r="E5">
        <v>0</v>
      </c>
      <c r="F5">
        <v>170</v>
      </c>
      <c r="G5">
        <v>16274</v>
      </c>
      <c r="H5">
        <v>35439</v>
      </c>
      <c r="I5">
        <v>3640</v>
      </c>
      <c r="J5">
        <v>7969</v>
      </c>
      <c r="K5">
        <v>1070</v>
      </c>
      <c r="L5">
        <v>24046</v>
      </c>
      <c r="M5">
        <v>1389</v>
      </c>
      <c r="N5" s="25">
        <v>0</v>
      </c>
      <c r="O5">
        <v>1463</v>
      </c>
      <c r="P5">
        <v>11563</v>
      </c>
      <c r="Q5">
        <v>308</v>
      </c>
      <c r="R5">
        <v>7390</v>
      </c>
      <c r="S5">
        <v>11627</v>
      </c>
      <c r="T5">
        <v>44</v>
      </c>
      <c r="U5">
        <v>1127</v>
      </c>
      <c r="V5">
        <v>298</v>
      </c>
      <c r="W5">
        <v>9670</v>
      </c>
      <c r="X5">
        <v>345</v>
      </c>
      <c r="Y5">
        <v>10</v>
      </c>
      <c r="Z5">
        <v>25</v>
      </c>
      <c r="AA5">
        <v>5</v>
      </c>
      <c r="AB5">
        <v>286</v>
      </c>
      <c r="AC5">
        <v>27</v>
      </c>
      <c r="AD5">
        <v>32</v>
      </c>
      <c r="AE5">
        <v>40</v>
      </c>
      <c r="AF5">
        <v>73</v>
      </c>
      <c r="AG5">
        <v>71</v>
      </c>
      <c r="AH5">
        <v>522</v>
      </c>
      <c r="AI5">
        <v>14</v>
      </c>
      <c r="AJ5">
        <v>13589</v>
      </c>
      <c r="AK5">
        <v>113806</v>
      </c>
      <c r="AL5">
        <v>2925</v>
      </c>
      <c r="AM5">
        <v>21930</v>
      </c>
      <c r="AN5">
        <v>20</v>
      </c>
      <c r="AO5">
        <v>0</v>
      </c>
      <c r="AP5">
        <v>10947</v>
      </c>
      <c r="AQ5">
        <v>0</v>
      </c>
      <c r="AR5">
        <v>1090</v>
      </c>
      <c r="AS5">
        <v>45</v>
      </c>
      <c r="AT5">
        <v>9601</v>
      </c>
      <c r="AU5">
        <v>2566</v>
      </c>
      <c r="AV5">
        <v>5079</v>
      </c>
      <c r="AW5">
        <v>16828</v>
      </c>
      <c r="AX5" s="88">
        <v>46</v>
      </c>
      <c r="AY5" s="88">
        <v>77</v>
      </c>
      <c r="AZ5" s="88">
        <v>967</v>
      </c>
      <c r="BA5" s="88">
        <v>0</v>
      </c>
      <c r="BB5">
        <v>257</v>
      </c>
      <c r="BC5">
        <v>258</v>
      </c>
      <c r="BD5">
        <v>0</v>
      </c>
      <c r="BE5">
        <v>0</v>
      </c>
      <c r="BF5">
        <v>7614</v>
      </c>
      <c r="BG5">
        <v>0</v>
      </c>
      <c r="BH5">
        <v>0</v>
      </c>
      <c r="BI5">
        <v>0</v>
      </c>
      <c r="BJ5">
        <v>49</v>
      </c>
      <c r="BK5">
        <v>5253</v>
      </c>
      <c r="BL5">
        <v>2</v>
      </c>
      <c r="BM5">
        <v>568</v>
      </c>
      <c r="BN5">
        <v>5</v>
      </c>
      <c r="BO5">
        <v>63292</v>
      </c>
      <c r="BP5">
        <v>81420</v>
      </c>
      <c r="BQ5">
        <v>338</v>
      </c>
      <c r="BR5">
        <v>88</v>
      </c>
      <c r="BS5">
        <v>12811</v>
      </c>
      <c r="BT5">
        <v>64</v>
      </c>
      <c r="BU5">
        <v>2</v>
      </c>
      <c r="BV5">
        <v>4</v>
      </c>
      <c r="BW5">
        <v>18</v>
      </c>
      <c r="BY5">
        <v>19</v>
      </c>
      <c r="BZ5">
        <v>0</v>
      </c>
      <c r="CA5">
        <v>22757</v>
      </c>
      <c r="CB5">
        <v>16677</v>
      </c>
      <c r="CC5">
        <v>141915</v>
      </c>
      <c r="CD5">
        <v>264335</v>
      </c>
      <c r="CE5">
        <v>26504</v>
      </c>
      <c r="CF5">
        <v>50421</v>
      </c>
      <c r="CG5">
        <v>0</v>
      </c>
      <c r="CH5">
        <v>38</v>
      </c>
      <c r="CI5">
        <v>4</v>
      </c>
      <c r="CJ5">
        <v>23</v>
      </c>
      <c r="CY5">
        <v>0</v>
      </c>
      <c r="CZ5">
        <v>0</v>
      </c>
      <c r="DA5">
        <v>0</v>
      </c>
      <c r="DB5">
        <v>16</v>
      </c>
      <c r="DC5">
        <v>0</v>
      </c>
      <c r="DD5">
        <v>29</v>
      </c>
      <c r="DF5" s="2"/>
      <c r="DG5" s="2">
        <f t="shared" si="0"/>
        <v>694602</v>
      </c>
      <c r="DH5" s="2">
        <f t="shared" si="1"/>
        <v>270025</v>
      </c>
      <c r="DI5" s="2">
        <f t="shared" si="2"/>
        <v>964627</v>
      </c>
      <c r="DK5" s="2">
        <f t="shared" si="3"/>
        <v>57298</v>
      </c>
      <c r="DL5" s="2">
        <f t="shared" si="4"/>
        <v>151297</v>
      </c>
      <c r="DM5" s="2">
        <f t="shared" si="5"/>
        <v>11627</v>
      </c>
      <c r="DN5" s="2">
        <f t="shared" si="6"/>
        <v>49778</v>
      </c>
      <c r="DO5" s="2">
        <f t="shared" si="7"/>
        <v>456151</v>
      </c>
      <c r="DP5" s="2">
        <f t="shared" si="8"/>
        <v>95134</v>
      </c>
      <c r="DQ5" s="2">
        <f t="shared" si="9"/>
        <v>0</v>
      </c>
      <c r="DR5" s="2">
        <f t="shared" si="10"/>
        <v>16740</v>
      </c>
      <c r="DS5" s="2">
        <f t="shared" si="11"/>
        <v>63294</v>
      </c>
      <c r="DT5" s="2">
        <f t="shared" si="12"/>
        <v>12887</v>
      </c>
      <c r="DU5" s="2"/>
      <c r="DV5" s="2"/>
      <c r="DW5" s="2"/>
      <c r="DX5" s="2">
        <f t="shared" si="13"/>
        <v>914206</v>
      </c>
      <c r="DZ5" s="2">
        <f t="shared" si="14"/>
        <v>582781</v>
      </c>
      <c r="EA5" s="2">
        <f t="shared" si="15"/>
        <v>64562</v>
      </c>
      <c r="EC5" s="2">
        <f t="shared" si="16"/>
        <v>1029189</v>
      </c>
    </row>
    <row r="6" spans="1:133" x14ac:dyDescent="0.25">
      <c r="A6" s="13">
        <v>41883</v>
      </c>
      <c r="B6">
        <v>0</v>
      </c>
      <c r="C6">
        <v>0</v>
      </c>
      <c r="D6">
        <v>0</v>
      </c>
      <c r="E6">
        <v>0</v>
      </c>
      <c r="F6">
        <v>83</v>
      </c>
      <c r="G6">
        <v>15995</v>
      </c>
      <c r="H6">
        <v>35707</v>
      </c>
      <c r="I6">
        <v>3295</v>
      </c>
      <c r="J6">
        <v>7475</v>
      </c>
      <c r="K6">
        <v>1087</v>
      </c>
      <c r="L6">
        <v>23985</v>
      </c>
      <c r="M6">
        <v>1370</v>
      </c>
      <c r="N6" s="25">
        <v>0</v>
      </c>
      <c r="O6">
        <v>1407</v>
      </c>
      <c r="P6">
        <v>11656</v>
      </c>
      <c r="Q6">
        <v>304</v>
      </c>
      <c r="R6">
        <v>7417</v>
      </c>
      <c r="S6">
        <v>11570</v>
      </c>
      <c r="T6">
        <v>38</v>
      </c>
      <c r="U6">
        <v>1171</v>
      </c>
      <c r="V6">
        <v>263</v>
      </c>
      <c r="W6">
        <v>9715</v>
      </c>
      <c r="X6">
        <v>350</v>
      </c>
      <c r="Y6">
        <v>10</v>
      </c>
      <c r="Z6">
        <v>13</v>
      </c>
      <c r="AA6">
        <v>6</v>
      </c>
      <c r="AB6">
        <v>291</v>
      </c>
      <c r="AC6">
        <v>25</v>
      </c>
      <c r="AD6">
        <v>33</v>
      </c>
      <c r="AE6">
        <v>41</v>
      </c>
      <c r="AF6">
        <v>73</v>
      </c>
      <c r="AG6">
        <v>64</v>
      </c>
      <c r="AH6">
        <v>543</v>
      </c>
      <c r="AI6">
        <v>14</v>
      </c>
      <c r="AJ6">
        <v>13667</v>
      </c>
      <c r="AK6">
        <v>113578</v>
      </c>
      <c r="AL6">
        <v>2874</v>
      </c>
      <c r="AM6">
        <v>21884</v>
      </c>
      <c r="AN6">
        <v>20</v>
      </c>
      <c r="AO6">
        <v>2</v>
      </c>
      <c r="AP6">
        <v>11140</v>
      </c>
      <c r="AQ6">
        <v>0</v>
      </c>
      <c r="AR6">
        <v>1044</v>
      </c>
      <c r="AS6">
        <v>43</v>
      </c>
      <c r="AT6">
        <v>9743</v>
      </c>
      <c r="AU6">
        <v>2555</v>
      </c>
      <c r="AV6">
        <v>5087</v>
      </c>
      <c r="AW6">
        <v>16800</v>
      </c>
      <c r="AX6" s="88">
        <v>45</v>
      </c>
      <c r="AY6" s="88">
        <v>78</v>
      </c>
      <c r="AZ6" s="88">
        <v>976</v>
      </c>
      <c r="BA6" s="88">
        <v>0</v>
      </c>
      <c r="BB6">
        <v>250</v>
      </c>
      <c r="BC6">
        <v>300</v>
      </c>
      <c r="BD6">
        <v>0</v>
      </c>
      <c r="BE6">
        <v>0</v>
      </c>
      <c r="BF6">
        <v>7606</v>
      </c>
      <c r="BG6">
        <v>0</v>
      </c>
      <c r="BH6">
        <v>0</v>
      </c>
      <c r="BI6">
        <v>0</v>
      </c>
      <c r="BJ6">
        <v>54</v>
      </c>
      <c r="BK6">
        <v>5254</v>
      </c>
      <c r="BL6">
        <v>2</v>
      </c>
      <c r="BM6">
        <v>561</v>
      </c>
      <c r="BN6">
        <v>5</v>
      </c>
      <c r="BO6">
        <v>65610</v>
      </c>
      <c r="BP6">
        <v>79541</v>
      </c>
      <c r="BQ6">
        <v>344</v>
      </c>
      <c r="BR6">
        <v>90</v>
      </c>
      <c r="BS6">
        <v>13969</v>
      </c>
      <c r="BT6">
        <v>67</v>
      </c>
      <c r="BU6">
        <v>2</v>
      </c>
      <c r="BV6">
        <v>4</v>
      </c>
      <c r="BW6">
        <v>16</v>
      </c>
      <c r="BY6">
        <v>18</v>
      </c>
      <c r="BZ6">
        <v>0</v>
      </c>
      <c r="CA6">
        <v>22275</v>
      </c>
      <c r="CB6">
        <v>16685</v>
      </c>
      <c r="CC6">
        <v>139508</v>
      </c>
      <c r="CD6">
        <v>261587</v>
      </c>
      <c r="CE6">
        <v>26361</v>
      </c>
      <c r="CF6">
        <v>48922</v>
      </c>
      <c r="CG6">
        <v>0</v>
      </c>
      <c r="CH6">
        <v>28</v>
      </c>
      <c r="CI6">
        <v>5</v>
      </c>
      <c r="CJ6">
        <v>13</v>
      </c>
      <c r="CY6">
        <v>0</v>
      </c>
      <c r="CZ6">
        <v>0</v>
      </c>
      <c r="DA6">
        <v>0</v>
      </c>
      <c r="DB6">
        <v>16</v>
      </c>
      <c r="DC6">
        <v>0</v>
      </c>
      <c r="DD6">
        <v>29</v>
      </c>
      <c r="DF6" s="2"/>
      <c r="DG6" s="2">
        <f t="shared" si="0"/>
        <v>688950</v>
      </c>
      <c r="DH6" s="2">
        <f t="shared" si="1"/>
        <v>270022</v>
      </c>
      <c r="DI6" s="2">
        <f t="shared" si="2"/>
        <v>958972</v>
      </c>
      <c r="DK6" s="2">
        <f t="shared" si="3"/>
        <v>57326</v>
      </c>
      <c r="DL6" s="2">
        <f t="shared" si="4"/>
        <v>151214</v>
      </c>
      <c r="DM6" s="2">
        <f t="shared" si="5"/>
        <v>11570</v>
      </c>
      <c r="DN6" s="2">
        <f t="shared" si="6"/>
        <v>49899</v>
      </c>
      <c r="DO6" s="2">
        <f t="shared" si="7"/>
        <v>450376</v>
      </c>
      <c r="DP6" s="2">
        <f t="shared" si="8"/>
        <v>94449</v>
      </c>
      <c r="DQ6" s="2">
        <f t="shared" si="9"/>
        <v>0</v>
      </c>
      <c r="DR6" s="2">
        <f t="shared" si="10"/>
        <v>16726</v>
      </c>
      <c r="DS6" s="2">
        <f t="shared" si="11"/>
        <v>65612</v>
      </c>
      <c r="DT6" s="2">
        <f t="shared" si="12"/>
        <v>12878</v>
      </c>
      <c r="DU6" s="2"/>
      <c r="DV6" s="2"/>
      <c r="DW6" s="2"/>
      <c r="DX6" s="2">
        <f t="shared" si="13"/>
        <v>910050</v>
      </c>
      <c r="DZ6" s="2">
        <f t="shared" si="14"/>
        <v>574648</v>
      </c>
      <c r="EA6" s="2">
        <f t="shared" si="15"/>
        <v>63642</v>
      </c>
      <c r="EC6" s="2">
        <f t="shared" si="16"/>
        <v>1022614</v>
      </c>
    </row>
    <row r="7" spans="1:133" x14ac:dyDescent="0.25">
      <c r="A7" s="13">
        <v>41913</v>
      </c>
      <c r="B7">
        <v>0</v>
      </c>
      <c r="C7">
        <v>0</v>
      </c>
      <c r="D7">
        <v>0</v>
      </c>
      <c r="E7">
        <v>0</v>
      </c>
      <c r="F7">
        <v>23</v>
      </c>
      <c r="G7">
        <v>15983</v>
      </c>
      <c r="H7">
        <v>36138</v>
      </c>
      <c r="I7">
        <v>3059</v>
      </c>
      <c r="J7">
        <v>7049</v>
      </c>
      <c r="K7">
        <v>1080</v>
      </c>
      <c r="L7">
        <v>23960</v>
      </c>
      <c r="M7">
        <v>1375</v>
      </c>
      <c r="N7" s="25">
        <v>0</v>
      </c>
      <c r="O7">
        <v>1359</v>
      </c>
      <c r="P7">
        <v>11767</v>
      </c>
      <c r="Q7">
        <v>301</v>
      </c>
      <c r="R7">
        <v>7392</v>
      </c>
      <c r="S7">
        <v>11579</v>
      </c>
      <c r="T7">
        <v>31</v>
      </c>
      <c r="U7">
        <v>1215</v>
      </c>
      <c r="V7">
        <v>248</v>
      </c>
      <c r="W7">
        <v>9885</v>
      </c>
      <c r="X7">
        <v>356</v>
      </c>
      <c r="Y7">
        <v>11</v>
      </c>
      <c r="Z7">
        <v>17</v>
      </c>
      <c r="AA7">
        <v>8</v>
      </c>
      <c r="AB7">
        <v>303</v>
      </c>
      <c r="AC7">
        <v>23</v>
      </c>
      <c r="AD7">
        <v>33</v>
      </c>
      <c r="AE7">
        <v>43</v>
      </c>
      <c r="AF7">
        <v>77</v>
      </c>
      <c r="AG7">
        <v>58</v>
      </c>
      <c r="AH7">
        <v>578</v>
      </c>
      <c r="AI7">
        <v>14</v>
      </c>
      <c r="AJ7">
        <v>13768</v>
      </c>
      <c r="AK7">
        <v>113772</v>
      </c>
      <c r="AL7">
        <v>2862</v>
      </c>
      <c r="AM7">
        <v>21815</v>
      </c>
      <c r="AN7">
        <v>21</v>
      </c>
      <c r="AO7">
        <v>3</v>
      </c>
      <c r="AP7">
        <v>11283</v>
      </c>
      <c r="AQ7">
        <v>0</v>
      </c>
      <c r="AR7">
        <v>1023</v>
      </c>
      <c r="AS7">
        <v>43</v>
      </c>
      <c r="AT7">
        <v>9882</v>
      </c>
      <c r="AU7">
        <v>2567</v>
      </c>
      <c r="AV7">
        <v>5127</v>
      </c>
      <c r="AW7">
        <v>16804</v>
      </c>
      <c r="AX7" s="88">
        <v>50</v>
      </c>
      <c r="AY7" s="88">
        <v>71</v>
      </c>
      <c r="AZ7" s="88">
        <v>958</v>
      </c>
      <c r="BA7" s="88">
        <v>0</v>
      </c>
      <c r="BB7">
        <v>244</v>
      </c>
      <c r="BC7">
        <v>331</v>
      </c>
      <c r="BD7">
        <v>0</v>
      </c>
      <c r="BE7">
        <v>0</v>
      </c>
      <c r="BF7">
        <v>7644</v>
      </c>
      <c r="BG7">
        <v>0</v>
      </c>
      <c r="BH7">
        <v>0</v>
      </c>
      <c r="BI7">
        <v>0</v>
      </c>
      <c r="BJ7">
        <v>59</v>
      </c>
      <c r="BK7">
        <v>5302</v>
      </c>
      <c r="BL7">
        <v>3</v>
      </c>
      <c r="BM7">
        <v>528</v>
      </c>
      <c r="BN7">
        <v>5</v>
      </c>
      <c r="BO7">
        <v>69148</v>
      </c>
      <c r="BP7">
        <v>79323</v>
      </c>
      <c r="BQ7">
        <v>326</v>
      </c>
      <c r="BR7">
        <v>100</v>
      </c>
      <c r="BS7">
        <v>15294</v>
      </c>
      <c r="BT7">
        <v>66</v>
      </c>
      <c r="BU7">
        <v>0</v>
      </c>
      <c r="BV7">
        <v>4</v>
      </c>
      <c r="BW7">
        <v>13</v>
      </c>
      <c r="BY7">
        <v>20</v>
      </c>
      <c r="BZ7">
        <v>0</v>
      </c>
      <c r="CA7">
        <v>22238</v>
      </c>
      <c r="CB7">
        <v>16528</v>
      </c>
      <c r="CC7">
        <v>139855</v>
      </c>
      <c r="CD7">
        <v>264884</v>
      </c>
      <c r="CE7">
        <v>27166</v>
      </c>
      <c r="CF7">
        <v>48799</v>
      </c>
      <c r="CG7">
        <v>0</v>
      </c>
      <c r="CH7">
        <v>28</v>
      </c>
      <c r="CI7">
        <v>5</v>
      </c>
      <c r="CJ7">
        <v>15</v>
      </c>
      <c r="CQ7">
        <v>4</v>
      </c>
      <c r="CY7">
        <v>0</v>
      </c>
      <c r="CZ7">
        <v>0</v>
      </c>
      <c r="DA7">
        <v>0</v>
      </c>
      <c r="DB7">
        <v>16</v>
      </c>
      <c r="DC7">
        <v>0</v>
      </c>
      <c r="DD7">
        <v>29</v>
      </c>
      <c r="DF7" s="2"/>
      <c r="DG7" s="2">
        <f t="shared" si="0"/>
        <v>697805</v>
      </c>
      <c r="DH7" s="2">
        <f t="shared" si="1"/>
        <v>270809</v>
      </c>
      <c r="DI7" s="2">
        <f t="shared" si="2"/>
        <v>968614</v>
      </c>
      <c r="DK7" s="2">
        <f t="shared" si="3"/>
        <v>57533</v>
      </c>
      <c r="DL7" s="2">
        <f t="shared" si="4"/>
        <v>151694</v>
      </c>
      <c r="DM7" s="2">
        <f t="shared" si="5"/>
        <v>11579</v>
      </c>
      <c r="DN7" s="2">
        <f t="shared" si="6"/>
        <v>49982</v>
      </c>
      <c r="DO7" s="2">
        <f t="shared" si="7"/>
        <v>454793</v>
      </c>
      <c r="DP7" s="2">
        <f t="shared" si="8"/>
        <v>95547</v>
      </c>
      <c r="DQ7" s="2">
        <f t="shared" si="9"/>
        <v>4</v>
      </c>
      <c r="DR7" s="2">
        <f t="shared" si="10"/>
        <v>16573</v>
      </c>
      <c r="DS7" s="2">
        <f t="shared" si="11"/>
        <v>69148</v>
      </c>
      <c r="DT7" s="2">
        <f t="shared" si="12"/>
        <v>12962</v>
      </c>
      <c r="DU7" s="2"/>
      <c r="DV7" s="2"/>
      <c r="DW7" s="2"/>
      <c r="DX7" s="2">
        <f t="shared" si="13"/>
        <v>919815</v>
      </c>
      <c r="DZ7" s="2">
        <f t="shared" si="14"/>
        <v>578783</v>
      </c>
      <c r="EA7" s="2">
        <f t="shared" si="15"/>
        <v>63332</v>
      </c>
      <c r="EC7" s="2">
        <f t="shared" si="16"/>
        <v>1031946</v>
      </c>
    </row>
    <row r="8" spans="1:133" x14ac:dyDescent="0.25">
      <c r="A8" s="13">
        <v>41944</v>
      </c>
      <c r="B8">
        <v>0</v>
      </c>
      <c r="C8">
        <v>0</v>
      </c>
      <c r="D8">
        <v>0</v>
      </c>
      <c r="E8">
        <v>0</v>
      </c>
      <c r="F8">
        <v>7</v>
      </c>
      <c r="G8">
        <v>15973</v>
      </c>
      <c r="H8">
        <v>36626</v>
      </c>
      <c r="I8">
        <v>2779</v>
      </c>
      <c r="J8">
        <v>6506</v>
      </c>
      <c r="K8">
        <v>944</v>
      </c>
      <c r="L8">
        <v>23956</v>
      </c>
      <c r="M8">
        <v>1389</v>
      </c>
      <c r="N8" s="25">
        <v>0</v>
      </c>
      <c r="O8">
        <v>1294</v>
      </c>
      <c r="P8">
        <v>11830</v>
      </c>
      <c r="Q8">
        <v>297</v>
      </c>
      <c r="R8">
        <v>7398</v>
      </c>
      <c r="S8">
        <v>11558</v>
      </c>
      <c r="T8">
        <v>33</v>
      </c>
      <c r="U8">
        <v>1250</v>
      </c>
      <c r="V8">
        <v>220</v>
      </c>
      <c r="W8">
        <v>9995</v>
      </c>
      <c r="X8">
        <v>357</v>
      </c>
      <c r="Y8">
        <v>10</v>
      </c>
      <c r="Z8">
        <v>15</v>
      </c>
      <c r="AA8">
        <v>7</v>
      </c>
      <c r="AB8">
        <v>304</v>
      </c>
      <c r="AC8">
        <v>24</v>
      </c>
      <c r="AD8">
        <v>34</v>
      </c>
      <c r="AE8">
        <v>42</v>
      </c>
      <c r="AF8">
        <v>78</v>
      </c>
      <c r="AG8">
        <v>55</v>
      </c>
      <c r="AH8">
        <v>618</v>
      </c>
      <c r="AI8">
        <v>14</v>
      </c>
      <c r="AJ8">
        <v>13913</v>
      </c>
      <c r="AK8">
        <v>113893</v>
      </c>
      <c r="AL8">
        <v>2859</v>
      </c>
      <c r="AM8">
        <v>21849</v>
      </c>
      <c r="AN8">
        <v>20</v>
      </c>
      <c r="AO8">
        <v>4</v>
      </c>
      <c r="AP8">
        <v>11476</v>
      </c>
      <c r="AQ8">
        <v>0</v>
      </c>
      <c r="AR8">
        <v>1067</v>
      </c>
      <c r="AS8">
        <v>43</v>
      </c>
      <c r="AT8">
        <v>10090</v>
      </c>
      <c r="AU8">
        <v>2579</v>
      </c>
      <c r="AV8">
        <v>5165</v>
      </c>
      <c r="AW8">
        <v>16794</v>
      </c>
      <c r="AX8" s="88">
        <v>50</v>
      </c>
      <c r="AY8" s="88">
        <v>62</v>
      </c>
      <c r="AZ8" s="88">
        <v>971</v>
      </c>
      <c r="BA8" s="88">
        <v>0</v>
      </c>
      <c r="BB8">
        <v>251</v>
      </c>
      <c r="BC8">
        <v>369</v>
      </c>
      <c r="BD8">
        <v>0</v>
      </c>
      <c r="BE8">
        <v>0</v>
      </c>
      <c r="BF8">
        <v>7671</v>
      </c>
      <c r="BG8">
        <v>0</v>
      </c>
      <c r="BH8">
        <v>0</v>
      </c>
      <c r="BI8">
        <v>0</v>
      </c>
      <c r="BJ8">
        <v>63</v>
      </c>
      <c r="BK8">
        <v>5340</v>
      </c>
      <c r="BL8">
        <v>2</v>
      </c>
      <c r="BM8">
        <v>535</v>
      </c>
      <c r="BN8">
        <v>5</v>
      </c>
      <c r="BO8">
        <v>73679</v>
      </c>
      <c r="BP8">
        <v>79089</v>
      </c>
      <c r="BQ8">
        <v>319</v>
      </c>
      <c r="BR8">
        <v>120</v>
      </c>
      <c r="BS8">
        <v>16938</v>
      </c>
      <c r="BT8">
        <v>73</v>
      </c>
      <c r="BU8">
        <v>0</v>
      </c>
      <c r="BV8">
        <v>4</v>
      </c>
      <c r="BW8">
        <v>13</v>
      </c>
      <c r="BY8">
        <v>18</v>
      </c>
      <c r="BZ8">
        <v>0</v>
      </c>
      <c r="CA8">
        <v>22270</v>
      </c>
      <c r="CB8">
        <v>16449</v>
      </c>
      <c r="CC8">
        <v>140311</v>
      </c>
      <c r="CD8">
        <v>268157</v>
      </c>
      <c r="CE8">
        <v>27896</v>
      </c>
      <c r="CF8">
        <v>48257</v>
      </c>
      <c r="CG8">
        <v>0</v>
      </c>
      <c r="CH8">
        <v>28</v>
      </c>
      <c r="CI8">
        <v>6</v>
      </c>
      <c r="CJ8">
        <v>19</v>
      </c>
      <c r="CQ8">
        <v>28</v>
      </c>
      <c r="CY8">
        <v>0</v>
      </c>
      <c r="CZ8">
        <v>0</v>
      </c>
      <c r="DA8">
        <v>0</v>
      </c>
      <c r="DB8">
        <v>16</v>
      </c>
      <c r="DC8">
        <v>0</v>
      </c>
      <c r="DD8">
        <v>29</v>
      </c>
      <c r="DF8" s="2"/>
      <c r="DG8" s="2">
        <f t="shared" si="0"/>
        <v>707743</v>
      </c>
      <c r="DH8" s="2">
        <f t="shared" si="1"/>
        <v>271780</v>
      </c>
      <c r="DI8" s="2">
        <f t="shared" ref="DI8:DI39" si="17">SUM(DG8:DH8)</f>
        <v>979523</v>
      </c>
      <c r="DK8" s="2">
        <f t="shared" si="3"/>
        <v>57662</v>
      </c>
      <c r="DL8" s="2">
        <f t="shared" si="4"/>
        <v>152316</v>
      </c>
      <c r="DM8" s="2">
        <f t="shared" si="5"/>
        <v>11558</v>
      </c>
      <c r="DN8" s="2">
        <f t="shared" si="6"/>
        <v>50201</v>
      </c>
      <c r="DO8" s="2">
        <f t="shared" si="7"/>
        <v>459311</v>
      </c>
      <c r="DP8" s="2">
        <f t="shared" si="8"/>
        <v>96993</v>
      </c>
      <c r="DQ8" s="2">
        <f t="shared" si="9"/>
        <v>28</v>
      </c>
      <c r="DR8" s="2">
        <f t="shared" si="10"/>
        <v>16492</v>
      </c>
      <c r="DS8" s="2">
        <f t="shared" si="11"/>
        <v>73679</v>
      </c>
      <c r="DT8" s="2">
        <f t="shared" si="12"/>
        <v>13026</v>
      </c>
      <c r="DU8" s="2"/>
      <c r="DV8" s="2"/>
      <c r="DW8" s="2"/>
      <c r="DX8" s="2">
        <f t="shared" si="13"/>
        <v>931266</v>
      </c>
      <c r="DZ8" s="2">
        <f t="shared" si="14"/>
        <v>582478</v>
      </c>
      <c r="EA8" s="2">
        <f t="shared" si="15"/>
        <v>62835</v>
      </c>
      <c r="EC8" s="2">
        <f t="shared" si="16"/>
        <v>1042358</v>
      </c>
    </row>
    <row r="9" spans="1:133" x14ac:dyDescent="0.25">
      <c r="A9" s="13">
        <v>41974</v>
      </c>
      <c r="B9">
        <v>0</v>
      </c>
      <c r="C9">
        <v>0</v>
      </c>
      <c r="D9">
        <v>0</v>
      </c>
      <c r="E9">
        <v>0</v>
      </c>
      <c r="F9">
        <v>3</v>
      </c>
      <c r="G9">
        <v>16020</v>
      </c>
      <c r="H9">
        <v>36977</v>
      </c>
      <c r="I9">
        <v>2508</v>
      </c>
      <c r="J9">
        <v>5911</v>
      </c>
      <c r="K9">
        <v>818</v>
      </c>
      <c r="L9">
        <v>23913</v>
      </c>
      <c r="M9">
        <v>1396</v>
      </c>
      <c r="N9" s="25">
        <v>0</v>
      </c>
      <c r="O9">
        <v>1272</v>
      </c>
      <c r="P9">
        <v>11836</v>
      </c>
      <c r="Q9">
        <v>295</v>
      </c>
      <c r="R9">
        <v>7381</v>
      </c>
      <c r="S9">
        <v>11547</v>
      </c>
      <c r="T9">
        <v>27</v>
      </c>
      <c r="U9">
        <v>1295</v>
      </c>
      <c r="V9">
        <v>207</v>
      </c>
      <c r="W9">
        <v>9969</v>
      </c>
      <c r="X9">
        <v>354</v>
      </c>
      <c r="Y9">
        <v>10</v>
      </c>
      <c r="Z9">
        <v>11</v>
      </c>
      <c r="AA9">
        <v>7</v>
      </c>
      <c r="AB9">
        <v>295</v>
      </c>
      <c r="AC9">
        <v>24</v>
      </c>
      <c r="AD9">
        <v>34</v>
      </c>
      <c r="AE9">
        <v>41</v>
      </c>
      <c r="AF9">
        <v>75</v>
      </c>
      <c r="AG9">
        <v>52</v>
      </c>
      <c r="AH9">
        <v>635</v>
      </c>
      <c r="AI9">
        <v>8</v>
      </c>
      <c r="AJ9">
        <v>13824</v>
      </c>
      <c r="AK9">
        <v>114000</v>
      </c>
      <c r="AL9">
        <v>2857</v>
      </c>
      <c r="AM9">
        <v>21755</v>
      </c>
      <c r="AN9">
        <v>18</v>
      </c>
      <c r="AO9">
        <v>4</v>
      </c>
      <c r="AP9">
        <v>11597</v>
      </c>
      <c r="AQ9">
        <v>0</v>
      </c>
      <c r="AR9">
        <v>1015</v>
      </c>
      <c r="AS9">
        <v>44</v>
      </c>
      <c r="AT9">
        <v>10253</v>
      </c>
      <c r="AU9">
        <v>2573</v>
      </c>
      <c r="AV9">
        <v>5171</v>
      </c>
      <c r="AW9">
        <v>16718</v>
      </c>
      <c r="AX9" s="88">
        <v>29</v>
      </c>
      <c r="AY9" s="88">
        <v>42</v>
      </c>
      <c r="AZ9" s="88">
        <v>964</v>
      </c>
      <c r="BA9" s="88">
        <v>0</v>
      </c>
      <c r="BB9">
        <v>242</v>
      </c>
      <c r="BC9">
        <v>390</v>
      </c>
      <c r="BD9">
        <v>0</v>
      </c>
      <c r="BE9">
        <v>0</v>
      </c>
      <c r="BF9">
        <v>7676</v>
      </c>
      <c r="BG9">
        <v>0</v>
      </c>
      <c r="BH9">
        <v>0</v>
      </c>
      <c r="BI9">
        <v>0</v>
      </c>
      <c r="BJ9">
        <v>62</v>
      </c>
      <c r="BK9">
        <v>5319</v>
      </c>
      <c r="BL9">
        <v>0</v>
      </c>
      <c r="BM9">
        <v>492</v>
      </c>
      <c r="BN9">
        <v>5</v>
      </c>
      <c r="BO9">
        <v>75438</v>
      </c>
      <c r="BP9">
        <v>78131</v>
      </c>
      <c r="BQ9">
        <v>282</v>
      </c>
      <c r="BR9">
        <v>127</v>
      </c>
      <c r="BS9">
        <v>18029</v>
      </c>
      <c r="BT9">
        <v>69</v>
      </c>
      <c r="BU9">
        <v>0</v>
      </c>
      <c r="BV9">
        <v>4</v>
      </c>
      <c r="BW9">
        <v>13</v>
      </c>
      <c r="BY9">
        <v>17</v>
      </c>
      <c r="BZ9">
        <v>0</v>
      </c>
      <c r="CA9">
        <v>21982</v>
      </c>
      <c r="CB9">
        <v>15917</v>
      </c>
      <c r="CC9">
        <v>138908</v>
      </c>
      <c r="CD9">
        <v>267819</v>
      </c>
      <c r="CE9">
        <v>27779</v>
      </c>
      <c r="CF9">
        <v>47393</v>
      </c>
      <c r="CG9">
        <v>0</v>
      </c>
      <c r="CH9">
        <v>21</v>
      </c>
      <c r="CI9">
        <v>6</v>
      </c>
      <c r="CJ9">
        <v>22</v>
      </c>
      <c r="CQ9">
        <v>39</v>
      </c>
      <c r="CY9">
        <v>0</v>
      </c>
      <c r="CZ9">
        <v>0</v>
      </c>
      <c r="DA9">
        <v>0</v>
      </c>
      <c r="DB9">
        <v>16</v>
      </c>
      <c r="DC9">
        <v>0</v>
      </c>
      <c r="DD9">
        <v>29</v>
      </c>
      <c r="DF9" s="2"/>
      <c r="DG9" s="2">
        <f t="shared" si="0"/>
        <v>705972</v>
      </c>
      <c r="DH9" s="2">
        <f t="shared" si="1"/>
        <v>271758</v>
      </c>
      <c r="DI9" s="2">
        <f t="shared" si="17"/>
        <v>977730</v>
      </c>
      <c r="DK9" s="2">
        <f t="shared" si="3"/>
        <v>57591</v>
      </c>
      <c r="DL9" s="2">
        <f t="shared" si="4"/>
        <v>152421</v>
      </c>
      <c r="DM9" s="2">
        <f t="shared" si="5"/>
        <v>11547</v>
      </c>
      <c r="DN9" s="2">
        <f t="shared" si="6"/>
        <v>50149</v>
      </c>
      <c r="DO9" s="2">
        <f t="shared" si="7"/>
        <v>457111</v>
      </c>
      <c r="DP9" s="2">
        <f t="shared" si="8"/>
        <v>97084</v>
      </c>
      <c r="DQ9" s="2">
        <f t="shared" si="9"/>
        <v>39</v>
      </c>
      <c r="DR9" s="2">
        <f t="shared" si="10"/>
        <v>15949</v>
      </c>
      <c r="DS9" s="2">
        <f t="shared" si="11"/>
        <v>75438</v>
      </c>
      <c r="DT9" s="2">
        <f t="shared" si="12"/>
        <v>13008</v>
      </c>
      <c r="DU9" s="2"/>
      <c r="DV9" s="2"/>
      <c r="DW9" s="2"/>
      <c r="DX9" s="2">
        <f t="shared" si="13"/>
        <v>930337</v>
      </c>
      <c r="DZ9" s="2">
        <f t="shared" si="14"/>
        <v>578928</v>
      </c>
      <c r="EA9" s="2">
        <f t="shared" si="15"/>
        <v>62237</v>
      </c>
      <c r="EC9" s="2">
        <f t="shared" si="16"/>
        <v>1039967</v>
      </c>
    </row>
    <row r="10" spans="1:133" x14ac:dyDescent="0.25">
      <c r="A10" s="13">
        <v>42005</v>
      </c>
      <c r="B10">
        <v>0</v>
      </c>
      <c r="C10">
        <v>0</v>
      </c>
      <c r="D10">
        <v>0</v>
      </c>
      <c r="E10">
        <v>0</v>
      </c>
      <c r="F10">
        <v>173</v>
      </c>
      <c r="G10">
        <v>15897</v>
      </c>
      <c r="H10">
        <v>37610</v>
      </c>
      <c r="I10">
        <v>2273</v>
      </c>
      <c r="J10">
        <v>5602</v>
      </c>
      <c r="K10">
        <v>652</v>
      </c>
      <c r="L10">
        <v>23858</v>
      </c>
      <c r="M10">
        <v>1402</v>
      </c>
      <c r="N10" s="25">
        <v>0</v>
      </c>
      <c r="O10">
        <v>1221</v>
      </c>
      <c r="P10">
        <v>11794</v>
      </c>
      <c r="Q10">
        <v>285</v>
      </c>
      <c r="R10">
        <v>7335</v>
      </c>
      <c r="S10">
        <v>11536</v>
      </c>
      <c r="T10">
        <v>27</v>
      </c>
      <c r="U10">
        <v>1333</v>
      </c>
      <c r="V10">
        <v>195</v>
      </c>
      <c r="W10">
        <v>9980</v>
      </c>
      <c r="X10">
        <v>352</v>
      </c>
      <c r="Y10">
        <v>11</v>
      </c>
      <c r="Z10">
        <v>16</v>
      </c>
      <c r="AA10">
        <v>6</v>
      </c>
      <c r="AB10">
        <v>293</v>
      </c>
      <c r="AC10">
        <v>24</v>
      </c>
      <c r="AD10">
        <v>35</v>
      </c>
      <c r="AE10">
        <v>43</v>
      </c>
      <c r="AF10">
        <v>79</v>
      </c>
      <c r="AG10">
        <v>48</v>
      </c>
      <c r="AH10">
        <v>651</v>
      </c>
      <c r="AI10">
        <v>9</v>
      </c>
      <c r="AJ10">
        <v>13853</v>
      </c>
      <c r="AK10">
        <v>114090</v>
      </c>
      <c r="AL10">
        <v>2862</v>
      </c>
      <c r="AM10">
        <v>21738</v>
      </c>
      <c r="AN10">
        <v>15</v>
      </c>
      <c r="AO10">
        <v>2</v>
      </c>
      <c r="AP10">
        <v>0</v>
      </c>
      <c r="AQ10">
        <v>0</v>
      </c>
      <c r="AR10">
        <v>922</v>
      </c>
      <c r="AS10">
        <v>46</v>
      </c>
      <c r="AT10">
        <v>10415</v>
      </c>
      <c r="AU10">
        <v>2586</v>
      </c>
      <c r="AV10">
        <v>5137</v>
      </c>
      <c r="AW10">
        <v>16774</v>
      </c>
      <c r="AX10" s="88">
        <v>34</v>
      </c>
      <c r="AY10" s="88">
        <v>52</v>
      </c>
      <c r="AZ10" s="88">
        <v>968</v>
      </c>
      <c r="BA10" s="88">
        <v>0</v>
      </c>
      <c r="BB10">
        <v>225</v>
      </c>
      <c r="BC10">
        <v>412</v>
      </c>
      <c r="BD10">
        <v>0</v>
      </c>
      <c r="BE10">
        <v>0</v>
      </c>
      <c r="BF10">
        <v>7691</v>
      </c>
      <c r="BG10">
        <v>0</v>
      </c>
      <c r="BH10">
        <v>0</v>
      </c>
      <c r="BI10">
        <v>0</v>
      </c>
      <c r="BJ10">
        <v>64</v>
      </c>
      <c r="BK10">
        <v>5346</v>
      </c>
      <c r="BL10">
        <v>0</v>
      </c>
      <c r="BM10">
        <v>449</v>
      </c>
      <c r="BN10">
        <v>5</v>
      </c>
      <c r="BO10">
        <v>76649</v>
      </c>
      <c r="BP10">
        <v>77123</v>
      </c>
      <c r="BQ10">
        <v>292</v>
      </c>
      <c r="BR10">
        <v>129</v>
      </c>
      <c r="BS10">
        <v>19107</v>
      </c>
      <c r="BT10">
        <v>67</v>
      </c>
      <c r="BU10">
        <v>0</v>
      </c>
      <c r="BV10">
        <v>4</v>
      </c>
      <c r="BW10">
        <v>13</v>
      </c>
      <c r="BY10">
        <v>18</v>
      </c>
      <c r="BZ10">
        <v>0</v>
      </c>
      <c r="CA10">
        <v>21830</v>
      </c>
      <c r="CB10">
        <v>15890</v>
      </c>
      <c r="CC10">
        <v>137851</v>
      </c>
      <c r="CD10">
        <v>268156</v>
      </c>
      <c r="CE10">
        <v>28071</v>
      </c>
      <c r="CF10">
        <v>46690</v>
      </c>
      <c r="CG10">
        <v>0</v>
      </c>
      <c r="CH10">
        <v>24</v>
      </c>
      <c r="CI10">
        <v>5</v>
      </c>
      <c r="CJ10">
        <v>23</v>
      </c>
      <c r="CQ10">
        <v>53</v>
      </c>
      <c r="CY10">
        <v>0</v>
      </c>
      <c r="CZ10">
        <v>0</v>
      </c>
      <c r="DA10">
        <v>0</v>
      </c>
      <c r="DB10">
        <v>16</v>
      </c>
      <c r="DC10">
        <v>0</v>
      </c>
      <c r="DD10">
        <v>29</v>
      </c>
      <c r="DF10" s="2"/>
      <c r="DG10" s="2">
        <f t="shared" si="0"/>
        <v>705995</v>
      </c>
      <c r="DH10" s="2">
        <f t="shared" si="1"/>
        <v>260219</v>
      </c>
      <c r="DI10" s="2">
        <f t="shared" si="17"/>
        <v>966214</v>
      </c>
      <c r="DK10" s="2">
        <f t="shared" si="3"/>
        <v>57430</v>
      </c>
      <c r="DL10" s="2">
        <f t="shared" si="4"/>
        <v>152591</v>
      </c>
      <c r="DM10" s="2">
        <f t="shared" si="5"/>
        <v>11536</v>
      </c>
      <c r="DN10" s="2">
        <f t="shared" si="6"/>
        <v>38593</v>
      </c>
      <c r="DO10" s="2">
        <f t="shared" si="7"/>
        <v>456549</v>
      </c>
      <c r="DP10" s="2">
        <f t="shared" si="8"/>
        <v>97143</v>
      </c>
      <c r="DQ10" s="2">
        <f t="shared" si="9"/>
        <v>53</v>
      </c>
      <c r="DR10" s="2">
        <f t="shared" si="10"/>
        <v>15930</v>
      </c>
      <c r="DS10" s="2">
        <f t="shared" si="11"/>
        <v>76649</v>
      </c>
      <c r="DT10" s="2">
        <f t="shared" si="12"/>
        <v>13050</v>
      </c>
      <c r="DU10" s="2"/>
      <c r="DV10" s="2"/>
      <c r="DW10" s="2"/>
      <c r="DX10" s="2">
        <f t="shared" si="13"/>
        <v>919524</v>
      </c>
      <c r="DZ10" s="2">
        <f t="shared" si="14"/>
        <v>577671</v>
      </c>
      <c r="EA10" s="2">
        <f t="shared" si="15"/>
        <v>62207</v>
      </c>
      <c r="EC10" s="2">
        <f t="shared" si="16"/>
        <v>1028421</v>
      </c>
    </row>
    <row r="11" spans="1:133" x14ac:dyDescent="0.25">
      <c r="A11" s="13">
        <v>42036</v>
      </c>
      <c r="B11">
        <v>0</v>
      </c>
      <c r="C11">
        <v>0</v>
      </c>
      <c r="D11">
        <v>0</v>
      </c>
      <c r="E11">
        <v>0</v>
      </c>
      <c r="F11">
        <v>326</v>
      </c>
      <c r="G11">
        <v>16294</v>
      </c>
      <c r="H11">
        <v>37844</v>
      </c>
      <c r="I11">
        <v>2165</v>
      </c>
      <c r="J11">
        <v>5261</v>
      </c>
      <c r="K11">
        <v>535</v>
      </c>
      <c r="L11">
        <v>23801</v>
      </c>
      <c r="M11">
        <v>1375</v>
      </c>
      <c r="N11">
        <v>4</v>
      </c>
      <c r="O11">
        <v>1203</v>
      </c>
      <c r="P11">
        <v>11733</v>
      </c>
      <c r="Q11">
        <v>284</v>
      </c>
      <c r="R11">
        <v>7291</v>
      </c>
      <c r="S11">
        <v>11578</v>
      </c>
      <c r="T11">
        <v>27</v>
      </c>
      <c r="U11">
        <v>1372</v>
      </c>
      <c r="V11">
        <v>193</v>
      </c>
      <c r="W11">
        <v>10096</v>
      </c>
      <c r="X11">
        <v>353</v>
      </c>
      <c r="Y11">
        <v>11</v>
      </c>
      <c r="Z11">
        <v>15</v>
      </c>
      <c r="AA11">
        <v>5</v>
      </c>
      <c r="AB11">
        <v>286</v>
      </c>
      <c r="AC11">
        <v>24</v>
      </c>
      <c r="AD11">
        <v>39</v>
      </c>
      <c r="AE11">
        <v>41</v>
      </c>
      <c r="AF11">
        <v>80</v>
      </c>
      <c r="AG11">
        <v>51</v>
      </c>
      <c r="AH11">
        <v>674</v>
      </c>
      <c r="AI11">
        <v>9</v>
      </c>
      <c r="AJ11">
        <v>13959</v>
      </c>
      <c r="AK11">
        <v>114330</v>
      </c>
      <c r="AL11">
        <v>2857</v>
      </c>
      <c r="AM11">
        <v>21823</v>
      </c>
      <c r="AN11">
        <v>15</v>
      </c>
      <c r="AO11">
        <v>4</v>
      </c>
      <c r="AP11">
        <v>8423</v>
      </c>
      <c r="AQ11">
        <v>0</v>
      </c>
      <c r="AR11">
        <v>835</v>
      </c>
      <c r="AS11">
        <v>48</v>
      </c>
      <c r="AT11">
        <v>10536</v>
      </c>
      <c r="AU11">
        <v>2579</v>
      </c>
      <c r="AV11">
        <v>5155</v>
      </c>
      <c r="AW11">
        <v>16851</v>
      </c>
      <c r="AX11" s="88">
        <v>56</v>
      </c>
      <c r="AY11" s="88">
        <v>87</v>
      </c>
      <c r="AZ11" s="88">
        <v>969</v>
      </c>
      <c r="BA11" s="88">
        <v>0</v>
      </c>
      <c r="BB11">
        <v>221</v>
      </c>
      <c r="BC11">
        <v>455</v>
      </c>
      <c r="BD11">
        <v>0</v>
      </c>
      <c r="BE11">
        <v>0</v>
      </c>
      <c r="BF11">
        <v>7703</v>
      </c>
      <c r="BG11">
        <v>0</v>
      </c>
      <c r="BH11">
        <v>0</v>
      </c>
      <c r="BI11">
        <v>0</v>
      </c>
      <c r="BJ11">
        <v>70</v>
      </c>
      <c r="BK11">
        <v>5354</v>
      </c>
      <c r="BL11">
        <v>0</v>
      </c>
      <c r="BM11">
        <v>424</v>
      </c>
      <c r="BN11">
        <v>5</v>
      </c>
      <c r="BO11">
        <v>81157</v>
      </c>
      <c r="BP11">
        <v>77442</v>
      </c>
      <c r="BQ11">
        <v>265</v>
      </c>
      <c r="BR11">
        <v>142</v>
      </c>
      <c r="BS11">
        <v>20304</v>
      </c>
      <c r="BT11">
        <v>65</v>
      </c>
      <c r="BU11">
        <v>0</v>
      </c>
      <c r="BV11">
        <v>4</v>
      </c>
      <c r="BW11">
        <v>12</v>
      </c>
      <c r="BX11">
        <v>112</v>
      </c>
      <c r="BY11">
        <v>14</v>
      </c>
      <c r="BZ11">
        <v>0</v>
      </c>
      <c r="CA11">
        <v>22060</v>
      </c>
      <c r="CB11">
        <v>16379</v>
      </c>
      <c r="CC11">
        <v>138725</v>
      </c>
      <c r="CD11">
        <v>271765</v>
      </c>
      <c r="CE11">
        <v>28501</v>
      </c>
      <c r="CF11">
        <v>46946</v>
      </c>
      <c r="CG11">
        <v>0</v>
      </c>
      <c r="CH11">
        <v>25</v>
      </c>
      <c r="CI11">
        <v>6</v>
      </c>
      <c r="CJ11">
        <v>18</v>
      </c>
      <c r="CQ11">
        <v>71</v>
      </c>
      <c r="CY11">
        <v>0</v>
      </c>
      <c r="CZ11">
        <v>0</v>
      </c>
      <c r="DA11">
        <v>0</v>
      </c>
      <c r="DB11">
        <v>16</v>
      </c>
      <c r="DC11">
        <v>0</v>
      </c>
      <c r="DD11">
        <v>29</v>
      </c>
      <c r="DF11" s="2"/>
      <c r="DG11" s="2">
        <f t="shared" si="0"/>
        <v>718096</v>
      </c>
      <c r="DH11" s="2">
        <f t="shared" si="1"/>
        <v>269217</v>
      </c>
      <c r="DI11" s="2">
        <f t="shared" si="17"/>
        <v>987313</v>
      </c>
      <c r="DK11" s="2">
        <f t="shared" si="3"/>
        <v>57375</v>
      </c>
      <c r="DL11" s="2">
        <f t="shared" si="4"/>
        <v>152997</v>
      </c>
      <c r="DM11" s="2">
        <f t="shared" si="5"/>
        <v>11578</v>
      </c>
      <c r="DN11" s="2">
        <f t="shared" si="6"/>
        <v>47181</v>
      </c>
      <c r="DO11" s="2">
        <f t="shared" si="7"/>
        <v>461696</v>
      </c>
      <c r="DP11" s="2">
        <f t="shared" si="8"/>
        <v>98712</v>
      </c>
      <c r="DQ11" s="2">
        <f t="shared" si="9"/>
        <v>71</v>
      </c>
      <c r="DR11" s="2">
        <f t="shared" si="10"/>
        <v>16419</v>
      </c>
      <c r="DS11" s="2">
        <f t="shared" si="11"/>
        <v>81157</v>
      </c>
      <c r="DT11" s="2">
        <f t="shared" si="12"/>
        <v>13069</v>
      </c>
      <c r="DU11" s="2"/>
      <c r="DV11" s="2"/>
      <c r="DW11" s="2"/>
      <c r="DX11" s="2">
        <f t="shared" si="13"/>
        <v>940255</v>
      </c>
      <c r="DZ11" s="2">
        <f t="shared" si="14"/>
        <v>583275</v>
      </c>
      <c r="EA11" s="2">
        <f t="shared" si="15"/>
        <v>62429</v>
      </c>
      <c r="EC11" s="2">
        <f t="shared" si="16"/>
        <v>1049742</v>
      </c>
    </row>
    <row r="12" spans="1:133" x14ac:dyDescent="0.25">
      <c r="A12" s="13">
        <v>42064</v>
      </c>
      <c r="B12">
        <v>0</v>
      </c>
      <c r="C12">
        <v>0</v>
      </c>
      <c r="D12">
        <v>0</v>
      </c>
      <c r="E12">
        <v>0</v>
      </c>
      <c r="F12">
        <v>493</v>
      </c>
      <c r="G12">
        <v>16228</v>
      </c>
      <c r="H12">
        <v>37790</v>
      </c>
      <c r="I12">
        <v>1964</v>
      </c>
      <c r="J12">
        <v>4820</v>
      </c>
      <c r="K12">
        <v>420</v>
      </c>
      <c r="L12">
        <v>23730</v>
      </c>
      <c r="M12">
        <v>1378</v>
      </c>
      <c r="N12">
        <v>17</v>
      </c>
      <c r="O12">
        <v>1164</v>
      </c>
      <c r="P12">
        <v>11658</v>
      </c>
      <c r="Q12">
        <v>284</v>
      </c>
      <c r="R12">
        <v>7230</v>
      </c>
      <c r="S12">
        <v>11562</v>
      </c>
      <c r="T12">
        <v>24</v>
      </c>
      <c r="U12">
        <v>1405</v>
      </c>
      <c r="V12">
        <v>189</v>
      </c>
      <c r="W12">
        <v>10172</v>
      </c>
      <c r="X12">
        <v>352</v>
      </c>
      <c r="Y12">
        <v>11</v>
      </c>
      <c r="Z12">
        <v>9</v>
      </c>
      <c r="AA12">
        <v>4</v>
      </c>
      <c r="AB12">
        <v>286</v>
      </c>
      <c r="AC12">
        <v>23</v>
      </c>
      <c r="AD12">
        <v>38</v>
      </c>
      <c r="AE12">
        <v>42</v>
      </c>
      <c r="AF12">
        <v>76</v>
      </c>
      <c r="AG12">
        <v>50</v>
      </c>
      <c r="AH12">
        <v>698</v>
      </c>
      <c r="AI12">
        <v>9</v>
      </c>
      <c r="AJ12">
        <v>13959</v>
      </c>
      <c r="AK12">
        <v>114481</v>
      </c>
      <c r="AL12">
        <v>2829</v>
      </c>
      <c r="AM12">
        <v>21897</v>
      </c>
      <c r="AN12">
        <v>17</v>
      </c>
      <c r="AO12">
        <v>6</v>
      </c>
      <c r="AP12">
        <v>9339</v>
      </c>
      <c r="AQ12">
        <v>0</v>
      </c>
      <c r="AR12">
        <v>833</v>
      </c>
      <c r="AS12">
        <v>46</v>
      </c>
      <c r="AT12">
        <v>10590</v>
      </c>
      <c r="AU12">
        <v>2593</v>
      </c>
      <c r="AV12">
        <v>5164</v>
      </c>
      <c r="AW12">
        <v>16876</v>
      </c>
      <c r="AX12" s="88">
        <v>38</v>
      </c>
      <c r="AY12" s="88">
        <v>66</v>
      </c>
      <c r="AZ12" s="88">
        <v>962</v>
      </c>
      <c r="BA12" s="88">
        <v>0</v>
      </c>
      <c r="BB12">
        <v>212</v>
      </c>
      <c r="BC12">
        <v>476</v>
      </c>
      <c r="BD12">
        <v>0</v>
      </c>
      <c r="BE12">
        <v>0</v>
      </c>
      <c r="BF12">
        <v>7704</v>
      </c>
      <c r="BG12">
        <v>0</v>
      </c>
      <c r="BH12">
        <v>0</v>
      </c>
      <c r="BI12">
        <v>0</v>
      </c>
      <c r="BJ12">
        <v>75</v>
      </c>
      <c r="BK12">
        <v>5320</v>
      </c>
      <c r="BL12">
        <v>0</v>
      </c>
      <c r="BM12">
        <v>386</v>
      </c>
      <c r="BN12">
        <v>3</v>
      </c>
      <c r="BO12">
        <v>86313</v>
      </c>
      <c r="BP12">
        <v>76978</v>
      </c>
      <c r="BQ12">
        <v>263</v>
      </c>
      <c r="BR12">
        <v>133</v>
      </c>
      <c r="BS12">
        <v>21317</v>
      </c>
      <c r="BT12">
        <v>67</v>
      </c>
      <c r="BU12">
        <v>1</v>
      </c>
      <c r="BV12">
        <v>5</v>
      </c>
      <c r="BW12">
        <v>11</v>
      </c>
      <c r="BX12">
        <v>696</v>
      </c>
      <c r="BY12">
        <v>15</v>
      </c>
      <c r="BZ12">
        <v>0</v>
      </c>
      <c r="CA12">
        <v>22118</v>
      </c>
      <c r="CB12">
        <v>16112</v>
      </c>
      <c r="CC12">
        <v>138906</v>
      </c>
      <c r="CD12">
        <v>273308</v>
      </c>
      <c r="CE12">
        <v>28580</v>
      </c>
      <c r="CF12">
        <v>47065</v>
      </c>
      <c r="CG12">
        <v>0</v>
      </c>
      <c r="CH12">
        <v>26</v>
      </c>
      <c r="CI12">
        <v>5</v>
      </c>
      <c r="CJ12">
        <v>17</v>
      </c>
      <c r="CQ12">
        <v>86</v>
      </c>
      <c r="CY12">
        <v>0</v>
      </c>
      <c r="CZ12">
        <v>0</v>
      </c>
      <c r="DA12">
        <v>0</v>
      </c>
      <c r="DB12">
        <v>15</v>
      </c>
      <c r="DC12">
        <v>0</v>
      </c>
      <c r="DD12">
        <v>28</v>
      </c>
      <c r="DF12" s="2"/>
      <c r="DG12" s="2">
        <f t="shared" si="0"/>
        <v>726004</v>
      </c>
      <c r="DH12" s="2">
        <f t="shared" si="1"/>
        <v>270284</v>
      </c>
      <c r="DI12" s="2">
        <f t="shared" si="17"/>
        <v>996288</v>
      </c>
      <c r="DK12" s="2">
        <f t="shared" si="3"/>
        <v>57234</v>
      </c>
      <c r="DL12" s="2">
        <f t="shared" si="4"/>
        <v>153199</v>
      </c>
      <c r="DM12" s="2">
        <f t="shared" si="5"/>
        <v>11562</v>
      </c>
      <c r="DN12" s="2">
        <f t="shared" si="6"/>
        <v>48194</v>
      </c>
      <c r="DO12" s="2">
        <f t="shared" si="7"/>
        <v>463533</v>
      </c>
      <c r="DP12" s="2">
        <f t="shared" si="8"/>
        <v>99223</v>
      </c>
      <c r="DQ12" s="2">
        <f t="shared" si="9"/>
        <v>86</v>
      </c>
      <c r="DR12" s="2">
        <f t="shared" si="10"/>
        <v>16147</v>
      </c>
      <c r="DS12" s="2">
        <f t="shared" si="11"/>
        <v>86314</v>
      </c>
      <c r="DT12" s="2">
        <f t="shared" si="12"/>
        <v>13035</v>
      </c>
      <c r="DU12" s="2"/>
      <c r="DV12" s="2"/>
      <c r="DW12" s="2"/>
      <c r="DX12" s="2">
        <f t="shared" ref="DX12:DX57" si="18">SUM(DK12:DT12)</f>
        <v>948527</v>
      </c>
      <c r="DZ12" s="2">
        <f t="shared" si="14"/>
        <v>584435</v>
      </c>
      <c r="EA12" s="2">
        <f t="shared" si="15"/>
        <v>61732</v>
      </c>
      <c r="EC12" s="2">
        <f t="shared" si="16"/>
        <v>1058020</v>
      </c>
    </row>
    <row r="13" spans="1:133" x14ac:dyDescent="0.25">
      <c r="A13" s="13">
        <v>42095</v>
      </c>
      <c r="B13">
        <v>0</v>
      </c>
      <c r="C13">
        <v>0</v>
      </c>
      <c r="D13">
        <v>0</v>
      </c>
      <c r="E13">
        <v>0</v>
      </c>
      <c r="F13">
        <v>658</v>
      </c>
      <c r="G13">
        <v>16165</v>
      </c>
      <c r="H13">
        <v>37360</v>
      </c>
      <c r="I13">
        <v>1743</v>
      </c>
      <c r="J13">
        <v>4400</v>
      </c>
      <c r="K13">
        <v>325</v>
      </c>
      <c r="L13">
        <v>23698</v>
      </c>
      <c r="M13">
        <v>1372</v>
      </c>
      <c r="N13">
        <v>34</v>
      </c>
      <c r="O13">
        <v>1172</v>
      </c>
      <c r="P13">
        <v>11704</v>
      </c>
      <c r="Q13">
        <v>280</v>
      </c>
      <c r="R13">
        <v>7215</v>
      </c>
      <c r="S13">
        <v>11574</v>
      </c>
      <c r="T13">
        <v>26</v>
      </c>
      <c r="U13">
        <v>1470</v>
      </c>
      <c r="V13">
        <v>198</v>
      </c>
      <c r="W13">
        <v>10338</v>
      </c>
      <c r="X13">
        <v>348</v>
      </c>
      <c r="Y13">
        <v>12</v>
      </c>
      <c r="Z13">
        <v>11</v>
      </c>
      <c r="AA13">
        <v>3</v>
      </c>
      <c r="AB13">
        <v>281</v>
      </c>
      <c r="AC13">
        <v>24</v>
      </c>
      <c r="AD13">
        <v>37</v>
      </c>
      <c r="AE13">
        <v>40</v>
      </c>
      <c r="AF13">
        <v>75</v>
      </c>
      <c r="AG13">
        <v>52</v>
      </c>
      <c r="AH13">
        <v>722</v>
      </c>
      <c r="AI13">
        <v>10</v>
      </c>
      <c r="AJ13">
        <v>14055</v>
      </c>
      <c r="AK13">
        <v>114805</v>
      </c>
      <c r="AL13">
        <v>2820</v>
      </c>
      <c r="AM13">
        <v>21952</v>
      </c>
      <c r="AN13">
        <v>19</v>
      </c>
      <c r="AO13">
        <v>10</v>
      </c>
      <c r="AP13">
        <v>9906</v>
      </c>
      <c r="AQ13">
        <v>0</v>
      </c>
      <c r="AR13">
        <v>863</v>
      </c>
      <c r="AS13">
        <v>47</v>
      </c>
      <c r="AT13">
        <v>10682</v>
      </c>
      <c r="AU13">
        <v>2616</v>
      </c>
      <c r="AV13">
        <v>5217</v>
      </c>
      <c r="AW13">
        <v>16912</v>
      </c>
      <c r="AX13" s="88">
        <v>56</v>
      </c>
      <c r="AY13" s="88">
        <v>71</v>
      </c>
      <c r="AZ13" s="88">
        <v>987</v>
      </c>
      <c r="BA13" s="88">
        <v>0</v>
      </c>
      <c r="BB13">
        <v>211</v>
      </c>
      <c r="BC13">
        <v>504</v>
      </c>
      <c r="BD13">
        <v>0</v>
      </c>
      <c r="BE13">
        <v>0</v>
      </c>
      <c r="BF13">
        <v>7727</v>
      </c>
      <c r="BG13">
        <v>0</v>
      </c>
      <c r="BH13">
        <v>0</v>
      </c>
      <c r="BI13">
        <v>0</v>
      </c>
      <c r="BJ13">
        <v>76</v>
      </c>
      <c r="BK13">
        <v>5315</v>
      </c>
      <c r="BL13">
        <v>1</v>
      </c>
      <c r="BM13">
        <v>404</v>
      </c>
      <c r="BN13">
        <v>3</v>
      </c>
      <c r="BO13">
        <v>91901</v>
      </c>
      <c r="BP13">
        <v>77743</v>
      </c>
      <c r="BQ13">
        <v>240</v>
      </c>
      <c r="BR13">
        <v>139</v>
      </c>
      <c r="BS13">
        <v>22456</v>
      </c>
      <c r="BT13">
        <v>69</v>
      </c>
      <c r="BU13">
        <v>1</v>
      </c>
      <c r="BV13">
        <v>2</v>
      </c>
      <c r="BW13">
        <v>12</v>
      </c>
      <c r="BX13">
        <v>1671</v>
      </c>
      <c r="BY13">
        <v>17</v>
      </c>
      <c r="BZ13">
        <v>0</v>
      </c>
      <c r="CA13">
        <v>22319</v>
      </c>
      <c r="CB13">
        <v>16330</v>
      </c>
      <c r="CC13">
        <v>140498</v>
      </c>
      <c r="CD13">
        <v>276617</v>
      </c>
      <c r="CE13">
        <v>29293</v>
      </c>
      <c r="CF13">
        <v>47507</v>
      </c>
      <c r="CG13">
        <v>0</v>
      </c>
      <c r="CH13">
        <v>26</v>
      </c>
      <c r="CI13">
        <v>6</v>
      </c>
      <c r="CJ13">
        <v>19</v>
      </c>
      <c r="CQ13">
        <v>97</v>
      </c>
      <c r="CY13">
        <v>0</v>
      </c>
      <c r="CZ13">
        <v>0</v>
      </c>
      <c r="DA13">
        <v>0</v>
      </c>
      <c r="DB13">
        <v>15</v>
      </c>
      <c r="DC13">
        <v>0</v>
      </c>
      <c r="DD13">
        <v>28</v>
      </c>
      <c r="DF13" s="2"/>
      <c r="DG13" s="2">
        <f t="shared" si="0"/>
        <v>741023</v>
      </c>
      <c r="DH13" s="2">
        <f t="shared" si="1"/>
        <v>271862</v>
      </c>
      <c r="DI13" s="2">
        <f t="shared" si="17"/>
        <v>1012885</v>
      </c>
      <c r="DK13" s="2">
        <f t="shared" si="3"/>
        <v>57473</v>
      </c>
      <c r="DL13" s="2">
        <f t="shared" si="4"/>
        <v>153851</v>
      </c>
      <c r="DM13" s="2">
        <f t="shared" si="5"/>
        <v>11574</v>
      </c>
      <c r="DN13" s="2">
        <f t="shared" si="6"/>
        <v>48855</v>
      </c>
      <c r="DO13" s="2">
        <f t="shared" si="7"/>
        <v>469354</v>
      </c>
      <c r="DP13" s="2">
        <f t="shared" si="8"/>
        <v>101178</v>
      </c>
      <c r="DQ13" s="2">
        <f t="shared" si="9"/>
        <v>97</v>
      </c>
      <c r="DR13" s="2">
        <f t="shared" si="10"/>
        <v>16367</v>
      </c>
      <c r="DS13" s="2">
        <f t="shared" si="11"/>
        <v>91902</v>
      </c>
      <c r="DT13" s="2">
        <f t="shared" si="12"/>
        <v>13055</v>
      </c>
      <c r="DU13" s="2"/>
      <c r="DV13" s="2"/>
      <c r="DW13" s="2"/>
      <c r="DX13" s="2">
        <f t="shared" si="18"/>
        <v>963706</v>
      </c>
      <c r="DZ13" s="2">
        <f t="shared" si="14"/>
        <v>589584</v>
      </c>
      <c r="EA13" s="2">
        <f t="shared" si="15"/>
        <v>60685</v>
      </c>
      <c r="EC13" s="2">
        <f t="shared" si="16"/>
        <v>1073570</v>
      </c>
    </row>
    <row r="14" spans="1:133" x14ac:dyDescent="0.25">
      <c r="A14" s="13">
        <v>42125</v>
      </c>
      <c r="B14">
        <v>0</v>
      </c>
      <c r="C14">
        <v>0</v>
      </c>
      <c r="D14">
        <v>0</v>
      </c>
      <c r="E14">
        <v>0</v>
      </c>
      <c r="F14">
        <v>807</v>
      </c>
      <c r="G14">
        <v>15843</v>
      </c>
      <c r="H14">
        <v>36146</v>
      </c>
      <c r="I14">
        <v>1552</v>
      </c>
      <c r="J14">
        <v>3773</v>
      </c>
      <c r="K14">
        <v>276</v>
      </c>
      <c r="L14">
        <v>23592</v>
      </c>
      <c r="M14">
        <v>1366</v>
      </c>
      <c r="N14">
        <v>55</v>
      </c>
      <c r="O14">
        <v>1136</v>
      </c>
      <c r="P14">
        <v>11670</v>
      </c>
      <c r="Q14">
        <v>277</v>
      </c>
      <c r="R14">
        <v>7139</v>
      </c>
      <c r="S14">
        <v>11572</v>
      </c>
      <c r="T14">
        <v>27</v>
      </c>
      <c r="U14">
        <v>1507</v>
      </c>
      <c r="V14">
        <v>186</v>
      </c>
      <c r="W14">
        <v>10457</v>
      </c>
      <c r="X14">
        <v>350</v>
      </c>
      <c r="Y14">
        <v>12</v>
      </c>
      <c r="Z14">
        <v>15</v>
      </c>
      <c r="AA14">
        <v>3</v>
      </c>
      <c r="AB14">
        <v>274</v>
      </c>
      <c r="AC14">
        <v>24</v>
      </c>
      <c r="AD14">
        <v>38</v>
      </c>
      <c r="AE14">
        <v>40</v>
      </c>
      <c r="AF14">
        <v>74</v>
      </c>
      <c r="AG14">
        <v>58</v>
      </c>
      <c r="AH14">
        <v>741</v>
      </c>
      <c r="AI14">
        <v>12</v>
      </c>
      <c r="AJ14">
        <v>14061</v>
      </c>
      <c r="AK14">
        <v>114860</v>
      </c>
      <c r="AL14">
        <v>2830</v>
      </c>
      <c r="AM14">
        <v>21990</v>
      </c>
      <c r="AN14">
        <v>17</v>
      </c>
      <c r="AO14">
        <v>5</v>
      </c>
      <c r="AP14">
        <v>10286</v>
      </c>
      <c r="AQ14">
        <v>0</v>
      </c>
      <c r="AR14">
        <v>886</v>
      </c>
      <c r="AS14">
        <v>48</v>
      </c>
      <c r="AT14">
        <v>10793</v>
      </c>
      <c r="AU14">
        <v>2615</v>
      </c>
      <c r="AV14">
        <v>5176</v>
      </c>
      <c r="AW14">
        <v>16982</v>
      </c>
      <c r="AX14" s="88">
        <v>30</v>
      </c>
      <c r="AY14" s="88">
        <v>50</v>
      </c>
      <c r="AZ14" s="88">
        <v>993</v>
      </c>
      <c r="BA14" s="88">
        <v>0</v>
      </c>
      <c r="BB14">
        <v>224</v>
      </c>
      <c r="BC14">
        <v>524</v>
      </c>
      <c r="BD14">
        <v>0</v>
      </c>
      <c r="BE14">
        <v>0</v>
      </c>
      <c r="BF14">
        <v>7714</v>
      </c>
      <c r="BG14">
        <v>0</v>
      </c>
      <c r="BH14">
        <v>0</v>
      </c>
      <c r="BI14">
        <v>0</v>
      </c>
      <c r="BJ14">
        <v>76</v>
      </c>
      <c r="BK14">
        <v>5328</v>
      </c>
      <c r="BL14">
        <v>0</v>
      </c>
      <c r="BM14">
        <v>375</v>
      </c>
      <c r="BN14">
        <v>3</v>
      </c>
      <c r="BO14">
        <v>96147</v>
      </c>
      <c r="BP14">
        <v>77853</v>
      </c>
      <c r="BQ14">
        <v>238</v>
      </c>
      <c r="BR14">
        <v>144</v>
      </c>
      <c r="BS14">
        <v>22951</v>
      </c>
      <c r="BT14">
        <v>71</v>
      </c>
      <c r="BU14">
        <v>4</v>
      </c>
      <c r="BV14">
        <v>3</v>
      </c>
      <c r="BW14">
        <v>12</v>
      </c>
      <c r="BX14">
        <v>2464</v>
      </c>
      <c r="BY14">
        <v>15</v>
      </c>
      <c r="BZ14">
        <v>0</v>
      </c>
      <c r="CA14">
        <v>22636</v>
      </c>
      <c r="CB14">
        <v>16705</v>
      </c>
      <c r="CC14">
        <v>141192</v>
      </c>
      <c r="CD14">
        <v>278433</v>
      </c>
      <c r="CE14">
        <v>29597</v>
      </c>
      <c r="CF14">
        <v>48182</v>
      </c>
      <c r="CG14">
        <v>0</v>
      </c>
      <c r="CH14">
        <v>22</v>
      </c>
      <c r="CI14">
        <v>5</v>
      </c>
      <c r="CJ14">
        <v>20</v>
      </c>
      <c r="CQ14">
        <v>112</v>
      </c>
      <c r="CR14">
        <v>1</v>
      </c>
      <c r="CY14">
        <v>0</v>
      </c>
      <c r="CZ14">
        <v>0</v>
      </c>
      <c r="DA14">
        <v>0</v>
      </c>
      <c r="DB14">
        <v>15</v>
      </c>
      <c r="DC14">
        <v>0</v>
      </c>
      <c r="DD14">
        <v>28</v>
      </c>
      <c r="DF14" s="2"/>
      <c r="DG14" s="2">
        <f t="shared" si="0"/>
        <v>750794</v>
      </c>
      <c r="DH14" s="2">
        <f t="shared" si="1"/>
        <v>272448</v>
      </c>
      <c r="DI14" s="2">
        <f t="shared" si="17"/>
        <v>1023242</v>
      </c>
      <c r="DK14" s="2">
        <f t="shared" si="3"/>
        <v>57357</v>
      </c>
      <c r="DL14" s="2">
        <f t="shared" si="4"/>
        <v>154055</v>
      </c>
      <c r="DM14" s="2">
        <f t="shared" si="5"/>
        <v>11572</v>
      </c>
      <c r="DN14" s="2">
        <f t="shared" si="6"/>
        <v>49337</v>
      </c>
      <c r="DO14" s="2">
        <f t="shared" si="7"/>
        <v>472463</v>
      </c>
      <c r="DP14" s="2">
        <f t="shared" si="8"/>
        <v>101753</v>
      </c>
      <c r="DQ14" s="2">
        <f t="shared" si="9"/>
        <v>113</v>
      </c>
      <c r="DR14" s="2">
        <f t="shared" si="10"/>
        <v>16742</v>
      </c>
      <c r="DS14" s="2">
        <f t="shared" si="11"/>
        <v>96151</v>
      </c>
      <c r="DT14" s="2">
        <f t="shared" si="12"/>
        <v>13054</v>
      </c>
      <c r="DU14" s="2"/>
      <c r="DV14" s="2"/>
      <c r="DW14" s="2"/>
      <c r="DX14" s="2">
        <f t="shared" si="18"/>
        <v>972597</v>
      </c>
      <c r="DZ14" s="2">
        <f t="shared" si="14"/>
        <v>591013</v>
      </c>
      <c r="EA14" s="2">
        <f t="shared" si="15"/>
        <v>58452</v>
      </c>
      <c r="EC14" s="2">
        <f t="shared" si="16"/>
        <v>1081694</v>
      </c>
    </row>
    <row r="15" spans="1:133" x14ac:dyDescent="0.25">
      <c r="A15" s="13">
        <v>42156</v>
      </c>
      <c r="B15">
        <v>0</v>
      </c>
      <c r="C15">
        <v>0</v>
      </c>
      <c r="D15">
        <v>0</v>
      </c>
      <c r="E15">
        <v>0</v>
      </c>
      <c r="F15">
        <v>885</v>
      </c>
      <c r="G15">
        <v>15800</v>
      </c>
      <c r="H15">
        <v>36089</v>
      </c>
      <c r="I15">
        <v>1421</v>
      </c>
      <c r="J15">
        <v>3418</v>
      </c>
      <c r="K15">
        <v>249</v>
      </c>
      <c r="L15">
        <v>23526</v>
      </c>
      <c r="M15">
        <v>1359</v>
      </c>
      <c r="N15">
        <v>76</v>
      </c>
      <c r="O15">
        <v>1124</v>
      </c>
      <c r="P15">
        <v>11577</v>
      </c>
      <c r="Q15">
        <v>274</v>
      </c>
      <c r="R15">
        <v>7076</v>
      </c>
      <c r="S15">
        <v>11540</v>
      </c>
      <c r="T15">
        <v>32</v>
      </c>
      <c r="U15">
        <v>1573</v>
      </c>
      <c r="V15">
        <v>186</v>
      </c>
      <c r="W15">
        <v>10447</v>
      </c>
      <c r="X15">
        <v>350</v>
      </c>
      <c r="Y15">
        <v>12</v>
      </c>
      <c r="Z15">
        <v>10</v>
      </c>
      <c r="AA15">
        <v>3</v>
      </c>
      <c r="AB15">
        <v>268</v>
      </c>
      <c r="AC15">
        <v>23</v>
      </c>
      <c r="AD15">
        <v>39</v>
      </c>
      <c r="AE15">
        <v>35</v>
      </c>
      <c r="AF15">
        <v>77</v>
      </c>
      <c r="AG15">
        <v>58</v>
      </c>
      <c r="AH15">
        <v>769</v>
      </c>
      <c r="AI15">
        <v>13</v>
      </c>
      <c r="AJ15">
        <v>14021</v>
      </c>
      <c r="AK15">
        <v>114789</v>
      </c>
      <c r="AL15">
        <v>2814</v>
      </c>
      <c r="AM15">
        <v>21928</v>
      </c>
      <c r="AN15">
        <v>17</v>
      </c>
      <c r="AO15">
        <v>5</v>
      </c>
      <c r="AP15">
        <v>10553</v>
      </c>
      <c r="AQ15">
        <v>0</v>
      </c>
      <c r="AR15">
        <v>915</v>
      </c>
      <c r="AS15">
        <v>47</v>
      </c>
      <c r="AT15">
        <v>10906</v>
      </c>
      <c r="AU15">
        <v>2628</v>
      </c>
      <c r="AV15">
        <v>5180</v>
      </c>
      <c r="AW15">
        <v>16948</v>
      </c>
      <c r="AX15" s="88">
        <v>27</v>
      </c>
      <c r="AY15" s="88">
        <v>33</v>
      </c>
      <c r="AZ15" s="88">
        <v>994</v>
      </c>
      <c r="BA15" s="88">
        <v>0</v>
      </c>
      <c r="BB15">
        <v>228</v>
      </c>
      <c r="BC15">
        <v>544</v>
      </c>
      <c r="BD15">
        <v>0</v>
      </c>
      <c r="BE15">
        <v>0</v>
      </c>
      <c r="BF15">
        <v>7701</v>
      </c>
      <c r="BG15">
        <v>0</v>
      </c>
      <c r="BH15">
        <v>0</v>
      </c>
      <c r="BI15">
        <v>0</v>
      </c>
      <c r="BJ15">
        <v>75</v>
      </c>
      <c r="BK15">
        <v>5340</v>
      </c>
      <c r="BL15">
        <v>0</v>
      </c>
      <c r="BM15">
        <v>333</v>
      </c>
      <c r="BN15">
        <v>3</v>
      </c>
      <c r="BO15">
        <v>99698</v>
      </c>
      <c r="BP15">
        <v>77930</v>
      </c>
      <c r="BQ15">
        <v>227</v>
      </c>
      <c r="BR15">
        <v>134</v>
      </c>
      <c r="BS15">
        <v>23092</v>
      </c>
      <c r="BT15">
        <v>78</v>
      </c>
      <c r="BU15">
        <v>0</v>
      </c>
      <c r="BV15">
        <v>3</v>
      </c>
      <c r="BW15">
        <v>12</v>
      </c>
      <c r="BX15">
        <v>3154</v>
      </c>
      <c r="BY15">
        <v>14</v>
      </c>
      <c r="BZ15">
        <v>0</v>
      </c>
      <c r="CA15">
        <v>22991</v>
      </c>
      <c r="CB15">
        <v>16531</v>
      </c>
      <c r="CC15">
        <v>141319</v>
      </c>
      <c r="CD15">
        <v>280510</v>
      </c>
      <c r="CE15">
        <v>29361</v>
      </c>
      <c r="CF15">
        <v>48765</v>
      </c>
      <c r="CG15">
        <v>0</v>
      </c>
      <c r="CH15">
        <v>26</v>
      </c>
      <c r="CI15">
        <v>4</v>
      </c>
      <c r="CJ15">
        <v>21</v>
      </c>
      <c r="CQ15">
        <v>117</v>
      </c>
      <c r="CR15">
        <v>0</v>
      </c>
      <c r="CY15">
        <v>0</v>
      </c>
      <c r="CZ15">
        <v>0</v>
      </c>
      <c r="DA15">
        <v>0</v>
      </c>
      <c r="DB15">
        <v>15</v>
      </c>
      <c r="DC15">
        <v>0</v>
      </c>
      <c r="DD15">
        <v>28</v>
      </c>
      <c r="DF15" s="2"/>
      <c r="DG15" s="2">
        <f t="shared" si="0"/>
        <v>757926</v>
      </c>
      <c r="DH15" s="2">
        <f t="shared" si="1"/>
        <v>272462</v>
      </c>
      <c r="DI15" s="2">
        <f t="shared" si="17"/>
        <v>1030388</v>
      </c>
      <c r="DK15" s="2">
        <f t="shared" si="3"/>
        <v>57174</v>
      </c>
      <c r="DL15" s="2">
        <f t="shared" si="4"/>
        <v>154109</v>
      </c>
      <c r="DM15" s="2">
        <f t="shared" si="5"/>
        <v>11540</v>
      </c>
      <c r="DN15" s="2">
        <f t="shared" si="6"/>
        <v>49511</v>
      </c>
      <c r="DO15" s="2">
        <f t="shared" si="7"/>
        <v>474767</v>
      </c>
      <c r="DP15" s="2">
        <f t="shared" si="8"/>
        <v>101932</v>
      </c>
      <c r="DQ15" s="2">
        <f t="shared" si="9"/>
        <v>117</v>
      </c>
      <c r="DR15" s="2">
        <f t="shared" si="10"/>
        <v>16567</v>
      </c>
      <c r="DS15" s="2">
        <f t="shared" si="11"/>
        <v>99698</v>
      </c>
      <c r="DT15" s="2">
        <f t="shared" si="12"/>
        <v>13053</v>
      </c>
      <c r="DU15" s="2"/>
      <c r="DV15" s="2"/>
      <c r="DW15" s="2"/>
      <c r="DX15" s="2">
        <f t="shared" si="18"/>
        <v>978468</v>
      </c>
      <c r="DZ15" s="2">
        <f t="shared" si="14"/>
        <v>593313</v>
      </c>
      <c r="EA15" s="2">
        <f t="shared" si="15"/>
        <v>57938</v>
      </c>
      <c r="EC15" s="2">
        <f t="shared" si="16"/>
        <v>1088326</v>
      </c>
    </row>
    <row r="16" spans="1:133" x14ac:dyDescent="0.25">
      <c r="A16" s="13">
        <v>42186</v>
      </c>
      <c r="B16">
        <v>0</v>
      </c>
      <c r="C16">
        <v>0</v>
      </c>
      <c r="D16">
        <v>0</v>
      </c>
      <c r="E16">
        <v>0</v>
      </c>
      <c r="F16">
        <v>937</v>
      </c>
      <c r="G16">
        <v>16016</v>
      </c>
      <c r="H16">
        <v>36755</v>
      </c>
      <c r="I16">
        <v>1354</v>
      </c>
      <c r="J16">
        <v>3204</v>
      </c>
      <c r="K16">
        <v>255</v>
      </c>
      <c r="L16">
        <v>23503</v>
      </c>
      <c r="M16">
        <v>1356</v>
      </c>
      <c r="N16">
        <v>111</v>
      </c>
      <c r="O16">
        <v>1118</v>
      </c>
      <c r="P16">
        <v>11338</v>
      </c>
      <c r="Q16">
        <v>280</v>
      </c>
      <c r="R16">
        <v>7146</v>
      </c>
      <c r="S16">
        <v>11517</v>
      </c>
      <c r="T16">
        <v>34</v>
      </c>
      <c r="U16">
        <v>1872</v>
      </c>
      <c r="V16">
        <v>174</v>
      </c>
      <c r="W16">
        <v>10553</v>
      </c>
      <c r="X16">
        <v>349</v>
      </c>
      <c r="Y16">
        <v>13</v>
      </c>
      <c r="Z16">
        <v>10</v>
      </c>
      <c r="AA16">
        <v>3</v>
      </c>
      <c r="AB16">
        <v>260</v>
      </c>
      <c r="AC16">
        <v>24</v>
      </c>
      <c r="AD16">
        <v>40</v>
      </c>
      <c r="AE16">
        <v>38</v>
      </c>
      <c r="AF16">
        <v>74</v>
      </c>
      <c r="AG16">
        <v>58</v>
      </c>
      <c r="AH16">
        <v>788</v>
      </c>
      <c r="AI16">
        <v>15</v>
      </c>
      <c r="AJ16">
        <v>13997</v>
      </c>
      <c r="AK16">
        <v>114701</v>
      </c>
      <c r="AL16">
        <v>2818</v>
      </c>
      <c r="AM16">
        <v>21983</v>
      </c>
      <c r="AN16">
        <v>20</v>
      </c>
      <c r="AO16">
        <v>4</v>
      </c>
      <c r="AP16">
        <v>10808</v>
      </c>
      <c r="AQ16">
        <v>0</v>
      </c>
      <c r="AR16">
        <v>865</v>
      </c>
      <c r="AS16">
        <v>48</v>
      </c>
      <c r="AT16">
        <v>10962</v>
      </c>
      <c r="AU16">
        <v>2635</v>
      </c>
      <c r="AV16">
        <v>5189</v>
      </c>
      <c r="AW16">
        <v>16942</v>
      </c>
      <c r="AX16" s="88">
        <v>19</v>
      </c>
      <c r="AY16" s="88">
        <v>36</v>
      </c>
      <c r="AZ16" s="88">
        <v>992</v>
      </c>
      <c r="BA16" s="88">
        <v>0</v>
      </c>
      <c r="BB16">
        <v>210</v>
      </c>
      <c r="BC16">
        <v>556</v>
      </c>
      <c r="BD16">
        <v>0</v>
      </c>
      <c r="BE16">
        <v>0</v>
      </c>
      <c r="BF16">
        <v>7718</v>
      </c>
      <c r="BG16">
        <v>0</v>
      </c>
      <c r="BH16">
        <v>0</v>
      </c>
      <c r="BI16">
        <v>0</v>
      </c>
      <c r="BJ16">
        <v>74</v>
      </c>
      <c r="BK16">
        <v>5407</v>
      </c>
      <c r="BL16">
        <v>0</v>
      </c>
      <c r="BM16">
        <v>321</v>
      </c>
      <c r="BN16">
        <v>3</v>
      </c>
      <c r="BO16">
        <v>103045</v>
      </c>
      <c r="BP16">
        <v>77635</v>
      </c>
      <c r="BQ16">
        <v>211</v>
      </c>
      <c r="BR16">
        <v>136</v>
      </c>
      <c r="BS16">
        <v>23227</v>
      </c>
      <c r="BT16">
        <v>84</v>
      </c>
      <c r="BU16">
        <v>1</v>
      </c>
      <c r="BV16">
        <v>3</v>
      </c>
      <c r="BW16">
        <v>12</v>
      </c>
      <c r="BX16">
        <v>3734</v>
      </c>
      <c r="BY16">
        <v>14</v>
      </c>
      <c r="BZ16">
        <v>0</v>
      </c>
      <c r="CA16">
        <v>23071</v>
      </c>
      <c r="CB16">
        <v>16663</v>
      </c>
      <c r="CC16">
        <v>140506</v>
      </c>
      <c r="CD16">
        <v>279783</v>
      </c>
      <c r="CE16">
        <v>29465</v>
      </c>
      <c r="CF16">
        <v>49018</v>
      </c>
      <c r="CG16">
        <v>0</v>
      </c>
      <c r="CH16">
        <v>25</v>
      </c>
      <c r="CI16">
        <v>3</v>
      </c>
      <c r="CJ16">
        <v>16</v>
      </c>
      <c r="CQ16">
        <v>128</v>
      </c>
      <c r="CR16">
        <v>1</v>
      </c>
      <c r="CY16">
        <v>0</v>
      </c>
      <c r="CZ16">
        <v>0</v>
      </c>
      <c r="DA16">
        <v>0</v>
      </c>
      <c r="DB16">
        <v>15</v>
      </c>
      <c r="DC16">
        <v>0</v>
      </c>
      <c r="DD16">
        <v>28</v>
      </c>
      <c r="DF16" s="2"/>
      <c r="DG16" s="2">
        <f t="shared" si="0"/>
        <v>760786</v>
      </c>
      <c r="DH16" s="2">
        <f t="shared" si="1"/>
        <v>272866</v>
      </c>
      <c r="DI16" s="2">
        <f t="shared" si="17"/>
        <v>1033652</v>
      </c>
      <c r="DK16" s="2">
        <f t="shared" si="3"/>
        <v>57374</v>
      </c>
      <c r="DL16" s="2">
        <f t="shared" si="4"/>
        <v>154025</v>
      </c>
      <c r="DM16" s="2">
        <f t="shared" si="5"/>
        <v>11517</v>
      </c>
      <c r="DN16" s="2">
        <f t="shared" si="6"/>
        <v>49811</v>
      </c>
      <c r="DO16" s="2">
        <f t="shared" si="7"/>
        <v>473388</v>
      </c>
      <c r="DP16" s="2">
        <f t="shared" si="8"/>
        <v>101775</v>
      </c>
      <c r="DQ16" s="2">
        <f t="shared" si="9"/>
        <v>129</v>
      </c>
      <c r="DR16" s="2">
        <f t="shared" si="10"/>
        <v>16698</v>
      </c>
      <c r="DS16" s="2">
        <f t="shared" si="11"/>
        <v>103046</v>
      </c>
      <c r="DT16" s="2">
        <f t="shared" si="12"/>
        <v>13137</v>
      </c>
      <c r="DU16" s="2"/>
      <c r="DV16" s="2"/>
      <c r="DW16" s="2"/>
      <c r="DX16" s="2">
        <f t="shared" si="18"/>
        <v>980900</v>
      </c>
      <c r="DZ16" s="2">
        <f t="shared" si="14"/>
        <v>592872</v>
      </c>
      <c r="EA16" s="2">
        <f t="shared" si="15"/>
        <v>58632</v>
      </c>
      <c r="EC16" s="2">
        <f t="shared" si="16"/>
        <v>1092284</v>
      </c>
    </row>
    <row r="17" spans="1:133" x14ac:dyDescent="0.25">
      <c r="A17" s="13">
        <v>42217</v>
      </c>
      <c r="B17">
        <v>0</v>
      </c>
      <c r="C17">
        <v>0</v>
      </c>
      <c r="D17">
        <v>0</v>
      </c>
      <c r="E17">
        <v>0</v>
      </c>
      <c r="F17">
        <v>1037</v>
      </c>
      <c r="G17">
        <v>16087</v>
      </c>
      <c r="H17">
        <v>36731</v>
      </c>
      <c r="I17">
        <v>1313</v>
      </c>
      <c r="J17">
        <v>3075</v>
      </c>
      <c r="K17">
        <v>281</v>
      </c>
      <c r="L17">
        <v>23469</v>
      </c>
      <c r="M17">
        <v>1358</v>
      </c>
      <c r="N17">
        <v>135</v>
      </c>
      <c r="O17">
        <v>1089</v>
      </c>
      <c r="P17">
        <v>11378</v>
      </c>
      <c r="Q17">
        <v>281</v>
      </c>
      <c r="R17">
        <v>7102</v>
      </c>
      <c r="S17">
        <v>11522</v>
      </c>
      <c r="T17">
        <v>28</v>
      </c>
      <c r="U17">
        <v>1929</v>
      </c>
      <c r="V17">
        <v>167</v>
      </c>
      <c r="W17">
        <v>10645</v>
      </c>
      <c r="X17">
        <v>349</v>
      </c>
      <c r="Y17">
        <v>13</v>
      </c>
      <c r="Z17">
        <v>8</v>
      </c>
      <c r="AA17">
        <v>4</v>
      </c>
      <c r="AB17">
        <v>260</v>
      </c>
      <c r="AC17">
        <v>25</v>
      </c>
      <c r="AD17">
        <v>39</v>
      </c>
      <c r="AE17">
        <v>37</v>
      </c>
      <c r="AF17">
        <v>76</v>
      </c>
      <c r="AG17">
        <v>58</v>
      </c>
      <c r="AH17">
        <v>817</v>
      </c>
      <c r="AI17">
        <v>7</v>
      </c>
      <c r="AJ17">
        <v>13961</v>
      </c>
      <c r="AK17">
        <v>114305</v>
      </c>
      <c r="AL17">
        <v>2797</v>
      </c>
      <c r="AM17">
        <v>21935</v>
      </c>
      <c r="AN17">
        <v>20</v>
      </c>
      <c r="AO17">
        <v>4</v>
      </c>
      <c r="AP17">
        <v>11010</v>
      </c>
      <c r="AQ17">
        <v>0</v>
      </c>
      <c r="AR17">
        <v>863</v>
      </c>
      <c r="AS17">
        <v>46</v>
      </c>
      <c r="AT17">
        <v>11037</v>
      </c>
      <c r="AU17">
        <v>2634</v>
      </c>
      <c r="AV17">
        <v>5194</v>
      </c>
      <c r="AW17">
        <v>16950</v>
      </c>
      <c r="AX17" s="88">
        <v>31</v>
      </c>
      <c r="AY17" s="88">
        <v>44</v>
      </c>
      <c r="AZ17" s="88">
        <v>1006</v>
      </c>
      <c r="BA17" s="88">
        <v>0</v>
      </c>
      <c r="BB17">
        <v>196</v>
      </c>
      <c r="BC17">
        <v>582</v>
      </c>
      <c r="BD17">
        <v>0</v>
      </c>
      <c r="BE17">
        <v>0</v>
      </c>
      <c r="BF17">
        <v>7684</v>
      </c>
      <c r="BG17">
        <v>0</v>
      </c>
      <c r="BH17">
        <v>0</v>
      </c>
      <c r="BI17">
        <v>0</v>
      </c>
      <c r="BJ17">
        <v>71</v>
      </c>
      <c r="BK17">
        <v>5448</v>
      </c>
      <c r="BL17">
        <v>0</v>
      </c>
      <c r="BM17">
        <v>325</v>
      </c>
      <c r="BN17">
        <v>3</v>
      </c>
      <c r="BO17">
        <v>107121</v>
      </c>
      <c r="BP17">
        <v>77021</v>
      </c>
      <c r="BQ17">
        <v>236</v>
      </c>
      <c r="BR17">
        <v>138</v>
      </c>
      <c r="BS17">
        <v>23295</v>
      </c>
      <c r="BT17">
        <v>78</v>
      </c>
      <c r="BU17">
        <v>1</v>
      </c>
      <c r="BV17">
        <v>3</v>
      </c>
      <c r="BW17">
        <v>4</v>
      </c>
      <c r="BX17">
        <v>4225</v>
      </c>
      <c r="BY17">
        <v>12</v>
      </c>
      <c r="BZ17">
        <v>0</v>
      </c>
      <c r="CA17">
        <v>23071</v>
      </c>
      <c r="CB17">
        <v>16918</v>
      </c>
      <c r="CC17">
        <v>139294</v>
      </c>
      <c r="CD17">
        <v>278192</v>
      </c>
      <c r="CE17">
        <v>29330</v>
      </c>
      <c r="CF17">
        <v>48956</v>
      </c>
      <c r="CG17">
        <v>0</v>
      </c>
      <c r="CH17">
        <v>17</v>
      </c>
      <c r="CI17">
        <v>2</v>
      </c>
      <c r="CJ17">
        <v>15</v>
      </c>
      <c r="CQ17">
        <v>133</v>
      </c>
      <c r="CR17">
        <v>1</v>
      </c>
      <c r="CY17">
        <v>0</v>
      </c>
      <c r="CZ17">
        <v>0</v>
      </c>
      <c r="DA17">
        <v>0</v>
      </c>
      <c r="DB17">
        <v>15</v>
      </c>
      <c r="DC17">
        <v>0</v>
      </c>
      <c r="DD17">
        <v>27</v>
      </c>
      <c r="DF17" s="2"/>
      <c r="DG17" s="2">
        <f t="shared" si="0"/>
        <v>762117</v>
      </c>
      <c r="DH17" s="2">
        <f t="shared" si="1"/>
        <v>272754</v>
      </c>
      <c r="DI17" s="2">
        <f t="shared" si="17"/>
        <v>1034871</v>
      </c>
      <c r="DK17" s="2">
        <f t="shared" si="3"/>
        <v>57446</v>
      </c>
      <c r="DL17" s="2">
        <f t="shared" si="4"/>
        <v>153668</v>
      </c>
      <c r="DM17" s="2">
        <f t="shared" si="5"/>
        <v>11522</v>
      </c>
      <c r="DN17" s="2">
        <f t="shared" si="6"/>
        <v>49975</v>
      </c>
      <c r="DO17" s="2">
        <f t="shared" si="7"/>
        <v>470476</v>
      </c>
      <c r="DP17" s="2">
        <f t="shared" si="8"/>
        <v>101267</v>
      </c>
      <c r="DQ17" s="2">
        <f t="shared" si="9"/>
        <v>134</v>
      </c>
      <c r="DR17" s="2">
        <f t="shared" si="10"/>
        <v>16943</v>
      </c>
      <c r="DS17" s="2">
        <f t="shared" si="11"/>
        <v>107122</v>
      </c>
      <c r="DT17" s="2">
        <f t="shared" si="12"/>
        <v>13136</v>
      </c>
      <c r="DU17" s="2"/>
      <c r="DV17" s="2"/>
      <c r="DW17" s="2"/>
      <c r="DX17" s="2">
        <f t="shared" si="18"/>
        <v>981689</v>
      </c>
      <c r="DZ17" s="2">
        <f t="shared" si="14"/>
        <v>589774</v>
      </c>
      <c r="EA17" s="2">
        <f t="shared" si="15"/>
        <v>58659</v>
      </c>
      <c r="EC17" s="2">
        <f t="shared" si="16"/>
        <v>1093530</v>
      </c>
    </row>
    <row r="18" spans="1:133" x14ac:dyDescent="0.25">
      <c r="A18" s="13">
        <v>42248</v>
      </c>
      <c r="B18">
        <v>0</v>
      </c>
      <c r="C18">
        <v>0</v>
      </c>
      <c r="D18">
        <v>0</v>
      </c>
      <c r="E18">
        <v>0</v>
      </c>
      <c r="F18">
        <v>1121</v>
      </c>
      <c r="G18">
        <v>16133</v>
      </c>
      <c r="H18">
        <v>36878</v>
      </c>
      <c r="I18">
        <v>1291</v>
      </c>
      <c r="J18">
        <v>2990</v>
      </c>
      <c r="K18">
        <v>316</v>
      </c>
      <c r="L18">
        <v>23434</v>
      </c>
      <c r="M18">
        <v>1358</v>
      </c>
      <c r="N18">
        <v>171</v>
      </c>
      <c r="O18">
        <v>1080</v>
      </c>
      <c r="P18">
        <v>11433</v>
      </c>
      <c r="Q18">
        <v>280</v>
      </c>
      <c r="R18">
        <v>7109</v>
      </c>
      <c r="S18">
        <v>11521</v>
      </c>
      <c r="T18">
        <v>33</v>
      </c>
      <c r="U18">
        <v>1951</v>
      </c>
      <c r="V18">
        <v>133</v>
      </c>
      <c r="W18">
        <v>10713</v>
      </c>
      <c r="X18">
        <v>343</v>
      </c>
      <c r="Y18">
        <v>13</v>
      </c>
      <c r="Z18">
        <v>4</v>
      </c>
      <c r="AA18">
        <v>5</v>
      </c>
      <c r="AB18">
        <v>257</v>
      </c>
      <c r="AC18">
        <v>24</v>
      </c>
      <c r="AD18">
        <v>40</v>
      </c>
      <c r="AE18">
        <v>37</v>
      </c>
      <c r="AF18">
        <v>77</v>
      </c>
      <c r="AG18">
        <v>54</v>
      </c>
      <c r="AH18">
        <v>839</v>
      </c>
      <c r="AI18">
        <v>8</v>
      </c>
      <c r="AJ18">
        <v>14001</v>
      </c>
      <c r="AK18">
        <v>114674</v>
      </c>
      <c r="AL18">
        <v>2832</v>
      </c>
      <c r="AM18">
        <v>21891</v>
      </c>
      <c r="AN18">
        <v>21</v>
      </c>
      <c r="AO18">
        <v>6</v>
      </c>
      <c r="AP18">
        <v>11174</v>
      </c>
      <c r="AQ18">
        <v>0</v>
      </c>
      <c r="AR18">
        <v>863</v>
      </c>
      <c r="AS18">
        <v>48</v>
      </c>
      <c r="AT18">
        <v>11099</v>
      </c>
      <c r="AU18">
        <v>2626</v>
      </c>
      <c r="AV18">
        <v>5211</v>
      </c>
      <c r="AW18">
        <v>16868</v>
      </c>
      <c r="AX18" s="88">
        <v>27</v>
      </c>
      <c r="AY18" s="88">
        <v>33</v>
      </c>
      <c r="AZ18" s="88">
        <v>1003</v>
      </c>
      <c r="BA18" s="88">
        <v>0</v>
      </c>
      <c r="BB18">
        <v>169</v>
      </c>
      <c r="BC18">
        <v>601</v>
      </c>
      <c r="BD18">
        <v>0</v>
      </c>
      <c r="BE18">
        <v>0</v>
      </c>
      <c r="BF18">
        <v>7700</v>
      </c>
      <c r="BG18">
        <v>0</v>
      </c>
      <c r="BH18">
        <v>0</v>
      </c>
      <c r="BI18">
        <v>0</v>
      </c>
      <c r="BJ18">
        <v>67</v>
      </c>
      <c r="BK18">
        <v>5485</v>
      </c>
      <c r="BL18">
        <v>1</v>
      </c>
      <c r="BM18">
        <v>298</v>
      </c>
      <c r="BN18">
        <v>3</v>
      </c>
      <c r="BO18">
        <v>110462</v>
      </c>
      <c r="BP18">
        <v>77094</v>
      </c>
      <c r="BQ18">
        <v>230</v>
      </c>
      <c r="BR18">
        <v>132</v>
      </c>
      <c r="BS18">
        <v>23421</v>
      </c>
      <c r="BT18">
        <v>80</v>
      </c>
      <c r="BU18">
        <v>4</v>
      </c>
      <c r="BV18">
        <v>2</v>
      </c>
      <c r="BW18">
        <v>4</v>
      </c>
      <c r="BX18">
        <v>4665</v>
      </c>
      <c r="BY18">
        <v>11</v>
      </c>
      <c r="BZ18">
        <v>0</v>
      </c>
      <c r="CA18">
        <v>23218</v>
      </c>
      <c r="CB18">
        <v>17057</v>
      </c>
      <c r="CC18">
        <v>139094</v>
      </c>
      <c r="CD18">
        <v>278791</v>
      </c>
      <c r="CE18">
        <v>29249</v>
      </c>
      <c r="CF18">
        <v>49239</v>
      </c>
      <c r="CG18">
        <v>0</v>
      </c>
      <c r="CH18">
        <v>15</v>
      </c>
      <c r="CI18">
        <v>2</v>
      </c>
      <c r="CJ18">
        <v>12</v>
      </c>
      <c r="CQ18">
        <v>145</v>
      </c>
      <c r="CR18">
        <v>2</v>
      </c>
      <c r="CY18">
        <v>0</v>
      </c>
      <c r="CZ18">
        <v>0</v>
      </c>
      <c r="DA18">
        <v>0</v>
      </c>
      <c r="DB18">
        <v>15</v>
      </c>
      <c r="DC18">
        <v>0</v>
      </c>
      <c r="DD18">
        <v>27</v>
      </c>
      <c r="DF18" s="2"/>
      <c r="DG18" s="2">
        <f t="shared" si="0"/>
        <v>766997</v>
      </c>
      <c r="DH18" s="2">
        <f t="shared" si="1"/>
        <v>273380</v>
      </c>
      <c r="DI18" s="2">
        <f t="shared" si="17"/>
        <v>1040377</v>
      </c>
      <c r="DK18" s="2">
        <f t="shared" si="3"/>
        <v>57524</v>
      </c>
      <c r="DL18" s="2">
        <f t="shared" si="4"/>
        <v>154167</v>
      </c>
      <c r="DM18" s="2">
        <f t="shared" si="5"/>
        <v>11521</v>
      </c>
      <c r="DN18" s="2">
        <f t="shared" si="6"/>
        <v>50016</v>
      </c>
      <c r="DO18" s="2">
        <f t="shared" si="7"/>
        <v>470918</v>
      </c>
      <c r="DP18" s="2">
        <f t="shared" si="8"/>
        <v>101447</v>
      </c>
      <c r="DQ18" s="2">
        <f t="shared" si="9"/>
        <v>147</v>
      </c>
      <c r="DR18" s="2">
        <f t="shared" si="10"/>
        <v>17076</v>
      </c>
      <c r="DS18" s="2">
        <f t="shared" si="11"/>
        <v>110466</v>
      </c>
      <c r="DT18" s="2">
        <f t="shared" si="12"/>
        <v>13190</v>
      </c>
      <c r="DU18" s="2"/>
      <c r="DV18" s="2"/>
      <c r="DW18" s="2"/>
      <c r="DX18" s="2">
        <f t="shared" si="18"/>
        <v>986472</v>
      </c>
      <c r="DZ18" s="2">
        <f t="shared" si="14"/>
        <v>590639</v>
      </c>
      <c r="EA18" s="2">
        <f t="shared" si="15"/>
        <v>58900</v>
      </c>
      <c r="EC18" s="2">
        <f t="shared" si="16"/>
        <v>1099277</v>
      </c>
    </row>
    <row r="19" spans="1:133" x14ac:dyDescent="0.25">
      <c r="A19" s="13">
        <v>42278</v>
      </c>
      <c r="B19">
        <v>0</v>
      </c>
      <c r="C19">
        <v>0</v>
      </c>
      <c r="D19">
        <v>0</v>
      </c>
      <c r="E19">
        <v>0</v>
      </c>
      <c r="F19">
        <v>1083</v>
      </c>
      <c r="G19">
        <v>15955</v>
      </c>
      <c r="H19">
        <v>36932</v>
      </c>
      <c r="I19">
        <v>1224</v>
      </c>
      <c r="J19">
        <v>2868</v>
      </c>
      <c r="K19">
        <v>401</v>
      </c>
      <c r="L19">
        <v>23412</v>
      </c>
      <c r="M19">
        <v>1353</v>
      </c>
      <c r="N19">
        <v>213</v>
      </c>
      <c r="O19">
        <v>1053</v>
      </c>
      <c r="P19">
        <v>11440</v>
      </c>
      <c r="Q19">
        <v>286</v>
      </c>
      <c r="R19">
        <v>7100</v>
      </c>
      <c r="S19">
        <v>11499</v>
      </c>
      <c r="T19">
        <v>30</v>
      </c>
      <c r="U19">
        <v>1970</v>
      </c>
      <c r="V19">
        <v>105</v>
      </c>
      <c r="W19">
        <v>10828</v>
      </c>
      <c r="X19">
        <v>348</v>
      </c>
      <c r="Y19">
        <v>13</v>
      </c>
      <c r="Z19">
        <v>8</v>
      </c>
      <c r="AA19">
        <v>5</v>
      </c>
      <c r="AB19">
        <v>248</v>
      </c>
      <c r="AC19">
        <v>26</v>
      </c>
      <c r="AD19">
        <v>37</v>
      </c>
      <c r="AE19">
        <v>38</v>
      </c>
      <c r="AF19">
        <v>77</v>
      </c>
      <c r="AG19">
        <v>43</v>
      </c>
      <c r="AH19">
        <v>875</v>
      </c>
      <c r="AI19">
        <v>8</v>
      </c>
      <c r="AJ19">
        <v>13942</v>
      </c>
      <c r="AK19">
        <v>114698</v>
      </c>
      <c r="AL19">
        <v>2819</v>
      </c>
      <c r="AM19">
        <v>21830</v>
      </c>
      <c r="AN19">
        <v>19</v>
      </c>
      <c r="AO19">
        <v>7</v>
      </c>
      <c r="AP19">
        <v>11386</v>
      </c>
      <c r="AQ19">
        <v>0</v>
      </c>
      <c r="AR19">
        <v>886</v>
      </c>
      <c r="AS19">
        <v>47</v>
      </c>
      <c r="AT19">
        <v>11189</v>
      </c>
      <c r="AU19">
        <v>2623</v>
      </c>
      <c r="AV19">
        <v>5191</v>
      </c>
      <c r="AW19">
        <v>16774</v>
      </c>
      <c r="AX19" s="88">
        <v>40</v>
      </c>
      <c r="AY19" s="88">
        <v>26</v>
      </c>
      <c r="AZ19" s="88">
        <v>1008</v>
      </c>
      <c r="BA19" s="88">
        <v>0</v>
      </c>
      <c r="BB19">
        <v>155</v>
      </c>
      <c r="BC19">
        <v>612</v>
      </c>
      <c r="BD19">
        <v>0</v>
      </c>
      <c r="BE19">
        <v>0</v>
      </c>
      <c r="BF19">
        <v>7729</v>
      </c>
      <c r="BG19">
        <v>0</v>
      </c>
      <c r="BH19">
        <v>0</v>
      </c>
      <c r="BI19">
        <v>0</v>
      </c>
      <c r="BJ19">
        <v>66</v>
      </c>
      <c r="BK19">
        <v>5395</v>
      </c>
      <c r="BL19">
        <v>2</v>
      </c>
      <c r="BM19">
        <v>295</v>
      </c>
      <c r="BN19">
        <v>3</v>
      </c>
      <c r="BO19">
        <v>111639</v>
      </c>
      <c r="BP19">
        <v>77040</v>
      </c>
      <c r="BQ19">
        <v>297</v>
      </c>
      <c r="BR19">
        <v>132</v>
      </c>
      <c r="BS19">
        <v>23721</v>
      </c>
      <c r="BT19">
        <v>114</v>
      </c>
      <c r="BU19">
        <v>6</v>
      </c>
      <c r="BV19">
        <v>2</v>
      </c>
      <c r="BW19">
        <v>4</v>
      </c>
      <c r="BX19">
        <v>5103</v>
      </c>
      <c r="BY19">
        <v>18</v>
      </c>
      <c r="BZ19">
        <v>0</v>
      </c>
      <c r="CA19">
        <v>23300</v>
      </c>
      <c r="CB19">
        <v>16664</v>
      </c>
      <c r="CC19">
        <v>138150</v>
      </c>
      <c r="CD19">
        <v>277911</v>
      </c>
      <c r="CE19">
        <v>29309</v>
      </c>
      <c r="CF19">
        <v>49255</v>
      </c>
      <c r="CG19">
        <v>0</v>
      </c>
      <c r="CH19">
        <v>12</v>
      </c>
      <c r="CI19">
        <v>1</v>
      </c>
      <c r="CJ19">
        <v>15</v>
      </c>
      <c r="CQ19">
        <v>163</v>
      </c>
      <c r="CR19">
        <v>3</v>
      </c>
      <c r="CY19">
        <v>0</v>
      </c>
      <c r="CZ19">
        <v>0</v>
      </c>
      <c r="DA19">
        <v>0</v>
      </c>
      <c r="DB19">
        <v>15</v>
      </c>
      <c r="DC19">
        <v>0</v>
      </c>
      <c r="DD19">
        <v>27</v>
      </c>
      <c r="DF19" s="2"/>
      <c r="DG19" s="2">
        <f t="shared" si="0"/>
        <v>766861</v>
      </c>
      <c r="DH19" s="2">
        <f t="shared" si="1"/>
        <v>273543</v>
      </c>
      <c r="DI19" s="2">
        <f t="shared" si="17"/>
        <v>1040404</v>
      </c>
      <c r="DK19" s="2">
        <f t="shared" si="3"/>
        <v>57577</v>
      </c>
      <c r="DL19" s="2">
        <f t="shared" si="4"/>
        <v>154218</v>
      </c>
      <c r="DM19" s="2">
        <f t="shared" si="5"/>
        <v>11499</v>
      </c>
      <c r="DN19" s="2">
        <f t="shared" si="6"/>
        <v>50074</v>
      </c>
      <c r="DO19" s="2">
        <f t="shared" si="7"/>
        <v>469358</v>
      </c>
      <c r="DP19" s="2">
        <f t="shared" si="8"/>
        <v>101694</v>
      </c>
      <c r="DQ19" s="2">
        <f t="shared" si="9"/>
        <v>166</v>
      </c>
      <c r="DR19" s="2">
        <f t="shared" si="10"/>
        <v>16684</v>
      </c>
      <c r="DS19" s="2">
        <f t="shared" si="11"/>
        <v>111645</v>
      </c>
      <c r="DT19" s="2">
        <f t="shared" si="12"/>
        <v>13130</v>
      </c>
      <c r="DU19" s="2"/>
      <c r="DV19" s="2"/>
      <c r="DW19" s="2"/>
      <c r="DX19" s="2">
        <f t="shared" si="18"/>
        <v>986045</v>
      </c>
      <c r="DZ19" s="2">
        <f t="shared" si="14"/>
        <v>588722</v>
      </c>
      <c r="EA19" s="2">
        <f t="shared" si="15"/>
        <v>58676</v>
      </c>
      <c r="EC19" s="2">
        <f t="shared" si="16"/>
        <v>1099080</v>
      </c>
    </row>
    <row r="20" spans="1:133" x14ac:dyDescent="0.25">
      <c r="A20" s="13">
        <v>42309</v>
      </c>
      <c r="B20">
        <v>0</v>
      </c>
      <c r="C20">
        <v>0</v>
      </c>
      <c r="D20">
        <v>0</v>
      </c>
      <c r="E20">
        <v>0</v>
      </c>
      <c r="F20">
        <v>1070</v>
      </c>
      <c r="G20">
        <v>15852</v>
      </c>
      <c r="H20">
        <v>36820</v>
      </c>
      <c r="I20">
        <v>1176</v>
      </c>
      <c r="J20">
        <v>2765</v>
      </c>
      <c r="K20">
        <v>466</v>
      </c>
      <c r="L20">
        <v>23528</v>
      </c>
      <c r="M20">
        <v>1341</v>
      </c>
      <c r="N20">
        <v>248</v>
      </c>
      <c r="O20">
        <v>1052</v>
      </c>
      <c r="P20">
        <v>11510</v>
      </c>
      <c r="Q20">
        <v>278</v>
      </c>
      <c r="R20">
        <v>7110</v>
      </c>
      <c r="S20">
        <v>11555</v>
      </c>
      <c r="T20">
        <v>30</v>
      </c>
      <c r="U20">
        <v>2047</v>
      </c>
      <c r="V20">
        <v>101</v>
      </c>
      <c r="W20">
        <v>10944</v>
      </c>
      <c r="X20">
        <v>364</v>
      </c>
      <c r="Y20">
        <v>13</v>
      </c>
      <c r="Z20">
        <v>12</v>
      </c>
      <c r="AA20">
        <v>7</v>
      </c>
      <c r="AB20">
        <v>242</v>
      </c>
      <c r="AC20">
        <v>28</v>
      </c>
      <c r="AD20">
        <v>39</v>
      </c>
      <c r="AE20">
        <v>38</v>
      </c>
      <c r="AF20">
        <v>76</v>
      </c>
      <c r="AG20">
        <v>49</v>
      </c>
      <c r="AH20">
        <v>913</v>
      </c>
      <c r="AI20">
        <v>9</v>
      </c>
      <c r="AJ20">
        <v>13989</v>
      </c>
      <c r="AK20">
        <v>115062</v>
      </c>
      <c r="AL20">
        <v>2797</v>
      </c>
      <c r="AM20">
        <v>21936</v>
      </c>
      <c r="AN20">
        <v>20</v>
      </c>
      <c r="AO20">
        <v>10</v>
      </c>
      <c r="AP20">
        <v>11602</v>
      </c>
      <c r="AQ20">
        <v>0</v>
      </c>
      <c r="AR20">
        <v>878</v>
      </c>
      <c r="AS20">
        <v>47</v>
      </c>
      <c r="AT20">
        <v>11283</v>
      </c>
      <c r="AU20">
        <v>2638</v>
      </c>
      <c r="AV20">
        <v>5201</v>
      </c>
      <c r="AW20">
        <v>16770</v>
      </c>
      <c r="AX20" s="88">
        <v>34</v>
      </c>
      <c r="AY20" s="88">
        <v>34</v>
      </c>
      <c r="AZ20" s="88">
        <v>1031</v>
      </c>
      <c r="BA20" s="88">
        <v>0</v>
      </c>
      <c r="BB20">
        <v>158</v>
      </c>
      <c r="BC20">
        <v>616</v>
      </c>
      <c r="BD20">
        <v>0</v>
      </c>
      <c r="BE20">
        <v>0</v>
      </c>
      <c r="BF20">
        <v>7704</v>
      </c>
      <c r="BG20">
        <v>0</v>
      </c>
      <c r="BH20">
        <v>0</v>
      </c>
      <c r="BI20">
        <v>0</v>
      </c>
      <c r="BJ20">
        <v>69</v>
      </c>
      <c r="BK20">
        <v>5322</v>
      </c>
      <c r="BL20">
        <v>0</v>
      </c>
      <c r="BM20">
        <v>319</v>
      </c>
      <c r="BN20">
        <v>3</v>
      </c>
      <c r="BO20">
        <v>112586</v>
      </c>
      <c r="BP20">
        <v>76966</v>
      </c>
      <c r="BQ20">
        <v>460</v>
      </c>
      <c r="BR20">
        <v>124</v>
      </c>
      <c r="BS20">
        <v>24057</v>
      </c>
      <c r="BT20">
        <v>212</v>
      </c>
      <c r="BU20">
        <v>16</v>
      </c>
      <c r="BV20">
        <v>2</v>
      </c>
      <c r="BW20">
        <v>4</v>
      </c>
      <c r="BX20">
        <v>5428</v>
      </c>
      <c r="BY20">
        <v>35</v>
      </c>
      <c r="BZ20">
        <v>0</v>
      </c>
      <c r="CA20">
        <v>23207</v>
      </c>
      <c r="CB20">
        <v>16451</v>
      </c>
      <c r="CC20">
        <v>137432</v>
      </c>
      <c r="CD20">
        <v>277161</v>
      </c>
      <c r="CE20">
        <v>29556</v>
      </c>
      <c r="CF20">
        <v>49246</v>
      </c>
      <c r="CG20">
        <v>0</v>
      </c>
      <c r="CH20">
        <v>16</v>
      </c>
      <c r="CI20">
        <v>1</v>
      </c>
      <c r="CJ20">
        <v>17</v>
      </c>
      <c r="CQ20">
        <v>179</v>
      </c>
      <c r="CR20">
        <v>4</v>
      </c>
      <c r="CY20">
        <v>0</v>
      </c>
      <c r="CZ20">
        <v>0</v>
      </c>
      <c r="DA20">
        <v>0</v>
      </c>
      <c r="DB20">
        <v>15</v>
      </c>
      <c r="DC20">
        <v>0</v>
      </c>
      <c r="DD20">
        <v>27</v>
      </c>
      <c r="DF20" s="2"/>
      <c r="DG20" s="2">
        <f t="shared" si="0"/>
        <v>767078</v>
      </c>
      <c r="DH20" s="2">
        <f t="shared" si="1"/>
        <v>274894</v>
      </c>
      <c r="DI20" s="2">
        <f t="shared" si="17"/>
        <v>1041972</v>
      </c>
      <c r="DK20" s="2">
        <f t="shared" si="3"/>
        <v>57941</v>
      </c>
      <c r="DL20" s="2">
        <f t="shared" si="4"/>
        <v>154806</v>
      </c>
      <c r="DM20" s="2">
        <f t="shared" si="5"/>
        <v>11555</v>
      </c>
      <c r="DN20" s="2">
        <f t="shared" si="6"/>
        <v>50394</v>
      </c>
      <c r="DO20" s="2">
        <f t="shared" si="7"/>
        <v>468313</v>
      </c>
      <c r="DP20" s="2">
        <f t="shared" si="8"/>
        <v>101992</v>
      </c>
      <c r="DQ20" s="2">
        <f t="shared" si="9"/>
        <v>183</v>
      </c>
      <c r="DR20" s="2">
        <f t="shared" si="10"/>
        <v>16479</v>
      </c>
      <c r="DS20" s="2">
        <f t="shared" si="11"/>
        <v>112602</v>
      </c>
      <c r="DT20" s="2">
        <f t="shared" si="12"/>
        <v>13030</v>
      </c>
      <c r="DU20" s="2"/>
      <c r="DV20" s="2"/>
      <c r="DW20" s="2"/>
      <c r="DX20" s="2">
        <f t="shared" si="18"/>
        <v>987295</v>
      </c>
      <c r="DZ20" s="2">
        <f t="shared" si="14"/>
        <v>587202</v>
      </c>
      <c r="EA20" s="2">
        <f t="shared" si="15"/>
        <v>58397</v>
      </c>
      <c r="EC20" s="2">
        <f t="shared" si="16"/>
        <v>1100369</v>
      </c>
    </row>
    <row r="21" spans="1:133" x14ac:dyDescent="0.25">
      <c r="A21" s="13">
        <v>42339</v>
      </c>
      <c r="B21">
        <v>0</v>
      </c>
      <c r="C21">
        <v>0</v>
      </c>
      <c r="D21">
        <v>0</v>
      </c>
      <c r="E21">
        <v>0</v>
      </c>
      <c r="F21">
        <v>1042</v>
      </c>
      <c r="G21">
        <v>15686</v>
      </c>
      <c r="H21">
        <v>36513</v>
      </c>
      <c r="I21">
        <v>1141</v>
      </c>
      <c r="J21">
        <v>2646</v>
      </c>
      <c r="K21">
        <v>531</v>
      </c>
      <c r="L21">
        <v>23592</v>
      </c>
      <c r="M21">
        <v>1343</v>
      </c>
      <c r="N21">
        <v>296</v>
      </c>
      <c r="O21">
        <v>1055</v>
      </c>
      <c r="P21">
        <v>11554</v>
      </c>
      <c r="Q21">
        <v>277</v>
      </c>
      <c r="R21">
        <v>7101</v>
      </c>
      <c r="S21">
        <v>11551</v>
      </c>
      <c r="T21">
        <v>30</v>
      </c>
      <c r="U21">
        <v>2064</v>
      </c>
      <c r="V21">
        <v>94</v>
      </c>
      <c r="W21">
        <v>11008</v>
      </c>
      <c r="X21">
        <v>385</v>
      </c>
      <c r="Y21">
        <v>13</v>
      </c>
      <c r="Z21">
        <v>15</v>
      </c>
      <c r="AA21">
        <v>7</v>
      </c>
      <c r="AB21">
        <v>245</v>
      </c>
      <c r="AC21">
        <v>28</v>
      </c>
      <c r="AD21">
        <v>38</v>
      </c>
      <c r="AE21">
        <v>39</v>
      </c>
      <c r="AF21">
        <v>74</v>
      </c>
      <c r="AG21">
        <v>48</v>
      </c>
      <c r="AH21">
        <v>941</v>
      </c>
      <c r="AI21">
        <v>7</v>
      </c>
      <c r="AJ21">
        <v>13951</v>
      </c>
      <c r="AK21">
        <v>115238</v>
      </c>
      <c r="AL21">
        <v>2785</v>
      </c>
      <c r="AM21">
        <v>21996</v>
      </c>
      <c r="AN21">
        <v>19</v>
      </c>
      <c r="AO21">
        <v>12</v>
      </c>
      <c r="AP21">
        <v>11707</v>
      </c>
      <c r="AQ21">
        <v>0</v>
      </c>
      <c r="AR21">
        <v>835</v>
      </c>
      <c r="AS21">
        <v>48</v>
      </c>
      <c r="AT21">
        <v>11360</v>
      </c>
      <c r="AU21">
        <v>2632</v>
      </c>
      <c r="AV21">
        <v>5219</v>
      </c>
      <c r="AW21">
        <v>16801</v>
      </c>
      <c r="AX21" s="88">
        <v>38</v>
      </c>
      <c r="AY21" s="88">
        <v>17</v>
      </c>
      <c r="AZ21" s="88">
        <v>1016</v>
      </c>
      <c r="BA21" s="88">
        <v>0</v>
      </c>
      <c r="BB21">
        <v>143</v>
      </c>
      <c r="BC21">
        <v>621</v>
      </c>
      <c r="BD21">
        <v>0</v>
      </c>
      <c r="BE21">
        <v>0</v>
      </c>
      <c r="BF21">
        <v>7691</v>
      </c>
      <c r="BG21">
        <v>0</v>
      </c>
      <c r="BH21">
        <v>0</v>
      </c>
      <c r="BI21">
        <v>0</v>
      </c>
      <c r="BJ21">
        <v>66</v>
      </c>
      <c r="BK21">
        <v>5422</v>
      </c>
      <c r="BL21">
        <v>0</v>
      </c>
      <c r="BM21">
        <v>306</v>
      </c>
      <c r="BN21">
        <v>3</v>
      </c>
      <c r="BO21">
        <v>112314</v>
      </c>
      <c r="BP21">
        <v>76706</v>
      </c>
      <c r="BQ21">
        <v>604</v>
      </c>
      <c r="BR21">
        <v>114</v>
      </c>
      <c r="BS21">
        <v>24284</v>
      </c>
      <c r="BT21">
        <v>344</v>
      </c>
      <c r="BU21">
        <v>4</v>
      </c>
      <c r="BV21">
        <v>2</v>
      </c>
      <c r="BW21">
        <v>4</v>
      </c>
      <c r="BX21">
        <v>5650</v>
      </c>
      <c r="BY21">
        <v>71</v>
      </c>
      <c r="BZ21">
        <v>0</v>
      </c>
      <c r="CA21">
        <v>23062</v>
      </c>
      <c r="CB21">
        <v>16132</v>
      </c>
      <c r="CC21">
        <v>135745</v>
      </c>
      <c r="CD21">
        <v>274755</v>
      </c>
      <c r="CE21">
        <v>29523</v>
      </c>
      <c r="CF21">
        <v>49195</v>
      </c>
      <c r="CG21">
        <v>0</v>
      </c>
      <c r="CH21">
        <v>14</v>
      </c>
      <c r="CI21">
        <v>2</v>
      </c>
      <c r="CJ21">
        <v>22</v>
      </c>
      <c r="CQ21">
        <v>198</v>
      </c>
      <c r="CR21">
        <v>7</v>
      </c>
      <c r="CY21">
        <v>0</v>
      </c>
      <c r="CZ21">
        <v>0</v>
      </c>
      <c r="DA21">
        <v>0</v>
      </c>
      <c r="DB21">
        <v>15</v>
      </c>
      <c r="DC21">
        <v>0</v>
      </c>
      <c r="DD21">
        <v>27</v>
      </c>
      <c r="DF21" s="2"/>
      <c r="DG21" s="2">
        <f t="shared" si="0"/>
        <v>762711</v>
      </c>
      <c r="DH21" s="2">
        <f t="shared" si="1"/>
        <v>275475</v>
      </c>
      <c r="DI21" s="2">
        <f t="shared" si="17"/>
        <v>1038186</v>
      </c>
      <c r="DK21" s="2">
        <f t="shared" si="3"/>
        <v>58118</v>
      </c>
      <c r="DL21" s="2">
        <f t="shared" si="4"/>
        <v>154997</v>
      </c>
      <c r="DM21" s="2">
        <f t="shared" si="5"/>
        <v>11551</v>
      </c>
      <c r="DN21" s="2">
        <f t="shared" si="6"/>
        <v>50590</v>
      </c>
      <c r="DO21" s="2">
        <f t="shared" si="7"/>
        <v>464351</v>
      </c>
      <c r="DP21" s="2">
        <f t="shared" si="8"/>
        <v>101934</v>
      </c>
      <c r="DQ21" s="2">
        <f t="shared" si="9"/>
        <v>205</v>
      </c>
      <c r="DR21" s="2">
        <f t="shared" si="10"/>
        <v>16161</v>
      </c>
      <c r="DS21" s="2">
        <f t="shared" si="11"/>
        <v>112318</v>
      </c>
      <c r="DT21" s="2">
        <f t="shared" si="12"/>
        <v>13117</v>
      </c>
      <c r="DU21" s="2"/>
      <c r="DV21" s="2"/>
      <c r="DW21" s="2"/>
      <c r="DX21" s="2">
        <f t="shared" si="18"/>
        <v>983342</v>
      </c>
      <c r="DZ21" s="2">
        <f t="shared" si="14"/>
        <v>582649</v>
      </c>
      <c r="EA21" s="2">
        <f t="shared" si="15"/>
        <v>57855</v>
      </c>
      <c r="EC21" s="2">
        <f t="shared" si="16"/>
        <v>1096041</v>
      </c>
    </row>
    <row r="22" spans="1:133" x14ac:dyDescent="0.25">
      <c r="A22" s="13">
        <v>42370</v>
      </c>
      <c r="B22">
        <v>0</v>
      </c>
      <c r="C22">
        <v>0</v>
      </c>
      <c r="D22">
        <v>0</v>
      </c>
      <c r="E22">
        <v>0</v>
      </c>
      <c r="F22">
        <v>1053</v>
      </c>
      <c r="G22">
        <v>15689</v>
      </c>
      <c r="H22">
        <v>36612</v>
      </c>
      <c r="I22">
        <v>1114</v>
      </c>
      <c r="J22">
        <v>2511</v>
      </c>
      <c r="K22">
        <v>586</v>
      </c>
      <c r="L22">
        <v>23685</v>
      </c>
      <c r="M22">
        <v>1350</v>
      </c>
      <c r="N22">
        <v>330</v>
      </c>
      <c r="O22">
        <v>1083</v>
      </c>
      <c r="P22">
        <v>11517</v>
      </c>
      <c r="Q22">
        <v>283</v>
      </c>
      <c r="R22">
        <v>7081</v>
      </c>
      <c r="S22">
        <v>11583</v>
      </c>
      <c r="T22">
        <v>25</v>
      </c>
      <c r="U22">
        <v>2097</v>
      </c>
      <c r="V22">
        <v>87</v>
      </c>
      <c r="W22">
        <v>11124</v>
      </c>
      <c r="X22">
        <v>392</v>
      </c>
      <c r="Y22">
        <v>15</v>
      </c>
      <c r="Z22">
        <v>20</v>
      </c>
      <c r="AA22">
        <v>7</v>
      </c>
      <c r="AB22">
        <v>250</v>
      </c>
      <c r="AC22">
        <v>27</v>
      </c>
      <c r="AD22">
        <v>40</v>
      </c>
      <c r="AE22">
        <v>37</v>
      </c>
      <c r="AF22">
        <v>74</v>
      </c>
      <c r="AG22">
        <v>42</v>
      </c>
      <c r="AH22">
        <v>963</v>
      </c>
      <c r="AI22">
        <v>8</v>
      </c>
      <c r="AJ22">
        <v>13982</v>
      </c>
      <c r="AK22">
        <v>115690</v>
      </c>
      <c r="AL22">
        <v>2805</v>
      </c>
      <c r="AM22">
        <v>21979</v>
      </c>
      <c r="AN22">
        <v>20</v>
      </c>
      <c r="AO22">
        <v>20</v>
      </c>
      <c r="AP22">
        <v>9577</v>
      </c>
      <c r="AQ22">
        <v>0</v>
      </c>
      <c r="AR22">
        <v>819</v>
      </c>
      <c r="AS22">
        <v>50</v>
      </c>
      <c r="AT22">
        <v>11443</v>
      </c>
      <c r="AU22">
        <v>2631</v>
      </c>
      <c r="AV22">
        <v>5221</v>
      </c>
      <c r="AW22">
        <v>16796</v>
      </c>
      <c r="AX22" s="88">
        <v>35</v>
      </c>
      <c r="AY22" s="88">
        <v>26</v>
      </c>
      <c r="AZ22" s="88">
        <v>1015</v>
      </c>
      <c r="BA22" s="88">
        <v>0</v>
      </c>
      <c r="BB22">
        <v>139</v>
      </c>
      <c r="BC22">
        <v>621</v>
      </c>
      <c r="BD22">
        <v>0</v>
      </c>
      <c r="BE22">
        <v>0</v>
      </c>
      <c r="BF22">
        <v>7665</v>
      </c>
      <c r="BG22">
        <v>0</v>
      </c>
      <c r="BH22">
        <v>0</v>
      </c>
      <c r="BI22">
        <v>0</v>
      </c>
      <c r="BJ22">
        <v>64</v>
      </c>
      <c r="BK22">
        <v>5454</v>
      </c>
      <c r="BL22">
        <v>1</v>
      </c>
      <c r="BM22">
        <v>325</v>
      </c>
      <c r="BN22">
        <v>2</v>
      </c>
      <c r="BO22">
        <v>111504</v>
      </c>
      <c r="BP22">
        <v>76921</v>
      </c>
      <c r="BQ22">
        <v>757</v>
      </c>
      <c r="BR22">
        <v>110</v>
      </c>
      <c r="BS22">
        <v>24725</v>
      </c>
      <c r="BT22">
        <v>456</v>
      </c>
      <c r="BU22">
        <v>11</v>
      </c>
      <c r="BV22">
        <v>2</v>
      </c>
      <c r="BW22">
        <v>5</v>
      </c>
      <c r="BX22">
        <v>5951</v>
      </c>
      <c r="BY22">
        <v>147</v>
      </c>
      <c r="BZ22">
        <v>0</v>
      </c>
      <c r="CA22">
        <v>23139</v>
      </c>
      <c r="CB22">
        <v>16196</v>
      </c>
      <c r="CC22">
        <v>134878</v>
      </c>
      <c r="CD22">
        <v>274263</v>
      </c>
      <c r="CE22">
        <v>29684</v>
      </c>
      <c r="CF22">
        <v>49535</v>
      </c>
      <c r="CG22">
        <v>0</v>
      </c>
      <c r="CH22">
        <v>15</v>
      </c>
      <c r="CI22">
        <v>2</v>
      </c>
      <c r="CJ22">
        <v>24</v>
      </c>
      <c r="CQ22">
        <v>215</v>
      </c>
      <c r="CR22">
        <v>6</v>
      </c>
      <c r="CY22">
        <v>0</v>
      </c>
      <c r="CZ22">
        <v>0</v>
      </c>
      <c r="DA22">
        <v>0</v>
      </c>
      <c r="DB22">
        <v>15</v>
      </c>
      <c r="DC22">
        <v>0</v>
      </c>
      <c r="DD22">
        <v>27</v>
      </c>
      <c r="DF22" s="2"/>
      <c r="DG22" s="2">
        <f t="shared" si="0"/>
        <v>762518</v>
      </c>
      <c r="DH22" s="2">
        <f t="shared" si="1"/>
        <v>274198</v>
      </c>
      <c r="DI22" s="2">
        <f t="shared" si="17"/>
        <v>1036716</v>
      </c>
      <c r="DK22" s="2">
        <f t="shared" si="3"/>
        <v>58332</v>
      </c>
      <c r="DL22" s="2">
        <f t="shared" si="4"/>
        <v>155596</v>
      </c>
      <c r="DM22" s="2">
        <f t="shared" si="5"/>
        <v>11583</v>
      </c>
      <c r="DN22" s="2">
        <f t="shared" si="6"/>
        <v>48446</v>
      </c>
      <c r="DO22" s="2">
        <f t="shared" si="7"/>
        <v>463563</v>
      </c>
      <c r="DP22" s="2">
        <f t="shared" si="8"/>
        <v>102618</v>
      </c>
      <c r="DQ22" s="2">
        <f t="shared" si="9"/>
        <v>221</v>
      </c>
      <c r="DR22" s="2">
        <f t="shared" si="10"/>
        <v>16231</v>
      </c>
      <c r="DS22" s="2">
        <f t="shared" si="11"/>
        <v>111515</v>
      </c>
      <c r="DT22" s="2">
        <f t="shared" si="12"/>
        <v>13125</v>
      </c>
      <c r="DU22" s="2"/>
      <c r="DV22" s="2"/>
      <c r="DW22" s="2"/>
      <c r="DX22" s="2">
        <f t="shared" si="18"/>
        <v>981230</v>
      </c>
      <c r="DZ22" s="2">
        <f t="shared" si="14"/>
        <v>582149</v>
      </c>
      <c r="EA22" s="2">
        <f t="shared" si="15"/>
        <v>57895</v>
      </c>
      <c r="EC22" s="2">
        <f t="shared" si="16"/>
        <v>1094611</v>
      </c>
    </row>
    <row r="23" spans="1:133" x14ac:dyDescent="0.25">
      <c r="A23" s="13">
        <v>42401</v>
      </c>
      <c r="B23">
        <v>0</v>
      </c>
      <c r="C23">
        <v>0</v>
      </c>
      <c r="D23">
        <v>0</v>
      </c>
      <c r="E23">
        <v>0</v>
      </c>
      <c r="F23">
        <v>1040</v>
      </c>
      <c r="G23">
        <v>15698</v>
      </c>
      <c r="H23">
        <v>36655</v>
      </c>
      <c r="I23">
        <v>1078</v>
      </c>
      <c r="J23">
        <v>2457</v>
      </c>
      <c r="K23">
        <v>637</v>
      </c>
      <c r="L23">
        <v>23850</v>
      </c>
      <c r="M23">
        <v>1342</v>
      </c>
      <c r="N23">
        <v>357</v>
      </c>
      <c r="O23">
        <v>1068</v>
      </c>
      <c r="P23">
        <v>11554</v>
      </c>
      <c r="Q23">
        <v>278</v>
      </c>
      <c r="R23">
        <v>7087</v>
      </c>
      <c r="S23">
        <v>11615</v>
      </c>
      <c r="T23">
        <v>27</v>
      </c>
      <c r="U23">
        <v>2122</v>
      </c>
      <c r="V23">
        <v>88</v>
      </c>
      <c r="W23">
        <v>11230</v>
      </c>
      <c r="X23">
        <v>408</v>
      </c>
      <c r="Y23">
        <v>13</v>
      </c>
      <c r="Z23">
        <v>11</v>
      </c>
      <c r="AA23">
        <v>7</v>
      </c>
      <c r="AB23">
        <v>255</v>
      </c>
      <c r="AC23">
        <v>26</v>
      </c>
      <c r="AD23">
        <v>40</v>
      </c>
      <c r="AE23">
        <v>34</v>
      </c>
      <c r="AF23">
        <v>72</v>
      </c>
      <c r="AG23">
        <v>38</v>
      </c>
      <c r="AH23">
        <v>979</v>
      </c>
      <c r="AI23">
        <v>7</v>
      </c>
      <c r="AJ23">
        <v>14039</v>
      </c>
      <c r="AK23">
        <v>115858</v>
      </c>
      <c r="AL23">
        <v>2783</v>
      </c>
      <c r="AM23">
        <v>22047</v>
      </c>
      <c r="AN23">
        <v>22</v>
      </c>
      <c r="AO23">
        <v>20</v>
      </c>
      <c r="AP23">
        <v>10325</v>
      </c>
      <c r="AQ23">
        <v>0</v>
      </c>
      <c r="AR23">
        <v>806</v>
      </c>
      <c r="AS23">
        <v>52</v>
      </c>
      <c r="AT23">
        <v>11517</v>
      </c>
      <c r="AU23">
        <v>2640</v>
      </c>
      <c r="AV23">
        <v>5211</v>
      </c>
      <c r="AW23">
        <v>16808</v>
      </c>
      <c r="AX23" s="88">
        <v>42</v>
      </c>
      <c r="AY23" s="88">
        <v>23</v>
      </c>
      <c r="AZ23" s="88">
        <v>1000</v>
      </c>
      <c r="BA23" s="88">
        <v>0</v>
      </c>
      <c r="BB23">
        <v>139</v>
      </c>
      <c r="BC23">
        <v>614</v>
      </c>
      <c r="BD23">
        <v>0</v>
      </c>
      <c r="BE23">
        <v>0</v>
      </c>
      <c r="BF23">
        <v>7662</v>
      </c>
      <c r="BG23">
        <v>0</v>
      </c>
      <c r="BH23">
        <v>0</v>
      </c>
      <c r="BI23">
        <v>0</v>
      </c>
      <c r="BJ23">
        <v>62</v>
      </c>
      <c r="BK23">
        <v>5449</v>
      </c>
      <c r="BL23">
        <v>0</v>
      </c>
      <c r="BM23">
        <v>354</v>
      </c>
      <c r="BN23">
        <v>2</v>
      </c>
      <c r="BO23">
        <v>111206</v>
      </c>
      <c r="BP23">
        <v>76755</v>
      </c>
      <c r="BQ23">
        <v>741</v>
      </c>
      <c r="BR23">
        <v>100</v>
      </c>
      <c r="BS23">
        <v>25058</v>
      </c>
      <c r="BT23">
        <v>446</v>
      </c>
      <c r="BU23">
        <v>9</v>
      </c>
      <c r="BV23">
        <v>2</v>
      </c>
      <c r="BW23">
        <v>5</v>
      </c>
      <c r="BX23">
        <v>5987</v>
      </c>
      <c r="BY23">
        <v>196</v>
      </c>
      <c r="BZ23">
        <v>0</v>
      </c>
      <c r="CA23">
        <v>23094</v>
      </c>
      <c r="CB23">
        <v>16138</v>
      </c>
      <c r="CC23">
        <v>134686</v>
      </c>
      <c r="CD23">
        <v>274738</v>
      </c>
      <c r="CE23">
        <v>29726</v>
      </c>
      <c r="CF23">
        <v>49810</v>
      </c>
      <c r="CG23">
        <v>0</v>
      </c>
      <c r="CH23">
        <v>17</v>
      </c>
      <c r="CI23">
        <v>2</v>
      </c>
      <c r="CJ23">
        <v>25</v>
      </c>
      <c r="CQ23">
        <v>213</v>
      </c>
      <c r="CR23">
        <v>6</v>
      </c>
      <c r="CY23">
        <v>0</v>
      </c>
      <c r="CZ23">
        <v>0</v>
      </c>
      <c r="DA23">
        <v>0</v>
      </c>
      <c r="DB23">
        <v>15</v>
      </c>
      <c r="DC23">
        <v>0</v>
      </c>
      <c r="DD23">
        <v>27</v>
      </c>
      <c r="DF23" s="2"/>
      <c r="DG23" s="2">
        <f t="shared" si="0"/>
        <v>762949</v>
      </c>
      <c r="DH23" s="2">
        <f t="shared" si="1"/>
        <v>275639</v>
      </c>
      <c r="DI23" s="2">
        <f t="shared" si="17"/>
        <v>1038588</v>
      </c>
      <c r="DK23" s="2">
        <f t="shared" si="3"/>
        <v>58646</v>
      </c>
      <c r="DL23" s="2">
        <f t="shared" si="4"/>
        <v>155874</v>
      </c>
      <c r="DM23" s="2">
        <f t="shared" si="5"/>
        <v>11615</v>
      </c>
      <c r="DN23" s="2">
        <f t="shared" si="6"/>
        <v>49272</v>
      </c>
      <c r="DO23" s="2">
        <f t="shared" si="7"/>
        <v>463862</v>
      </c>
      <c r="DP23" s="2">
        <f t="shared" si="8"/>
        <v>102804</v>
      </c>
      <c r="DQ23" s="2">
        <f t="shared" si="9"/>
        <v>219</v>
      </c>
      <c r="DR23" s="2">
        <f t="shared" si="10"/>
        <v>16166</v>
      </c>
      <c r="DS23" s="2">
        <f t="shared" si="11"/>
        <v>111215</v>
      </c>
      <c r="DT23" s="2">
        <f t="shared" si="12"/>
        <v>13116</v>
      </c>
      <c r="DU23" s="2"/>
      <c r="DV23" s="2"/>
      <c r="DW23" s="2"/>
      <c r="DX23" s="2">
        <f t="shared" si="18"/>
        <v>982789</v>
      </c>
      <c r="DZ23" s="2">
        <f t="shared" si="14"/>
        <v>582676</v>
      </c>
      <c r="EA23" s="2">
        <f t="shared" si="15"/>
        <v>57922</v>
      </c>
      <c r="EC23" s="2">
        <f t="shared" si="16"/>
        <v>1096510</v>
      </c>
    </row>
    <row r="24" spans="1:133" x14ac:dyDescent="0.25">
      <c r="A24" s="13">
        <v>42430</v>
      </c>
      <c r="B24">
        <v>0</v>
      </c>
      <c r="C24">
        <v>0</v>
      </c>
      <c r="D24">
        <v>0</v>
      </c>
      <c r="E24">
        <v>0</v>
      </c>
      <c r="F24">
        <v>1070</v>
      </c>
      <c r="G24">
        <v>15881</v>
      </c>
      <c r="H24">
        <v>36989</v>
      </c>
      <c r="I24">
        <v>1054</v>
      </c>
      <c r="J24">
        <v>2406</v>
      </c>
      <c r="K24">
        <v>705</v>
      </c>
      <c r="L24">
        <v>24025</v>
      </c>
      <c r="M24">
        <v>1337</v>
      </c>
      <c r="N24">
        <v>395</v>
      </c>
      <c r="O24">
        <v>1080</v>
      </c>
      <c r="P24">
        <v>11597</v>
      </c>
      <c r="Q24">
        <v>278</v>
      </c>
      <c r="R24">
        <v>7026</v>
      </c>
      <c r="S24">
        <v>11601</v>
      </c>
      <c r="T24">
        <v>27</v>
      </c>
      <c r="U24">
        <v>2162</v>
      </c>
      <c r="V24">
        <v>93</v>
      </c>
      <c r="W24">
        <v>11420</v>
      </c>
      <c r="X24">
        <v>429</v>
      </c>
      <c r="Y24">
        <v>11</v>
      </c>
      <c r="Z24">
        <v>10</v>
      </c>
      <c r="AA24">
        <v>7</v>
      </c>
      <c r="AB24">
        <v>251</v>
      </c>
      <c r="AC24">
        <v>26</v>
      </c>
      <c r="AD24">
        <v>40</v>
      </c>
      <c r="AE24">
        <v>37</v>
      </c>
      <c r="AF24">
        <v>70</v>
      </c>
      <c r="AG24">
        <v>42</v>
      </c>
      <c r="AH24">
        <v>998</v>
      </c>
      <c r="AI24">
        <v>6</v>
      </c>
      <c r="AJ24">
        <v>14178</v>
      </c>
      <c r="AK24">
        <v>115834</v>
      </c>
      <c r="AL24">
        <v>2779</v>
      </c>
      <c r="AM24">
        <v>22138</v>
      </c>
      <c r="AN24">
        <v>21</v>
      </c>
      <c r="AO24">
        <v>25</v>
      </c>
      <c r="AP24">
        <v>10629</v>
      </c>
      <c r="AQ24">
        <v>0</v>
      </c>
      <c r="AR24">
        <v>836</v>
      </c>
      <c r="AS24">
        <v>54</v>
      </c>
      <c r="AT24">
        <v>11605</v>
      </c>
      <c r="AU24">
        <v>2644</v>
      </c>
      <c r="AV24">
        <v>5179</v>
      </c>
      <c r="AW24">
        <v>16768</v>
      </c>
      <c r="AX24" s="88">
        <v>36</v>
      </c>
      <c r="AY24" s="88">
        <v>17</v>
      </c>
      <c r="AZ24" s="88">
        <v>1011</v>
      </c>
      <c r="BA24" s="88">
        <v>0</v>
      </c>
      <c r="BB24">
        <v>145</v>
      </c>
      <c r="BC24">
        <v>622</v>
      </c>
      <c r="BD24">
        <v>0</v>
      </c>
      <c r="BE24">
        <v>0</v>
      </c>
      <c r="BF24">
        <v>7651</v>
      </c>
      <c r="BG24">
        <v>0</v>
      </c>
      <c r="BH24">
        <v>0</v>
      </c>
      <c r="BI24">
        <v>0</v>
      </c>
      <c r="BJ24">
        <v>58</v>
      </c>
      <c r="BK24">
        <v>5517</v>
      </c>
      <c r="BL24">
        <v>0</v>
      </c>
      <c r="BM24">
        <v>374</v>
      </c>
      <c r="BN24">
        <v>2</v>
      </c>
      <c r="BO24">
        <v>112462</v>
      </c>
      <c r="BP24">
        <v>76769</v>
      </c>
      <c r="BQ24">
        <v>685</v>
      </c>
      <c r="BR24">
        <v>94</v>
      </c>
      <c r="BS24">
        <v>25262</v>
      </c>
      <c r="BT24">
        <v>461</v>
      </c>
      <c r="BU24">
        <v>8</v>
      </c>
      <c r="BV24">
        <v>1</v>
      </c>
      <c r="BW24">
        <v>4</v>
      </c>
      <c r="BX24">
        <v>6073</v>
      </c>
      <c r="BY24">
        <v>210</v>
      </c>
      <c r="BZ24">
        <v>0</v>
      </c>
      <c r="CA24">
        <v>23378</v>
      </c>
      <c r="CB24">
        <v>15983</v>
      </c>
      <c r="CC24">
        <v>134885</v>
      </c>
      <c r="CD24">
        <v>275120</v>
      </c>
      <c r="CE24">
        <v>30315</v>
      </c>
      <c r="CF24">
        <v>50110</v>
      </c>
      <c r="CG24">
        <v>0</v>
      </c>
      <c r="CH24">
        <v>17</v>
      </c>
      <c r="CI24">
        <v>3</v>
      </c>
      <c r="CJ24">
        <v>27</v>
      </c>
      <c r="CQ24">
        <v>244</v>
      </c>
      <c r="CR24">
        <v>8</v>
      </c>
      <c r="CY24">
        <v>0</v>
      </c>
      <c r="CZ24">
        <v>0</v>
      </c>
      <c r="DA24">
        <v>0</v>
      </c>
      <c r="DB24">
        <v>15</v>
      </c>
      <c r="DC24">
        <v>0</v>
      </c>
      <c r="DD24">
        <v>27</v>
      </c>
      <c r="DF24" s="2"/>
      <c r="DG24" s="2">
        <f t="shared" si="0"/>
        <v>766144</v>
      </c>
      <c r="DH24" s="2">
        <f t="shared" si="1"/>
        <v>276669</v>
      </c>
      <c r="DI24" s="2">
        <f t="shared" si="17"/>
        <v>1042813</v>
      </c>
      <c r="DK24" s="2">
        <f t="shared" si="3"/>
        <v>59045</v>
      </c>
      <c r="DL24" s="2">
        <f t="shared" si="4"/>
        <v>156133</v>
      </c>
      <c r="DM24" s="2">
        <f t="shared" si="5"/>
        <v>11601</v>
      </c>
      <c r="DN24" s="2">
        <f t="shared" si="6"/>
        <v>49630</v>
      </c>
      <c r="DO24" s="2">
        <f t="shared" si="7"/>
        <v>465275</v>
      </c>
      <c r="DP24" s="2">
        <f t="shared" si="8"/>
        <v>103044</v>
      </c>
      <c r="DQ24" s="2">
        <f t="shared" si="9"/>
        <v>252</v>
      </c>
      <c r="DR24" s="2">
        <f t="shared" si="10"/>
        <v>16010</v>
      </c>
      <c r="DS24" s="2">
        <f t="shared" si="11"/>
        <v>112470</v>
      </c>
      <c r="DT24" s="2">
        <f t="shared" si="12"/>
        <v>13172</v>
      </c>
      <c r="DU24" s="2"/>
      <c r="DV24" s="2"/>
      <c r="DW24" s="2"/>
      <c r="DX24" s="2">
        <f t="shared" si="18"/>
        <v>986632</v>
      </c>
      <c r="DZ24" s="2">
        <f t="shared" si="14"/>
        <v>584887</v>
      </c>
      <c r="EA24" s="2">
        <f t="shared" si="15"/>
        <v>58500</v>
      </c>
      <c r="EC24" s="2">
        <f t="shared" si="16"/>
        <v>1101313</v>
      </c>
    </row>
    <row r="25" spans="1:133" x14ac:dyDescent="0.25">
      <c r="A25" s="13">
        <v>42461</v>
      </c>
      <c r="B25">
        <v>0</v>
      </c>
      <c r="C25">
        <v>0</v>
      </c>
      <c r="D25">
        <v>0</v>
      </c>
      <c r="E25">
        <v>0</v>
      </c>
      <c r="F25">
        <v>1098</v>
      </c>
      <c r="G25">
        <v>15966</v>
      </c>
      <c r="H25">
        <v>37476</v>
      </c>
      <c r="I25">
        <v>1048</v>
      </c>
      <c r="J25">
        <v>2407</v>
      </c>
      <c r="K25">
        <v>782</v>
      </c>
      <c r="L25">
        <v>24406</v>
      </c>
      <c r="M25">
        <v>1346</v>
      </c>
      <c r="N25">
        <v>434</v>
      </c>
      <c r="O25">
        <v>1124</v>
      </c>
      <c r="P25">
        <v>11550</v>
      </c>
      <c r="Q25">
        <v>281</v>
      </c>
      <c r="R25">
        <v>7007</v>
      </c>
      <c r="S25">
        <v>11726</v>
      </c>
      <c r="T25">
        <v>32</v>
      </c>
      <c r="U25">
        <v>2225</v>
      </c>
      <c r="V25">
        <v>93</v>
      </c>
      <c r="W25">
        <v>11674</v>
      </c>
      <c r="X25">
        <v>458</v>
      </c>
      <c r="Y25">
        <v>10</v>
      </c>
      <c r="Z25">
        <v>9</v>
      </c>
      <c r="AA25">
        <v>7</v>
      </c>
      <c r="AB25">
        <v>252</v>
      </c>
      <c r="AC25">
        <v>26</v>
      </c>
      <c r="AD25">
        <v>39</v>
      </c>
      <c r="AE25">
        <v>35</v>
      </c>
      <c r="AF25">
        <v>73</v>
      </c>
      <c r="AG25">
        <v>52</v>
      </c>
      <c r="AH25">
        <v>1038</v>
      </c>
      <c r="AI25">
        <v>7</v>
      </c>
      <c r="AJ25">
        <v>14325</v>
      </c>
      <c r="AK25">
        <v>115768</v>
      </c>
      <c r="AL25">
        <v>2766</v>
      </c>
      <c r="AM25">
        <v>22134</v>
      </c>
      <c r="AN25">
        <v>21</v>
      </c>
      <c r="AO25">
        <v>33</v>
      </c>
      <c r="AP25">
        <v>10911</v>
      </c>
      <c r="AQ25">
        <v>0</v>
      </c>
      <c r="AR25">
        <v>900</v>
      </c>
      <c r="AS25">
        <v>56</v>
      </c>
      <c r="AT25">
        <v>11691</v>
      </c>
      <c r="AU25">
        <v>2617</v>
      </c>
      <c r="AV25">
        <v>5180</v>
      </c>
      <c r="AW25">
        <v>16825</v>
      </c>
      <c r="AX25" s="88">
        <v>34</v>
      </c>
      <c r="AY25" s="88">
        <v>19</v>
      </c>
      <c r="AZ25" s="88">
        <v>1011</v>
      </c>
      <c r="BA25" s="88">
        <v>0</v>
      </c>
      <c r="BB25">
        <v>148</v>
      </c>
      <c r="BC25">
        <v>629</v>
      </c>
      <c r="BD25">
        <v>0</v>
      </c>
      <c r="BE25">
        <v>0</v>
      </c>
      <c r="BF25">
        <v>7672</v>
      </c>
      <c r="BG25">
        <v>0</v>
      </c>
      <c r="BH25">
        <v>0</v>
      </c>
      <c r="BI25">
        <v>0</v>
      </c>
      <c r="BJ25">
        <v>58</v>
      </c>
      <c r="BK25">
        <v>5481</v>
      </c>
      <c r="BL25">
        <v>1</v>
      </c>
      <c r="BM25">
        <v>407</v>
      </c>
      <c r="BN25">
        <v>2</v>
      </c>
      <c r="BO25">
        <v>113596</v>
      </c>
      <c r="BP25">
        <v>76753</v>
      </c>
      <c r="BQ25">
        <v>645</v>
      </c>
      <c r="BR25">
        <v>90</v>
      </c>
      <c r="BS25">
        <v>25461</v>
      </c>
      <c r="BT25">
        <v>444</v>
      </c>
      <c r="BU25">
        <v>8</v>
      </c>
      <c r="BV25">
        <v>1</v>
      </c>
      <c r="BW25">
        <v>4</v>
      </c>
      <c r="BX25">
        <v>6687</v>
      </c>
      <c r="BY25">
        <v>223</v>
      </c>
      <c r="BZ25">
        <v>0</v>
      </c>
      <c r="CA25">
        <v>23582</v>
      </c>
      <c r="CB25">
        <v>16535</v>
      </c>
      <c r="CC25">
        <v>135546</v>
      </c>
      <c r="CD25">
        <v>276373</v>
      </c>
      <c r="CE25">
        <v>30707</v>
      </c>
      <c r="CF25">
        <v>50717</v>
      </c>
      <c r="CG25">
        <v>0</v>
      </c>
      <c r="CH25">
        <v>12</v>
      </c>
      <c r="CI25">
        <v>3</v>
      </c>
      <c r="CJ25">
        <v>30</v>
      </c>
      <c r="CQ25">
        <v>277</v>
      </c>
      <c r="CR25">
        <v>6</v>
      </c>
      <c r="CY25">
        <v>0</v>
      </c>
      <c r="CZ25">
        <v>0</v>
      </c>
      <c r="DA25">
        <v>0</v>
      </c>
      <c r="DB25">
        <v>15</v>
      </c>
      <c r="DC25">
        <v>0</v>
      </c>
      <c r="DD25">
        <v>27</v>
      </c>
      <c r="DF25" s="2"/>
      <c r="DG25" s="2">
        <f t="shared" si="0"/>
        <v>771720</v>
      </c>
      <c r="DH25" s="2">
        <f t="shared" si="1"/>
        <v>278140</v>
      </c>
      <c r="DI25" s="2">
        <f t="shared" si="17"/>
        <v>1049860</v>
      </c>
      <c r="DK25" s="2">
        <f t="shared" si="3"/>
        <v>59738</v>
      </c>
      <c r="DL25" s="2">
        <f t="shared" si="4"/>
        <v>156407</v>
      </c>
      <c r="DM25" s="2">
        <f t="shared" si="5"/>
        <v>11726</v>
      </c>
      <c r="DN25" s="2">
        <f t="shared" si="6"/>
        <v>49976</v>
      </c>
      <c r="DO25" s="2">
        <f t="shared" si="7"/>
        <v>467738</v>
      </c>
      <c r="DP25" s="2">
        <f t="shared" si="8"/>
        <v>103269</v>
      </c>
      <c r="DQ25" s="2">
        <f t="shared" si="9"/>
        <v>283</v>
      </c>
      <c r="DR25" s="2">
        <f t="shared" si="10"/>
        <v>16556</v>
      </c>
      <c r="DS25" s="2">
        <f t="shared" si="11"/>
        <v>113604</v>
      </c>
      <c r="DT25" s="2">
        <f t="shared" si="12"/>
        <v>13158</v>
      </c>
      <c r="DU25" s="2"/>
      <c r="DV25" s="2"/>
      <c r="DW25" s="2"/>
      <c r="DX25" s="2">
        <f t="shared" si="18"/>
        <v>992455</v>
      </c>
      <c r="DZ25" s="2">
        <f t="shared" si="14"/>
        <v>588510</v>
      </c>
      <c r="EA25" s="2">
        <f t="shared" si="15"/>
        <v>59211</v>
      </c>
      <c r="EC25" s="2">
        <f t="shared" si="16"/>
        <v>1109071</v>
      </c>
    </row>
    <row r="26" spans="1:133" x14ac:dyDescent="0.25">
      <c r="A26" s="13">
        <v>42491</v>
      </c>
      <c r="B26">
        <v>0</v>
      </c>
      <c r="C26">
        <v>0</v>
      </c>
      <c r="D26">
        <v>0</v>
      </c>
      <c r="E26">
        <v>0</v>
      </c>
      <c r="F26">
        <v>1077</v>
      </c>
      <c r="G26">
        <v>16154</v>
      </c>
      <c r="H26">
        <v>37977</v>
      </c>
      <c r="I26">
        <v>1046</v>
      </c>
      <c r="J26">
        <v>2384</v>
      </c>
      <c r="K26">
        <v>821</v>
      </c>
      <c r="L26">
        <v>24700</v>
      </c>
      <c r="M26">
        <v>1336</v>
      </c>
      <c r="N26">
        <v>452</v>
      </c>
      <c r="O26">
        <v>1150</v>
      </c>
      <c r="P26">
        <v>11555</v>
      </c>
      <c r="Q26">
        <v>284</v>
      </c>
      <c r="R26">
        <v>6980</v>
      </c>
      <c r="S26">
        <v>11791</v>
      </c>
      <c r="T26">
        <v>32</v>
      </c>
      <c r="U26">
        <v>2289</v>
      </c>
      <c r="V26">
        <v>86</v>
      </c>
      <c r="W26">
        <v>11803</v>
      </c>
      <c r="X26">
        <v>451</v>
      </c>
      <c r="Y26">
        <v>9</v>
      </c>
      <c r="Z26">
        <v>7</v>
      </c>
      <c r="AA26">
        <v>7</v>
      </c>
      <c r="AB26">
        <v>243</v>
      </c>
      <c r="AC26">
        <v>26</v>
      </c>
      <c r="AD26">
        <v>37</v>
      </c>
      <c r="AE26">
        <v>36</v>
      </c>
      <c r="AF26">
        <v>70</v>
      </c>
      <c r="AG26">
        <v>54</v>
      </c>
      <c r="AH26">
        <v>1064</v>
      </c>
      <c r="AI26">
        <v>7</v>
      </c>
      <c r="AJ26">
        <v>14375</v>
      </c>
      <c r="AK26">
        <v>115284</v>
      </c>
      <c r="AL26">
        <v>2752</v>
      </c>
      <c r="AM26">
        <v>22098</v>
      </c>
      <c r="AN26">
        <v>19</v>
      </c>
      <c r="AO26">
        <v>33</v>
      </c>
      <c r="AP26">
        <v>11074</v>
      </c>
      <c r="AQ26">
        <v>0</v>
      </c>
      <c r="AR26">
        <v>929</v>
      </c>
      <c r="AS26">
        <v>57</v>
      </c>
      <c r="AT26">
        <v>11767</v>
      </c>
      <c r="AU26">
        <v>2614</v>
      </c>
      <c r="AV26">
        <v>5125</v>
      </c>
      <c r="AW26">
        <v>16794</v>
      </c>
      <c r="AX26" s="88">
        <v>32</v>
      </c>
      <c r="AY26" s="88">
        <v>14</v>
      </c>
      <c r="AZ26" s="88">
        <v>1005</v>
      </c>
      <c r="BA26" s="88">
        <v>0</v>
      </c>
      <c r="BB26">
        <v>143</v>
      </c>
      <c r="BC26">
        <v>630</v>
      </c>
      <c r="BD26">
        <v>0</v>
      </c>
      <c r="BE26">
        <v>0</v>
      </c>
      <c r="BF26">
        <v>7698</v>
      </c>
      <c r="BG26">
        <v>0</v>
      </c>
      <c r="BH26">
        <v>0</v>
      </c>
      <c r="BI26">
        <v>0</v>
      </c>
      <c r="BJ26">
        <v>62</v>
      </c>
      <c r="BK26">
        <v>5518</v>
      </c>
      <c r="BL26">
        <v>0</v>
      </c>
      <c r="BM26">
        <v>377</v>
      </c>
      <c r="BN26">
        <v>2</v>
      </c>
      <c r="BO26">
        <v>108417</v>
      </c>
      <c r="BP26">
        <v>76570</v>
      </c>
      <c r="BQ26">
        <v>600</v>
      </c>
      <c r="BR26">
        <v>81</v>
      </c>
      <c r="BS26">
        <v>25544</v>
      </c>
      <c r="BT26">
        <v>428</v>
      </c>
      <c r="BU26">
        <v>1</v>
      </c>
      <c r="BV26">
        <v>0</v>
      </c>
      <c r="BW26">
        <v>4</v>
      </c>
      <c r="BX26">
        <v>7222</v>
      </c>
      <c r="BY26">
        <v>244</v>
      </c>
      <c r="BZ26">
        <v>0</v>
      </c>
      <c r="CA26">
        <v>23711</v>
      </c>
      <c r="CB26">
        <v>16672</v>
      </c>
      <c r="CC26">
        <v>135872</v>
      </c>
      <c r="CD26">
        <v>277134</v>
      </c>
      <c r="CE26">
        <v>30650</v>
      </c>
      <c r="CF26">
        <v>51096</v>
      </c>
      <c r="CG26">
        <v>0</v>
      </c>
      <c r="CH26">
        <v>14</v>
      </c>
      <c r="CI26">
        <v>4</v>
      </c>
      <c r="CJ26">
        <v>31</v>
      </c>
      <c r="CQ26">
        <v>292</v>
      </c>
      <c r="CR26">
        <v>7</v>
      </c>
      <c r="CY26">
        <v>0</v>
      </c>
      <c r="CZ26">
        <v>0</v>
      </c>
      <c r="DA26">
        <v>0</v>
      </c>
      <c r="DB26">
        <v>14</v>
      </c>
      <c r="DC26">
        <v>0</v>
      </c>
      <c r="DD26">
        <v>27</v>
      </c>
      <c r="DF26" s="2"/>
      <c r="DG26" s="2">
        <f t="shared" si="0"/>
        <v>768628</v>
      </c>
      <c r="DH26" s="2">
        <f t="shared" si="1"/>
        <v>278387</v>
      </c>
      <c r="DI26" s="2">
        <f t="shared" si="17"/>
        <v>1047015</v>
      </c>
      <c r="DK26" s="2">
        <f t="shared" si="3"/>
        <v>60215</v>
      </c>
      <c r="DL26" s="2">
        <f t="shared" si="4"/>
        <v>156004</v>
      </c>
      <c r="DM26" s="2">
        <f t="shared" si="5"/>
        <v>11791</v>
      </c>
      <c r="DN26" s="2">
        <f t="shared" si="6"/>
        <v>50069</v>
      </c>
      <c r="DO26" s="2">
        <f t="shared" si="7"/>
        <v>468851</v>
      </c>
      <c r="DP26" s="2">
        <f t="shared" si="8"/>
        <v>103135</v>
      </c>
      <c r="DQ26" s="2">
        <f t="shared" si="9"/>
        <v>299</v>
      </c>
      <c r="DR26" s="2">
        <f t="shared" si="10"/>
        <v>16693</v>
      </c>
      <c r="DS26" s="2">
        <f t="shared" si="11"/>
        <v>108418</v>
      </c>
      <c r="DT26" s="2">
        <f t="shared" si="12"/>
        <v>13220</v>
      </c>
      <c r="DU26" s="2"/>
      <c r="DV26" s="2"/>
      <c r="DW26" s="2"/>
      <c r="DX26" s="2">
        <f t="shared" si="18"/>
        <v>988695</v>
      </c>
      <c r="DZ26" s="2">
        <f t="shared" si="14"/>
        <v>590728</v>
      </c>
      <c r="EA26" s="2">
        <f t="shared" si="15"/>
        <v>59911</v>
      </c>
      <c r="EC26" s="2">
        <f t="shared" si="16"/>
        <v>1106926</v>
      </c>
    </row>
    <row r="27" spans="1:133" x14ac:dyDescent="0.25">
      <c r="A27" s="13">
        <v>42522</v>
      </c>
      <c r="B27">
        <v>0</v>
      </c>
      <c r="C27">
        <v>0</v>
      </c>
      <c r="D27">
        <v>0</v>
      </c>
      <c r="E27">
        <v>0</v>
      </c>
      <c r="F27">
        <v>1093</v>
      </c>
      <c r="G27">
        <v>16359</v>
      </c>
      <c r="H27">
        <v>38276</v>
      </c>
      <c r="I27">
        <v>1006</v>
      </c>
      <c r="J27">
        <v>2371</v>
      </c>
      <c r="K27">
        <v>851</v>
      </c>
      <c r="L27">
        <v>24875</v>
      </c>
      <c r="M27">
        <v>1331</v>
      </c>
      <c r="N27">
        <v>467</v>
      </c>
      <c r="O27">
        <v>1170</v>
      </c>
      <c r="P27">
        <v>11575</v>
      </c>
      <c r="Q27">
        <v>278</v>
      </c>
      <c r="R27">
        <v>6902</v>
      </c>
      <c r="S27">
        <v>11866</v>
      </c>
      <c r="T27">
        <v>30</v>
      </c>
      <c r="U27">
        <v>2341</v>
      </c>
      <c r="V27">
        <v>83</v>
      </c>
      <c r="W27">
        <v>11975</v>
      </c>
      <c r="X27">
        <v>453</v>
      </c>
      <c r="Y27">
        <v>9</v>
      </c>
      <c r="Z27">
        <v>13</v>
      </c>
      <c r="AA27">
        <v>8</v>
      </c>
      <c r="AB27">
        <v>242</v>
      </c>
      <c r="AC27">
        <v>25</v>
      </c>
      <c r="AD27">
        <v>36</v>
      </c>
      <c r="AE27">
        <v>32</v>
      </c>
      <c r="AF27">
        <v>73</v>
      </c>
      <c r="AG27">
        <v>52</v>
      </c>
      <c r="AH27">
        <v>1077</v>
      </c>
      <c r="AI27">
        <v>6</v>
      </c>
      <c r="AJ27">
        <v>14504</v>
      </c>
      <c r="AK27">
        <v>115161</v>
      </c>
      <c r="AL27">
        <v>2752</v>
      </c>
      <c r="AM27">
        <v>21944</v>
      </c>
      <c r="AN27">
        <v>20</v>
      </c>
      <c r="AO27">
        <v>37</v>
      </c>
      <c r="AP27">
        <v>11213</v>
      </c>
      <c r="AQ27">
        <v>0</v>
      </c>
      <c r="AR27">
        <v>929</v>
      </c>
      <c r="AS27">
        <v>58</v>
      </c>
      <c r="AT27">
        <v>11838</v>
      </c>
      <c r="AU27">
        <v>2629</v>
      </c>
      <c r="AV27">
        <v>5098</v>
      </c>
      <c r="AW27">
        <v>16673</v>
      </c>
      <c r="AX27" s="88">
        <v>32</v>
      </c>
      <c r="AY27" s="88">
        <v>19</v>
      </c>
      <c r="AZ27" s="88">
        <v>991</v>
      </c>
      <c r="BA27" s="88">
        <v>0</v>
      </c>
      <c r="BB27">
        <v>147</v>
      </c>
      <c r="BC27">
        <v>627</v>
      </c>
      <c r="BD27">
        <v>0</v>
      </c>
      <c r="BE27">
        <v>0</v>
      </c>
      <c r="BF27">
        <v>7685</v>
      </c>
      <c r="BG27">
        <v>0</v>
      </c>
      <c r="BH27">
        <v>0</v>
      </c>
      <c r="BI27">
        <v>0</v>
      </c>
      <c r="BJ27">
        <v>55</v>
      </c>
      <c r="BK27">
        <v>5580</v>
      </c>
      <c r="BL27">
        <v>0</v>
      </c>
      <c r="BM27">
        <v>366</v>
      </c>
      <c r="BN27">
        <v>2</v>
      </c>
      <c r="BO27">
        <v>106781</v>
      </c>
      <c r="BP27">
        <v>76185</v>
      </c>
      <c r="BQ27">
        <v>572</v>
      </c>
      <c r="BR27">
        <v>67</v>
      </c>
      <c r="BS27">
        <v>25342</v>
      </c>
      <c r="BT27">
        <v>400</v>
      </c>
      <c r="BU27">
        <v>5</v>
      </c>
      <c r="BV27">
        <v>0</v>
      </c>
      <c r="BW27">
        <v>4</v>
      </c>
      <c r="BX27">
        <v>7575</v>
      </c>
      <c r="BY27">
        <v>254</v>
      </c>
      <c r="BZ27">
        <v>0</v>
      </c>
      <c r="CA27">
        <v>23880</v>
      </c>
      <c r="CB27">
        <v>16507</v>
      </c>
      <c r="CC27">
        <v>135673</v>
      </c>
      <c r="CD27">
        <v>278072</v>
      </c>
      <c r="CE27">
        <v>30567</v>
      </c>
      <c r="CF27">
        <v>51432</v>
      </c>
      <c r="CG27">
        <v>0</v>
      </c>
      <c r="CH27">
        <v>13</v>
      </c>
      <c r="CI27">
        <v>4</v>
      </c>
      <c r="CJ27">
        <v>33</v>
      </c>
      <c r="CQ27">
        <v>310</v>
      </c>
      <c r="CR27">
        <v>9</v>
      </c>
      <c r="CY27">
        <v>0</v>
      </c>
      <c r="CZ27">
        <v>0</v>
      </c>
      <c r="DA27">
        <v>0</v>
      </c>
      <c r="DB27">
        <v>14</v>
      </c>
      <c r="DC27">
        <v>0</v>
      </c>
      <c r="DD27">
        <v>27</v>
      </c>
      <c r="DF27" s="2"/>
      <c r="DG27" s="2">
        <f t="shared" si="0"/>
        <v>767732</v>
      </c>
      <c r="DH27" s="2">
        <f t="shared" si="1"/>
        <v>278767</v>
      </c>
      <c r="DI27" s="2">
        <f t="shared" si="17"/>
        <v>1046499</v>
      </c>
      <c r="DK27" s="2">
        <f t="shared" si="3"/>
        <v>60560</v>
      </c>
      <c r="DL27" s="2">
        <f t="shared" si="4"/>
        <v>156067</v>
      </c>
      <c r="DM27" s="2">
        <f t="shared" si="5"/>
        <v>11866</v>
      </c>
      <c r="DN27" s="2">
        <f t="shared" si="6"/>
        <v>49940</v>
      </c>
      <c r="DO27" s="2">
        <f t="shared" si="7"/>
        <v>469611</v>
      </c>
      <c r="DP27" s="2">
        <f t="shared" si="8"/>
        <v>102539</v>
      </c>
      <c r="DQ27" s="2">
        <f t="shared" si="9"/>
        <v>319</v>
      </c>
      <c r="DR27" s="2">
        <f t="shared" si="10"/>
        <v>16533</v>
      </c>
      <c r="DS27" s="2">
        <f t="shared" si="11"/>
        <v>106786</v>
      </c>
      <c r="DT27" s="2">
        <f t="shared" si="12"/>
        <v>13269</v>
      </c>
      <c r="DU27" s="2"/>
      <c r="DV27" s="2"/>
      <c r="DW27" s="2"/>
      <c r="DX27" s="2">
        <f t="shared" si="18"/>
        <v>987490</v>
      </c>
      <c r="DZ27" s="2">
        <f t="shared" si="14"/>
        <v>592324</v>
      </c>
      <c r="EA27" s="2">
        <f t="shared" si="15"/>
        <v>60423</v>
      </c>
      <c r="EC27" s="2">
        <f t="shared" si="16"/>
        <v>1106922</v>
      </c>
    </row>
    <row r="28" spans="1:133" x14ac:dyDescent="0.25">
      <c r="A28" s="13">
        <v>42552</v>
      </c>
      <c r="B28">
        <v>0</v>
      </c>
      <c r="C28">
        <v>0</v>
      </c>
      <c r="D28">
        <v>0</v>
      </c>
      <c r="E28">
        <v>0</v>
      </c>
      <c r="F28">
        <v>1086</v>
      </c>
      <c r="G28">
        <v>16326</v>
      </c>
      <c r="H28">
        <v>38579</v>
      </c>
      <c r="I28">
        <v>991</v>
      </c>
      <c r="J28">
        <v>2323</v>
      </c>
      <c r="K28">
        <v>889</v>
      </c>
      <c r="L28">
        <v>25233</v>
      </c>
      <c r="M28">
        <v>1364</v>
      </c>
      <c r="N28">
        <v>489</v>
      </c>
      <c r="O28">
        <v>1180</v>
      </c>
      <c r="P28">
        <v>11562</v>
      </c>
      <c r="Q28">
        <v>274</v>
      </c>
      <c r="R28">
        <v>6819</v>
      </c>
      <c r="S28">
        <v>11986</v>
      </c>
      <c r="T28">
        <v>31</v>
      </c>
      <c r="U28">
        <v>2448</v>
      </c>
      <c r="V28">
        <v>80</v>
      </c>
      <c r="W28">
        <v>12348</v>
      </c>
      <c r="X28">
        <v>465</v>
      </c>
      <c r="Y28">
        <v>9</v>
      </c>
      <c r="Z28">
        <v>14</v>
      </c>
      <c r="AA28">
        <v>7</v>
      </c>
      <c r="AB28">
        <v>243</v>
      </c>
      <c r="AC28">
        <v>25</v>
      </c>
      <c r="AD28">
        <v>36</v>
      </c>
      <c r="AE28">
        <v>29</v>
      </c>
      <c r="AF28">
        <v>72</v>
      </c>
      <c r="AG28">
        <v>52</v>
      </c>
      <c r="AH28">
        <v>1139</v>
      </c>
      <c r="AI28">
        <v>5</v>
      </c>
      <c r="AJ28">
        <v>14738</v>
      </c>
      <c r="AK28">
        <v>115101</v>
      </c>
      <c r="AL28">
        <v>2748</v>
      </c>
      <c r="AM28">
        <v>21911</v>
      </c>
      <c r="AN28">
        <v>22</v>
      </c>
      <c r="AO28">
        <v>51</v>
      </c>
      <c r="AP28">
        <v>11322</v>
      </c>
      <c r="AQ28">
        <v>0</v>
      </c>
      <c r="AR28">
        <v>898</v>
      </c>
      <c r="AS28">
        <v>60</v>
      </c>
      <c r="AT28">
        <v>11752</v>
      </c>
      <c r="AU28">
        <v>2593</v>
      </c>
      <c r="AV28">
        <v>5007</v>
      </c>
      <c r="AW28">
        <v>16625</v>
      </c>
      <c r="AX28" s="88">
        <v>36</v>
      </c>
      <c r="AY28" s="88">
        <v>24</v>
      </c>
      <c r="AZ28" s="88">
        <v>995</v>
      </c>
      <c r="BA28" s="88">
        <v>1</v>
      </c>
      <c r="BB28">
        <v>140</v>
      </c>
      <c r="BC28">
        <v>644</v>
      </c>
      <c r="BD28">
        <v>0</v>
      </c>
      <c r="BE28">
        <v>0</v>
      </c>
      <c r="BF28">
        <v>7693</v>
      </c>
      <c r="BG28">
        <v>0</v>
      </c>
      <c r="BH28">
        <v>0</v>
      </c>
      <c r="BI28">
        <v>0</v>
      </c>
      <c r="BJ28">
        <v>57</v>
      </c>
      <c r="BK28">
        <v>5614</v>
      </c>
      <c r="BL28">
        <v>0</v>
      </c>
      <c r="BM28">
        <v>351</v>
      </c>
      <c r="BN28">
        <v>2</v>
      </c>
      <c r="BO28">
        <v>108398</v>
      </c>
      <c r="BP28">
        <v>76605</v>
      </c>
      <c r="BQ28">
        <v>594</v>
      </c>
      <c r="BR28">
        <v>56</v>
      </c>
      <c r="BS28">
        <v>25491</v>
      </c>
      <c r="BT28">
        <v>437</v>
      </c>
      <c r="BU28">
        <v>11</v>
      </c>
      <c r="BV28">
        <v>0</v>
      </c>
      <c r="BW28">
        <v>4</v>
      </c>
      <c r="BX28">
        <v>7991</v>
      </c>
      <c r="BY28">
        <v>278</v>
      </c>
      <c r="BZ28">
        <v>0</v>
      </c>
      <c r="CA28">
        <v>24106</v>
      </c>
      <c r="CB28">
        <v>16599</v>
      </c>
      <c r="CC28">
        <v>135560</v>
      </c>
      <c r="CD28">
        <v>278756</v>
      </c>
      <c r="CE28">
        <v>30775</v>
      </c>
      <c r="CF28">
        <v>51468</v>
      </c>
      <c r="CG28">
        <v>0</v>
      </c>
      <c r="CH28">
        <v>19</v>
      </c>
      <c r="CI28">
        <v>4</v>
      </c>
      <c r="CJ28">
        <v>35</v>
      </c>
      <c r="CQ28">
        <v>326</v>
      </c>
      <c r="CR28">
        <v>11</v>
      </c>
      <c r="CY28">
        <v>0</v>
      </c>
      <c r="CZ28">
        <v>0</v>
      </c>
      <c r="DA28">
        <v>0</v>
      </c>
      <c r="DB28">
        <v>14</v>
      </c>
      <c r="DC28">
        <v>0</v>
      </c>
      <c r="DD28">
        <v>27</v>
      </c>
      <c r="DF28" s="2"/>
      <c r="DG28" s="2">
        <f t="shared" si="0"/>
        <v>771608</v>
      </c>
      <c r="DH28" s="2">
        <f t="shared" si="1"/>
        <v>279722</v>
      </c>
      <c r="DI28" s="2">
        <f t="shared" si="17"/>
        <v>1051330</v>
      </c>
      <c r="DK28" s="2">
        <f t="shared" si="3"/>
        <v>61339</v>
      </c>
      <c r="DL28" s="2">
        <f t="shared" si="4"/>
        <v>156065</v>
      </c>
      <c r="DM28" s="2">
        <f t="shared" si="5"/>
        <v>11986</v>
      </c>
      <c r="DN28" s="2">
        <f t="shared" si="6"/>
        <v>49981</v>
      </c>
      <c r="DO28" s="2">
        <f t="shared" si="7"/>
        <v>470696</v>
      </c>
      <c r="DP28" s="2">
        <f t="shared" si="8"/>
        <v>103115</v>
      </c>
      <c r="DQ28" s="2">
        <f t="shared" si="9"/>
        <v>337</v>
      </c>
      <c r="DR28" s="2">
        <f t="shared" si="10"/>
        <v>16632</v>
      </c>
      <c r="DS28" s="2">
        <f t="shared" si="11"/>
        <v>108409</v>
      </c>
      <c r="DT28" s="2">
        <f t="shared" si="12"/>
        <v>13311</v>
      </c>
      <c r="DU28" s="2"/>
      <c r="DV28" s="2"/>
      <c r="DW28" s="2"/>
      <c r="DX28" s="2">
        <f t="shared" si="18"/>
        <v>991871</v>
      </c>
      <c r="DZ28" s="2">
        <f t="shared" si="14"/>
        <v>593694</v>
      </c>
      <c r="EA28" s="2">
        <f t="shared" si="15"/>
        <v>60683</v>
      </c>
      <c r="EC28" s="2">
        <f t="shared" si="16"/>
        <v>1112013</v>
      </c>
    </row>
    <row r="29" spans="1:133" x14ac:dyDescent="0.25">
      <c r="A29" s="13">
        <v>42583</v>
      </c>
      <c r="B29">
        <v>0</v>
      </c>
      <c r="C29">
        <v>0</v>
      </c>
      <c r="D29">
        <v>0</v>
      </c>
      <c r="E29">
        <v>0</v>
      </c>
      <c r="F29">
        <v>1041</v>
      </c>
      <c r="G29">
        <v>16202</v>
      </c>
      <c r="H29">
        <v>38506</v>
      </c>
      <c r="I29">
        <v>987</v>
      </c>
      <c r="J29">
        <v>2330</v>
      </c>
      <c r="K29">
        <v>914</v>
      </c>
      <c r="L29">
        <v>25734</v>
      </c>
      <c r="M29">
        <v>1360</v>
      </c>
      <c r="N29">
        <v>523</v>
      </c>
      <c r="O29">
        <v>1203</v>
      </c>
      <c r="P29">
        <v>11317</v>
      </c>
      <c r="Q29">
        <v>273</v>
      </c>
      <c r="R29">
        <v>6523</v>
      </c>
      <c r="S29">
        <v>12102</v>
      </c>
      <c r="T29">
        <v>32</v>
      </c>
      <c r="U29">
        <v>2622</v>
      </c>
      <c r="V29">
        <v>75</v>
      </c>
      <c r="W29">
        <v>12702</v>
      </c>
      <c r="X29">
        <v>466</v>
      </c>
      <c r="Y29">
        <v>8</v>
      </c>
      <c r="Z29">
        <v>10</v>
      </c>
      <c r="AA29">
        <v>5</v>
      </c>
      <c r="AB29">
        <v>235</v>
      </c>
      <c r="AC29">
        <v>24</v>
      </c>
      <c r="AD29">
        <v>36</v>
      </c>
      <c r="AE29">
        <v>30</v>
      </c>
      <c r="AF29">
        <v>64</v>
      </c>
      <c r="AG29">
        <v>49</v>
      </c>
      <c r="AH29">
        <v>1254</v>
      </c>
      <c r="AI29">
        <v>3</v>
      </c>
      <c r="AJ29">
        <v>14901</v>
      </c>
      <c r="AK29">
        <v>114104</v>
      </c>
      <c r="AL29">
        <v>2709</v>
      </c>
      <c r="AM29">
        <v>21708</v>
      </c>
      <c r="AN29">
        <v>27</v>
      </c>
      <c r="AO29">
        <v>54</v>
      </c>
      <c r="AP29">
        <v>11400</v>
      </c>
      <c r="AQ29">
        <v>0</v>
      </c>
      <c r="AR29">
        <v>879</v>
      </c>
      <c r="AS29">
        <v>59</v>
      </c>
      <c r="AT29">
        <v>11576</v>
      </c>
      <c r="AU29">
        <v>2516</v>
      </c>
      <c r="AV29">
        <v>4797</v>
      </c>
      <c r="AW29">
        <v>16462</v>
      </c>
      <c r="AX29" s="88">
        <v>27</v>
      </c>
      <c r="AY29" s="88">
        <v>30</v>
      </c>
      <c r="AZ29" s="88">
        <v>987</v>
      </c>
      <c r="BA29" s="88">
        <v>0</v>
      </c>
      <c r="BB29">
        <v>124</v>
      </c>
      <c r="BC29">
        <v>653</v>
      </c>
      <c r="BD29">
        <v>0</v>
      </c>
      <c r="BE29">
        <v>0</v>
      </c>
      <c r="BF29">
        <v>7714</v>
      </c>
      <c r="BG29">
        <v>0</v>
      </c>
      <c r="BH29">
        <v>0</v>
      </c>
      <c r="BI29">
        <v>0</v>
      </c>
      <c r="BJ29">
        <v>55</v>
      </c>
      <c r="BK29">
        <v>5612</v>
      </c>
      <c r="BL29">
        <v>0</v>
      </c>
      <c r="BM29">
        <v>339</v>
      </c>
      <c r="BN29">
        <v>2</v>
      </c>
      <c r="BO29">
        <v>108435</v>
      </c>
      <c r="BP29">
        <v>76803</v>
      </c>
      <c r="BQ29">
        <v>711</v>
      </c>
      <c r="BR29">
        <v>50</v>
      </c>
      <c r="BS29">
        <v>25780</v>
      </c>
      <c r="BT29">
        <v>576</v>
      </c>
      <c r="BU29">
        <v>2</v>
      </c>
      <c r="BV29">
        <v>0</v>
      </c>
      <c r="BW29">
        <v>3</v>
      </c>
      <c r="BX29">
        <v>8265</v>
      </c>
      <c r="BY29">
        <v>296</v>
      </c>
      <c r="BZ29">
        <v>0</v>
      </c>
      <c r="CA29">
        <v>24049</v>
      </c>
      <c r="CB29">
        <v>16128</v>
      </c>
      <c r="CC29">
        <v>134209</v>
      </c>
      <c r="CD29">
        <v>277864</v>
      </c>
      <c r="CE29">
        <v>30302</v>
      </c>
      <c r="CF29">
        <v>51310</v>
      </c>
      <c r="CG29">
        <v>0</v>
      </c>
      <c r="CH29">
        <v>15</v>
      </c>
      <c r="CI29">
        <v>4</v>
      </c>
      <c r="CJ29">
        <v>36</v>
      </c>
      <c r="CQ29">
        <v>356</v>
      </c>
      <c r="CR29">
        <v>11</v>
      </c>
      <c r="CY29">
        <v>0</v>
      </c>
      <c r="CZ29">
        <v>0</v>
      </c>
      <c r="DA29">
        <v>0</v>
      </c>
      <c r="DB29">
        <v>14</v>
      </c>
      <c r="DC29">
        <v>0</v>
      </c>
      <c r="DD29">
        <v>27</v>
      </c>
      <c r="DF29" s="2"/>
      <c r="DG29" s="2">
        <f t="shared" si="0"/>
        <v>769270</v>
      </c>
      <c r="DH29" s="2">
        <f t="shared" si="1"/>
        <v>278797</v>
      </c>
      <c r="DI29" s="2">
        <f t="shared" si="17"/>
        <v>1048067</v>
      </c>
      <c r="DK29" s="2">
        <f t="shared" si="3"/>
        <v>61841</v>
      </c>
      <c r="DL29" s="2">
        <f t="shared" si="4"/>
        <v>154789</v>
      </c>
      <c r="DM29" s="2">
        <f t="shared" si="5"/>
        <v>12102</v>
      </c>
      <c r="DN29" s="2">
        <f t="shared" si="6"/>
        <v>49688</v>
      </c>
      <c r="DO29" s="2">
        <f t="shared" si="7"/>
        <v>468181</v>
      </c>
      <c r="DP29" s="2">
        <f t="shared" si="8"/>
        <v>103605</v>
      </c>
      <c r="DQ29" s="2">
        <f t="shared" si="9"/>
        <v>367</v>
      </c>
      <c r="DR29" s="2">
        <f t="shared" si="10"/>
        <v>16153</v>
      </c>
      <c r="DS29" s="2">
        <f t="shared" si="11"/>
        <v>108437</v>
      </c>
      <c r="DT29" s="2">
        <f t="shared" si="12"/>
        <v>13329</v>
      </c>
      <c r="DU29" s="2"/>
      <c r="DV29" s="2"/>
      <c r="DW29" s="2"/>
      <c r="DX29" s="2">
        <f t="shared" si="18"/>
        <v>988492</v>
      </c>
      <c r="DZ29" s="2">
        <f t="shared" si="14"/>
        <v>590845</v>
      </c>
      <c r="EA29" s="2">
        <f t="shared" si="15"/>
        <v>60503</v>
      </c>
      <c r="EC29" s="2">
        <f t="shared" si="16"/>
        <v>1108570</v>
      </c>
    </row>
    <row r="30" spans="1:133" x14ac:dyDescent="0.25">
      <c r="A30" s="13">
        <v>42614</v>
      </c>
      <c r="B30">
        <v>0</v>
      </c>
      <c r="C30">
        <v>0</v>
      </c>
      <c r="D30">
        <v>0</v>
      </c>
      <c r="E30">
        <v>0</v>
      </c>
      <c r="F30">
        <v>1058</v>
      </c>
      <c r="G30">
        <v>16298</v>
      </c>
      <c r="H30">
        <v>38659</v>
      </c>
      <c r="I30">
        <v>972</v>
      </c>
      <c r="J30">
        <v>2355</v>
      </c>
      <c r="K30">
        <v>934</v>
      </c>
      <c r="L30">
        <v>26366</v>
      </c>
      <c r="M30">
        <v>1370</v>
      </c>
      <c r="N30">
        <v>520</v>
      </c>
      <c r="O30">
        <v>1232</v>
      </c>
      <c r="P30">
        <v>11054</v>
      </c>
      <c r="Q30">
        <v>266</v>
      </c>
      <c r="R30">
        <v>6258</v>
      </c>
      <c r="S30">
        <v>12195</v>
      </c>
      <c r="T30">
        <v>34</v>
      </c>
      <c r="U30">
        <v>2812</v>
      </c>
      <c r="V30">
        <v>73</v>
      </c>
      <c r="W30">
        <v>13213</v>
      </c>
      <c r="X30">
        <v>470</v>
      </c>
      <c r="Y30">
        <v>9</v>
      </c>
      <c r="Z30">
        <v>5</v>
      </c>
      <c r="AA30">
        <v>5</v>
      </c>
      <c r="AB30">
        <v>235</v>
      </c>
      <c r="AC30">
        <v>23</v>
      </c>
      <c r="AD30">
        <v>36</v>
      </c>
      <c r="AE30">
        <v>30</v>
      </c>
      <c r="AF30">
        <v>60</v>
      </c>
      <c r="AG30">
        <v>51</v>
      </c>
      <c r="AH30">
        <v>1329</v>
      </c>
      <c r="AI30">
        <v>3</v>
      </c>
      <c r="AJ30">
        <v>15130</v>
      </c>
      <c r="AK30">
        <v>112762</v>
      </c>
      <c r="AL30">
        <v>2699</v>
      </c>
      <c r="AM30">
        <v>21599</v>
      </c>
      <c r="AN30">
        <v>25</v>
      </c>
      <c r="AO30">
        <v>54</v>
      </c>
      <c r="AP30">
        <v>11444</v>
      </c>
      <c r="AQ30">
        <v>0</v>
      </c>
      <c r="AR30">
        <v>892</v>
      </c>
      <c r="AS30">
        <v>56</v>
      </c>
      <c r="AT30">
        <v>11409</v>
      </c>
      <c r="AU30">
        <v>2500</v>
      </c>
      <c r="AV30">
        <v>4608</v>
      </c>
      <c r="AW30">
        <v>16273</v>
      </c>
      <c r="AX30" s="88">
        <v>19</v>
      </c>
      <c r="AY30" s="88">
        <v>6</v>
      </c>
      <c r="AZ30" s="88">
        <v>1003</v>
      </c>
      <c r="BA30" s="88">
        <v>0</v>
      </c>
      <c r="BB30">
        <v>114</v>
      </c>
      <c r="BC30">
        <v>650</v>
      </c>
      <c r="BD30">
        <v>0</v>
      </c>
      <c r="BE30">
        <v>0</v>
      </c>
      <c r="BF30">
        <v>7735</v>
      </c>
      <c r="BG30">
        <v>0</v>
      </c>
      <c r="BH30">
        <v>0</v>
      </c>
      <c r="BI30">
        <v>0</v>
      </c>
      <c r="BJ30">
        <v>52</v>
      </c>
      <c r="BK30">
        <v>5575</v>
      </c>
      <c r="BL30">
        <v>0</v>
      </c>
      <c r="BM30">
        <v>345</v>
      </c>
      <c r="BN30">
        <v>2</v>
      </c>
      <c r="BO30">
        <v>109373</v>
      </c>
      <c r="BP30">
        <v>77659</v>
      </c>
      <c r="BQ30">
        <v>884</v>
      </c>
      <c r="BR30">
        <v>51</v>
      </c>
      <c r="BS30">
        <v>26223</v>
      </c>
      <c r="BT30">
        <v>730</v>
      </c>
      <c r="BU30">
        <v>1</v>
      </c>
      <c r="BV30">
        <v>0</v>
      </c>
      <c r="BW30">
        <v>5</v>
      </c>
      <c r="BX30">
        <v>8780</v>
      </c>
      <c r="BY30">
        <v>312</v>
      </c>
      <c r="BZ30">
        <v>0</v>
      </c>
      <c r="CA30">
        <v>24217</v>
      </c>
      <c r="CB30">
        <v>16120</v>
      </c>
      <c r="CC30">
        <v>133951</v>
      </c>
      <c r="CD30">
        <v>278499</v>
      </c>
      <c r="CE30">
        <v>30087</v>
      </c>
      <c r="CF30">
        <v>51449</v>
      </c>
      <c r="CG30">
        <v>0</v>
      </c>
      <c r="CH30">
        <v>14</v>
      </c>
      <c r="CI30">
        <v>4</v>
      </c>
      <c r="CJ30">
        <v>35</v>
      </c>
      <c r="CQ30">
        <v>354</v>
      </c>
      <c r="CR30">
        <v>11</v>
      </c>
      <c r="CY30">
        <v>0</v>
      </c>
      <c r="CZ30">
        <v>0</v>
      </c>
      <c r="DA30">
        <v>0</v>
      </c>
      <c r="DB30">
        <v>14</v>
      </c>
      <c r="DC30">
        <v>0</v>
      </c>
      <c r="DD30">
        <v>27</v>
      </c>
      <c r="DF30" s="2"/>
      <c r="DG30" s="2">
        <f t="shared" si="0"/>
        <v>772778</v>
      </c>
      <c r="DH30" s="2">
        <f t="shared" si="1"/>
        <v>278062</v>
      </c>
      <c r="DI30" s="2">
        <f t="shared" si="17"/>
        <v>1050840</v>
      </c>
      <c r="DK30" s="2">
        <f t="shared" si="3"/>
        <v>62678</v>
      </c>
      <c r="DL30" s="2">
        <f t="shared" si="4"/>
        <v>153389</v>
      </c>
      <c r="DM30" s="2">
        <f t="shared" si="5"/>
        <v>12195</v>
      </c>
      <c r="DN30" s="2">
        <f t="shared" si="6"/>
        <v>49430</v>
      </c>
      <c r="DO30" s="2">
        <f t="shared" si="7"/>
        <v>468843</v>
      </c>
      <c r="DP30" s="2">
        <f t="shared" si="8"/>
        <v>104883</v>
      </c>
      <c r="DQ30" s="2">
        <f t="shared" si="9"/>
        <v>365</v>
      </c>
      <c r="DR30" s="2">
        <f t="shared" si="10"/>
        <v>16139</v>
      </c>
      <c r="DS30" s="2">
        <f t="shared" si="11"/>
        <v>109374</v>
      </c>
      <c r="DT30" s="2">
        <f t="shared" si="12"/>
        <v>13315</v>
      </c>
      <c r="DU30" s="2"/>
      <c r="DV30" s="2"/>
      <c r="DW30" s="2"/>
      <c r="DX30" s="2">
        <f t="shared" si="18"/>
        <v>990611</v>
      </c>
      <c r="DZ30" s="2">
        <f t="shared" si="14"/>
        <v>591891</v>
      </c>
      <c r="EA30" s="2">
        <f t="shared" si="15"/>
        <v>60796</v>
      </c>
      <c r="EC30" s="2">
        <f t="shared" si="16"/>
        <v>1111636</v>
      </c>
    </row>
    <row r="31" spans="1:133" x14ac:dyDescent="0.25">
      <c r="A31" s="13">
        <v>42644</v>
      </c>
      <c r="B31">
        <v>0</v>
      </c>
      <c r="C31">
        <v>0</v>
      </c>
      <c r="D31">
        <v>0</v>
      </c>
      <c r="E31">
        <v>0</v>
      </c>
      <c r="F31">
        <v>1026</v>
      </c>
      <c r="G31">
        <v>16373</v>
      </c>
      <c r="H31">
        <v>38866</v>
      </c>
      <c r="I31">
        <v>1001</v>
      </c>
      <c r="J31">
        <v>2371</v>
      </c>
      <c r="K31">
        <v>1009</v>
      </c>
      <c r="L31">
        <v>26999</v>
      </c>
      <c r="M31">
        <v>1387</v>
      </c>
      <c r="N31">
        <v>556</v>
      </c>
      <c r="O31">
        <v>1296</v>
      </c>
      <c r="P31">
        <v>10844</v>
      </c>
      <c r="Q31">
        <v>261</v>
      </c>
      <c r="R31">
        <v>6036</v>
      </c>
      <c r="S31">
        <v>12230</v>
      </c>
      <c r="T31">
        <v>37</v>
      </c>
      <c r="U31">
        <v>3040</v>
      </c>
      <c r="V31">
        <v>73</v>
      </c>
      <c r="W31">
        <v>13682</v>
      </c>
      <c r="X31">
        <v>464</v>
      </c>
      <c r="Y31">
        <v>8</v>
      </c>
      <c r="Z31">
        <v>10</v>
      </c>
      <c r="AA31">
        <v>3</v>
      </c>
      <c r="AB31">
        <v>225</v>
      </c>
      <c r="AC31">
        <v>19</v>
      </c>
      <c r="AD31">
        <v>35</v>
      </c>
      <c r="AE31">
        <v>29</v>
      </c>
      <c r="AF31">
        <v>55</v>
      </c>
      <c r="AG31">
        <v>50</v>
      </c>
      <c r="AH31">
        <v>1469</v>
      </c>
      <c r="AI31">
        <v>3</v>
      </c>
      <c r="AJ31">
        <v>15301</v>
      </c>
      <c r="AK31">
        <v>112530</v>
      </c>
      <c r="AL31">
        <v>2672</v>
      </c>
      <c r="AM31">
        <v>21424</v>
      </c>
      <c r="AN31">
        <v>27</v>
      </c>
      <c r="AO31">
        <v>60</v>
      </c>
      <c r="AP31">
        <v>11487</v>
      </c>
      <c r="AQ31">
        <v>0</v>
      </c>
      <c r="AR31">
        <v>917</v>
      </c>
      <c r="AS31">
        <v>58</v>
      </c>
      <c r="AT31">
        <v>11267</v>
      </c>
      <c r="AU31">
        <v>2454</v>
      </c>
      <c r="AV31">
        <v>4431</v>
      </c>
      <c r="AW31">
        <v>16088</v>
      </c>
      <c r="AX31" s="88">
        <v>12</v>
      </c>
      <c r="AY31" s="88">
        <v>2</v>
      </c>
      <c r="AZ31" s="88">
        <v>995</v>
      </c>
      <c r="BA31" s="88">
        <v>0</v>
      </c>
      <c r="BB31">
        <v>122</v>
      </c>
      <c r="BC31">
        <v>656</v>
      </c>
      <c r="BD31">
        <v>0</v>
      </c>
      <c r="BE31">
        <v>0</v>
      </c>
      <c r="BF31">
        <v>7785</v>
      </c>
      <c r="BG31">
        <v>0</v>
      </c>
      <c r="BH31">
        <v>0</v>
      </c>
      <c r="BI31">
        <v>0</v>
      </c>
      <c r="BJ31">
        <v>51</v>
      </c>
      <c r="BK31">
        <v>5581</v>
      </c>
      <c r="BL31">
        <v>0</v>
      </c>
      <c r="BM31">
        <v>341</v>
      </c>
      <c r="BN31">
        <v>0</v>
      </c>
      <c r="BO31">
        <v>109981</v>
      </c>
      <c r="BP31">
        <v>78551</v>
      </c>
      <c r="BQ31">
        <v>1051</v>
      </c>
      <c r="BR31">
        <v>49</v>
      </c>
      <c r="BS31">
        <v>26582</v>
      </c>
      <c r="BT31">
        <v>858</v>
      </c>
      <c r="BU31">
        <v>0</v>
      </c>
      <c r="BV31">
        <v>0</v>
      </c>
      <c r="BW31">
        <v>5</v>
      </c>
      <c r="BX31">
        <v>9059</v>
      </c>
      <c r="BY31">
        <v>336</v>
      </c>
      <c r="BZ31">
        <v>0</v>
      </c>
      <c r="CA31">
        <v>24382</v>
      </c>
      <c r="CB31">
        <v>15999</v>
      </c>
      <c r="CC31">
        <v>133870</v>
      </c>
      <c r="CD31">
        <v>278763</v>
      </c>
      <c r="CE31">
        <v>31861</v>
      </c>
      <c r="CF31">
        <v>51651</v>
      </c>
      <c r="CG31">
        <v>0</v>
      </c>
      <c r="CH31">
        <v>16</v>
      </c>
      <c r="CI31">
        <v>4</v>
      </c>
      <c r="CJ31">
        <v>38</v>
      </c>
      <c r="CQ31">
        <v>374</v>
      </c>
      <c r="CR31">
        <v>11</v>
      </c>
      <c r="CY31">
        <v>0</v>
      </c>
      <c r="CZ31">
        <v>0</v>
      </c>
      <c r="DA31">
        <v>0</v>
      </c>
      <c r="DB31">
        <v>14</v>
      </c>
      <c r="DC31">
        <v>0</v>
      </c>
      <c r="DD31">
        <v>27</v>
      </c>
      <c r="DF31" s="2"/>
      <c r="DG31" s="2">
        <f t="shared" si="0"/>
        <v>777484</v>
      </c>
      <c r="DH31" s="2">
        <f t="shared" si="1"/>
        <v>278473</v>
      </c>
      <c r="DI31" s="2">
        <f t="shared" si="17"/>
        <v>1055957</v>
      </c>
      <c r="DK31" s="2">
        <f t="shared" si="3"/>
        <v>63655</v>
      </c>
      <c r="DL31" s="2">
        <f t="shared" si="4"/>
        <v>153079</v>
      </c>
      <c r="DM31" s="2">
        <f t="shared" si="5"/>
        <v>12230</v>
      </c>
      <c r="DN31" s="2">
        <f t="shared" si="6"/>
        <v>49114</v>
      </c>
      <c r="DO31" s="2">
        <f t="shared" si="7"/>
        <v>471275</v>
      </c>
      <c r="DP31" s="2">
        <f t="shared" si="8"/>
        <v>106132</v>
      </c>
      <c r="DQ31" s="2">
        <f t="shared" si="9"/>
        <v>385</v>
      </c>
      <c r="DR31" s="2">
        <f t="shared" si="10"/>
        <v>16025</v>
      </c>
      <c r="DS31" s="2">
        <f t="shared" si="11"/>
        <v>109981</v>
      </c>
      <c r="DT31" s="2">
        <f t="shared" si="12"/>
        <v>13371</v>
      </c>
      <c r="DU31" s="2"/>
      <c r="DV31" s="2"/>
      <c r="DW31" s="2"/>
      <c r="DX31" s="2">
        <f t="shared" si="18"/>
        <v>995247</v>
      </c>
      <c r="DZ31" s="2">
        <f t="shared" si="14"/>
        <v>594908</v>
      </c>
      <c r="EA31" s="2">
        <f t="shared" si="15"/>
        <v>61202</v>
      </c>
      <c r="EC31" s="2">
        <f t="shared" si="16"/>
        <v>1117159</v>
      </c>
    </row>
    <row r="32" spans="1:133" x14ac:dyDescent="0.25">
      <c r="A32" s="13">
        <v>42675</v>
      </c>
      <c r="B32">
        <v>0</v>
      </c>
      <c r="C32">
        <v>0</v>
      </c>
      <c r="D32">
        <v>0</v>
      </c>
      <c r="E32">
        <v>0</v>
      </c>
      <c r="F32">
        <v>995</v>
      </c>
      <c r="G32">
        <v>16356</v>
      </c>
      <c r="H32">
        <v>39163</v>
      </c>
      <c r="I32">
        <v>996</v>
      </c>
      <c r="J32">
        <v>2387</v>
      </c>
      <c r="K32">
        <v>1025</v>
      </c>
      <c r="L32">
        <v>27589</v>
      </c>
      <c r="M32">
        <v>1410</v>
      </c>
      <c r="N32">
        <v>578</v>
      </c>
      <c r="O32">
        <v>1346</v>
      </c>
      <c r="P32">
        <v>10797</v>
      </c>
      <c r="Q32">
        <v>257</v>
      </c>
      <c r="R32">
        <v>5917</v>
      </c>
      <c r="S32">
        <v>12337</v>
      </c>
      <c r="T32">
        <v>36</v>
      </c>
      <c r="U32">
        <v>3248</v>
      </c>
      <c r="V32">
        <v>71</v>
      </c>
      <c r="W32">
        <v>14031</v>
      </c>
      <c r="X32">
        <v>468</v>
      </c>
      <c r="Y32">
        <v>8</v>
      </c>
      <c r="Z32">
        <v>6</v>
      </c>
      <c r="AA32">
        <v>2</v>
      </c>
      <c r="AB32">
        <v>220</v>
      </c>
      <c r="AC32">
        <v>21</v>
      </c>
      <c r="AD32">
        <v>31</v>
      </c>
      <c r="AE32">
        <v>27</v>
      </c>
      <c r="AF32">
        <v>55</v>
      </c>
      <c r="AG32">
        <v>71</v>
      </c>
      <c r="AH32">
        <v>1575</v>
      </c>
      <c r="AI32">
        <v>3</v>
      </c>
      <c r="AJ32">
        <v>15310</v>
      </c>
      <c r="AK32">
        <v>112087</v>
      </c>
      <c r="AL32">
        <v>2656</v>
      </c>
      <c r="AM32">
        <v>21403</v>
      </c>
      <c r="AN32">
        <v>28</v>
      </c>
      <c r="AO32">
        <v>65</v>
      </c>
      <c r="AP32">
        <v>11532</v>
      </c>
      <c r="AQ32">
        <v>0</v>
      </c>
      <c r="AR32">
        <v>896</v>
      </c>
      <c r="AS32">
        <v>51</v>
      </c>
      <c r="AT32">
        <v>11149</v>
      </c>
      <c r="AU32">
        <v>2410</v>
      </c>
      <c r="AV32">
        <v>4264</v>
      </c>
      <c r="AW32">
        <v>15903</v>
      </c>
      <c r="AX32" s="88">
        <v>8</v>
      </c>
      <c r="AY32" s="88">
        <v>2</v>
      </c>
      <c r="AZ32" s="88">
        <v>980</v>
      </c>
      <c r="BA32" s="88">
        <v>0</v>
      </c>
      <c r="BB32">
        <v>134</v>
      </c>
      <c r="BC32">
        <v>683</v>
      </c>
      <c r="BD32">
        <v>0</v>
      </c>
      <c r="BE32">
        <v>0</v>
      </c>
      <c r="BF32">
        <v>7798</v>
      </c>
      <c r="BG32">
        <v>0</v>
      </c>
      <c r="BH32">
        <v>0</v>
      </c>
      <c r="BI32">
        <v>0</v>
      </c>
      <c r="BJ32">
        <v>53</v>
      </c>
      <c r="BK32">
        <v>5630</v>
      </c>
      <c r="BL32">
        <v>0</v>
      </c>
      <c r="BM32">
        <v>384</v>
      </c>
      <c r="BN32">
        <v>0</v>
      </c>
      <c r="BO32">
        <v>110975</v>
      </c>
      <c r="BP32">
        <v>79184</v>
      </c>
      <c r="BQ32">
        <v>1213</v>
      </c>
      <c r="BR32">
        <v>47</v>
      </c>
      <c r="BS32">
        <v>26874</v>
      </c>
      <c r="BT32">
        <v>981</v>
      </c>
      <c r="BU32">
        <v>1</v>
      </c>
      <c r="BV32">
        <v>0</v>
      </c>
      <c r="BW32">
        <v>5</v>
      </c>
      <c r="BX32">
        <v>9362</v>
      </c>
      <c r="BY32">
        <v>352</v>
      </c>
      <c r="BZ32">
        <v>0</v>
      </c>
      <c r="CA32">
        <v>24393</v>
      </c>
      <c r="CB32">
        <v>15418</v>
      </c>
      <c r="CC32">
        <v>133335</v>
      </c>
      <c r="CD32">
        <v>279117</v>
      </c>
      <c r="CE32">
        <v>32919</v>
      </c>
      <c r="CF32">
        <v>51950</v>
      </c>
      <c r="CG32">
        <v>0</v>
      </c>
      <c r="CH32">
        <v>14</v>
      </c>
      <c r="CI32">
        <v>3</v>
      </c>
      <c r="CJ32">
        <v>45</v>
      </c>
      <c r="CQ32">
        <v>384</v>
      </c>
      <c r="CR32">
        <v>11</v>
      </c>
      <c r="CY32">
        <v>0</v>
      </c>
      <c r="CZ32">
        <v>0</v>
      </c>
      <c r="DA32">
        <v>0</v>
      </c>
      <c r="DB32">
        <v>14</v>
      </c>
      <c r="DC32">
        <v>0</v>
      </c>
      <c r="DD32">
        <v>27</v>
      </c>
      <c r="DF32" s="2"/>
      <c r="DG32" s="2">
        <f t="shared" si="0"/>
        <v>780746</v>
      </c>
      <c r="DH32" s="2">
        <f t="shared" si="1"/>
        <v>278788</v>
      </c>
      <c r="DI32" s="2">
        <f t="shared" si="17"/>
        <v>1059534</v>
      </c>
      <c r="DK32" s="2">
        <f t="shared" si="3"/>
        <v>64702</v>
      </c>
      <c r="DL32" s="2">
        <f t="shared" si="4"/>
        <v>152391</v>
      </c>
      <c r="DM32" s="2">
        <f t="shared" si="5"/>
        <v>12337</v>
      </c>
      <c r="DN32" s="2">
        <f t="shared" si="6"/>
        <v>48958</v>
      </c>
      <c r="DO32" s="2">
        <f t="shared" si="7"/>
        <v>472466</v>
      </c>
      <c r="DP32" s="2">
        <f t="shared" si="8"/>
        <v>107127</v>
      </c>
      <c r="DQ32" s="2">
        <f t="shared" si="9"/>
        <v>395</v>
      </c>
      <c r="DR32" s="2">
        <f t="shared" si="10"/>
        <v>15438</v>
      </c>
      <c r="DS32" s="2">
        <f t="shared" si="11"/>
        <v>110976</v>
      </c>
      <c r="DT32" s="2">
        <f t="shared" si="12"/>
        <v>13433</v>
      </c>
      <c r="DU32" s="2"/>
      <c r="DV32" s="2"/>
      <c r="DW32" s="2"/>
      <c r="DX32" s="2">
        <f t="shared" si="18"/>
        <v>998223</v>
      </c>
      <c r="DZ32" s="2">
        <f t="shared" si="14"/>
        <v>596751</v>
      </c>
      <c r="EA32" s="2">
        <f t="shared" si="15"/>
        <v>61500</v>
      </c>
      <c r="EC32" s="2">
        <f t="shared" si="16"/>
        <v>1121034</v>
      </c>
    </row>
    <row r="33" spans="1:133" x14ac:dyDescent="0.25">
      <c r="A33" s="13">
        <v>42705</v>
      </c>
      <c r="B33">
        <v>0</v>
      </c>
      <c r="C33">
        <v>0</v>
      </c>
      <c r="D33">
        <v>0</v>
      </c>
      <c r="E33">
        <v>0</v>
      </c>
      <c r="F33">
        <v>960</v>
      </c>
      <c r="G33">
        <v>16265</v>
      </c>
      <c r="H33">
        <v>39283</v>
      </c>
      <c r="I33">
        <v>992</v>
      </c>
      <c r="J33">
        <v>2335</v>
      </c>
      <c r="K33">
        <v>1075</v>
      </c>
      <c r="L33">
        <v>28206</v>
      </c>
      <c r="M33">
        <v>1432</v>
      </c>
      <c r="N33">
        <v>575</v>
      </c>
      <c r="O33">
        <v>1405</v>
      </c>
      <c r="P33">
        <v>10602</v>
      </c>
      <c r="Q33">
        <v>254</v>
      </c>
      <c r="R33">
        <v>5724</v>
      </c>
      <c r="S33">
        <v>12473</v>
      </c>
      <c r="T33">
        <v>32</v>
      </c>
      <c r="U33">
        <v>3437</v>
      </c>
      <c r="V33">
        <v>63</v>
      </c>
      <c r="W33">
        <v>14480</v>
      </c>
      <c r="X33">
        <v>466</v>
      </c>
      <c r="Y33">
        <v>8</v>
      </c>
      <c r="Z33">
        <v>3</v>
      </c>
      <c r="AA33">
        <v>2</v>
      </c>
      <c r="AB33">
        <v>203</v>
      </c>
      <c r="AC33">
        <v>22</v>
      </c>
      <c r="AD33">
        <v>31</v>
      </c>
      <c r="AE33">
        <v>26</v>
      </c>
      <c r="AF33">
        <v>55</v>
      </c>
      <c r="AG33">
        <v>86</v>
      </c>
      <c r="AH33">
        <v>1690</v>
      </c>
      <c r="AI33">
        <v>5</v>
      </c>
      <c r="AJ33">
        <v>15289</v>
      </c>
      <c r="AK33">
        <v>111943</v>
      </c>
      <c r="AL33">
        <v>2618</v>
      </c>
      <c r="AM33">
        <v>21388</v>
      </c>
      <c r="AN33">
        <v>26</v>
      </c>
      <c r="AO33">
        <v>74</v>
      </c>
      <c r="AP33">
        <v>11475</v>
      </c>
      <c r="AQ33">
        <v>0</v>
      </c>
      <c r="AR33">
        <v>864</v>
      </c>
      <c r="AS33">
        <v>50</v>
      </c>
      <c r="AT33">
        <v>10969</v>
      </c>
      <c r="AU33">
        <v>2392</v>
      </c>
      <c r="AV33">
        <v>4074</v>
      </c>
      <c r="AW33">
        <v>15768</v>
      </c>
      <c r="AX33" s="88">
        <v>5</v>
      </c>
      <c r="AY33" s="88">
        <v>3</v>
      </c>
      <c r="AZ33" s="88">
        <v>948</v>
      </c>
      <c r="BA33" s="88">
        <v>0</v>
      </c>
      <c r="BB33">
        <v>133</v>
      </c>
      <c r="BC33">
        <v>710</v>
      </c>
      <c r="BD33">
        <v>0</v>
      </c>
      <c r="BE33">
        <v>0</v>
      </c>
      <c r="BF33">
        <v>7790</v>
      </c>
      <c r="BG33">
        <v>0</v>
      </c>
      <c r="BH33">
        <v>0</v>
      </c>
      <c r="BI33">
        <v>0</v>
      </c>
      <c r="BJ33">
        <v>45</v>
      </c>
      <c r="BK33">
        <v>5608</v>
      </c>
      <c r="BL33">
        <v>0</v>
      </c>
      <c r="BM33">
        <v>433</v>
      </c>
      <c r="BN33">
        <v>0</v>
      </c>
      <c r="BO33">
        <v>110973</v>
      </c>
      <c r="BP33">
        <v>79751</v>
      </c>
      <c r="BQ33">
        <v>1414</v>
      </c>
      <c r="BR33">
        <v>43</v>
      </c>
      <c r="BS33">
        <v>27162</v>
      </c>
      <c r="BT33">
        <v>1069</v>
      </c>
      <c r="BU33">
        <v>0</v>
      </c>
      <c r="BV33">
        <v>0</v>
      </c>
      <c r="BW33">
        <v>4</v>
      </c>
      <c r="BX33">
        <v>9734</v>
      </c>
      <c r="BY33">
        <v>363</v>
      </c>
      <c r="BZ33">
        <v>0</v>
      </c>
      <c r="CA33">
        <v>24522</v>
      </c>
      <c r="CB33">
        <v>15205</v>
      </c>
      <c r="CC33">
        <v>132639</v>
      </c>
      <c r="CD33">
        <v>278992</v>
      </c>
      <c r="CE33">
        <v>33599</v>
      </c>
      <c r="CF33">
        <v>52176</v>
      </c>
      <c r="CG33">
        <v>0</v>
      </c>
      <c r="CH33">
        <v>13</v>
      </c>
      <c r="CI33">
        <v>3</v>
      </c>
      <c r="CJ33">
        <v>46</v>
      </c>
      <c r="CQ33">
        <v>400</v>
      </c>
      <c r="CR33">
        <v>10</v>
      </c>
      <c r="CY33">
        <v>0</v>
      </c>
      <c r="CZ33">
        <v>0</v>
      </c>
      <c r="DA33">
        <v>0</v>
      </c>
      <c r="DB33">
        <v>14</v>
      </c>
      <c r="DC33">
        <v>0</v>
      </c>
      <c r="DD33">
        <v>27</v>
      </c>
      <c r="DE33" s="2"/>
      <c r="DG33" s="2">
        <f t="shared" si="0"/>
        <v>782302</v>
      </c>
      <c r="DH33" s="2">
        <f t="shared" si="1"/>
        <v>279127</v>
      </c>
      <c r="DI33" s="2">
        <f t="shared" si="17"/>
        <v>1061429</v>
      </c>
      <c r="DJ33" s="2"/>
      <c r="DK33" s="2">
        <f t="shared" si="3"/>
        <v>65635</v>
      </c>
      <c r="DL33" s="2">
        <f t="shared" si="4"/>
        <v>151845</v>
      </c>
      <c r="DM33" s="2">
        <f t="shared" si="5"/>
        <v>12473</v>
      </c>
      <c r="DN33" s="2">
        <f t="shared" si="6"/>
        <v>48760</v>
      </c>
      <c r="DO33" s="2">
        <f t="shared" si="7"/>
        <v>472740</v>
      </c>
      <c r="DP33" s="2">
        <f t="shared" si="8"/>
        <v>108059</v>
      </c>
      <c r="DQ33" s="2">
        <f t="shared" si="9"/>
        <v>410</v>
      </c>
      <c r="DR33" s="2">
        <f t="shared" si="10"/>
        <v>15221</v>
      </c>
      <c r="DS33" s="2">
        <f t="shared" si="11"/>
        <v>110973</v>
      </c>
      <c r="DT33" s="2">
        <f t="shared" si="12"/>
        <v>13402</v>
      </c>
      <c r="DU33" s="2"/>
      <c r="DV33" s="2"/>
      <c r="DW33" s="2"/>
      <c r="DX33" s="2">
        <f t="shared" si="18"/>
        <v>999518</v>
      </c>
      <c r="DY33" s="2"/>
      <c r="DZ33" s="2">
        <f t="shared" si="14"/>
        <v>597193</v>
      </c>
      <c r="EA33" s="2">
        <f t="shared" si="15"/>
        <v>61485</v>
      </c>
      <c r="EC33" s="2">
        <f t="shared" si="16"/>
        <v>1122914</v>
      </c>
    </row>
    <row r="34" spans="1:133" x14ac:dyDescent="0.25">
      <c r="A34" s="13">
        <v>42736</v>
      </c>
      <c r="B34">
        <v>0</v>
      </c>
      <c r="C34">
        <v>0</v>
      </c>
      <c r="D34">
        <v>0</v>
      </c>
      <c r="E34">
        <v>0</v>
      </c>
      <c r="F34">
        <v>1041</v>
      </c>
      <c r="G34">
        <v>16160</v>
      </c>
      <c r="H34">
        <v>39208</v>
      </c>
      <c r="I34">
        <v>977</v>
      </c>
      <c r="J34">
        <v>2359</v>
      </c>
      <c r="K34">
        <v>1091</v>
      </c>
      <c r="L34">
        <v>29078</v>
      </c>
      <c r="M34">
        <v>1470</v>
      </c>
      <c r="N34">
        <v>591</v>
      </c>
      <c r="O34">
        <v>1448</v>
      </c>
      <c r="P34">
        <v>10433</v>
      </c>
      <c r="Q34">
        <v>238</v>
      </c>
      <c r="R34">
        <v>5592</v>
      </c>
      <c r="S34">
        <v>12692</v>
      </c>
      <c r="T34">
        <v>29</v>
      </c>
      <c r="U34">
        <v>3639</v>
      </c>
      <c r="V34">
        <v>58</v>
      </c>
      <c r="W34">
        <v>14887</v>
      </c>
      <c r="X34">
        <v>466</v>
      </c>
      <c r="Y34">
        <v>7</v>
      </c>
      <c r="Z34">
        <v>3</v>
      </c>
      <c r="AA34">
        <v>2</v>
      </c>
      <c r="AB34">
        <v>196</v>
      </c>
      <c r="AC34">
        <v>19</v>
      </c>
      <c r="AD34">
        <v>30</v>
      </c>
      <c r="AE34">
        <v>25</v>
      </c>
      <c r="AF34">
        <v>58</v>
      </c>
      <c r="AG34">
        <v>93</v>
      </c>
      <c r="AH34">
        <v>1817</v>
      </c>
      <c r="AI34">
        <v>3</v>
      </c>
      <c r="AJ34">
        <v>15224</v>
      </c>
      <c r="AK34">
        <v>111293</v>
      </c>
      <c r="AL34">
        <v>2582</v>
      </c>
      <c r="AM34">
        <v>21349</v>
      </c>
      <c r="AN34">
        <v>21</v>
      </c>
      <c r="AO34">
        <v>96</v>
      </c>
      <c r="AP34">
        <v>10165</v>
      </c>
      <c r="AQ34">
        <v>0</v>
      </c>
      <c r="AR34">
        <v>863</v>
      </c>
      <c r="AS34">
        <v>46</v>
      </c>
      <c r="AT34">
        <v>10701</v>
      </c>
      <c r="AU34">
        <v>2313</v>
      </c>
      <c r="AV34">
        <v>3863</v>
      </c>
      <c r="AW34">
        <v>15696</v>
      </c>
      <c r="AX34" s="88">
        <v>5</v>
      </c>
      <c r="AY34" s="88">
        <v>2</v>
      </c>
      <c r="AZ34" s="88">
        <v>956</v>
      </c>
      <c r="BA34" s="88">
        <v>0</v>
      </c>
      <c r="BB34">
        <v>129</v>
      </c>
      <c r="BC34">
        <v>723</v>
      </c>
      <c r="BD34">
        <v>0</v>
      </c>
      <c r="BE34">
        <v>0</v>
      </c>
      <c r="BF34">
        <v>7801</v>
      </c>
      <c r="BG34">
        <v>0</v>
      </c>
      <c r="BH34">
        <v>0</v>
      </c>
      <c r="BI34">
        <v>0</v>
      </c>
      <c r="BJ34">
        <v>50</v>
      </c>
      <c r="BK34">
        <v>5519</v>
      </c>
      <c r="BL34">
        <v>0</v>
      </c>
      <c r="BM34">
        <v>474</v>
      </c>
      <c r="BN34">
        <v>0</v>
      </c>
      <c r="BO34">
        <v>112457</v>
      </c>
      <c r="BP34">
        <v>80264</v>
      </c>
      <c r="BQ34">
        <v>1523</v>
      </c>
      <c r="BR34">
        <v>39</v>
      </c>
      <c r="BS34">
        <v>27453</v>
      </c>
      <c r="BT34">
        <v>1149</v>
      </c>
      <c r="BU34">
        <v>0</v>
      </c>
      <c r="BV34">
        <v>0</v>
      </c>
      <c r="BW34">
        <v>4</v>
      </c>
      <c r="BX34">
        <v>9947</v>
      </c>
      <c r="BY34">
        <v>370</v>
      </c>
      <c r="BZ34">
        <v>0</v>
      </c>
      <c r="CA34">
        <v>24306</v>
      </c>
      <c r="CB34">
        <v>15347</v>
      </c>
      <c r="CC34">
        <v>132126</v>
      </c>
      <c r="CD34">
        <v>279347</v>
      </c>
      <c r="CE34">
        <v>34410</v>
      </c>
      <c r="CF34">
        <v>52107</v>
      </c>
      <c r="CG34">
        <v>0</v>
      </c>
      <c r="CH34">
        <v>10</v>
      </c>
      <c r="CI34">
        <v>3</v>
      </c>
      <c r="CJ34">
        <v>55</v>
      </c>
      <c r="CQ34">
        <v>390</v>
      </c>
      <c r="CR34">
        <v>11</v>
      </c>
      <c r="CY34">
        <v>0</v>
      </c>
      <c r="CZ34">
        <v>0</v>
      </c>
      <c r="DA34">
        <v>0</v>
      </c>
      <c r="DB34">
        <v>14</v>
      </c>
      <c r="DC34">
        <v>0</v>
      </c>
      <c r="DD34">
        <v>26</v>
      </c>
      <c r="DF34" s="2"/>
      <c r="DG34" s="2">
        <f t="shared" si="0"/>
        <v>785491</v>
      </c>
      <c r="DH34" s="2">
        <f t="shared" si="1"/>
        <v>277983</v>
      </c>
      <c r="DI34" s="2">
        <f t="shared" si="17"/>
        <v>1063474</v>
      </c>
      <c r="DJ34" s="2"/>
      <c r="DK34" s="2">
        <f t="shared" si="3"/>
        <v>66872</v>
      </c>
      <c r="DL34" s="2">
        <f t="shared" si="4"/>
        <v>150649</v>
      </c>
      <c r="DM34" s="2">
        <f t="shared" si="5"/>
        <v>12692</v>
      </c>
      <c r="DN34" s="2">
        <f t="shared" si="6"/>
        <v>47364</v>
      </c>
      <c r="DO34" s="2">
        <f t="shared" si="7"/>
        <v>473383</v>
      </c>
      <c r="DP34" s="2">
        <f t="shared" si="8"/>
        <v>108916</v>
      </c>
      <c r="DQ34" s="2">
        <f t="shared" si="9"/>
        <v>401</v>
      </c>
      <c r="DR34" s="2">
        <f t="shared" si="10"/>
        <v>15360</v>
      </c>
      <c r="DS34" s="2">
        <f t="shared" si="11"/>
        <v>112457</v>
      </c>
      <c r="DT34" s="2">
        <f t="shared" si="12"/>
        <v>13324</v>
      </c>
      <c r="DU34" s="2"/>
      <c r="DV34" s="2"/>
      <c r="DW34" s="2"/>
      <c r="DX34" s="2">
        <f t="shared" si="18"/>
        <v>1001418</v>
      </c>
      <c r="DY34" s="2"/>
      <c r="DZ34" s="2">
        <f t="shared" si="14"/>
        <v>597518</v>
      </c>
      <c r="EA34" s="2">
        <f t="shared" si="15"/>
        <v>61427</v>
      </c>
      <c r="EC34" s="2">
        <f t="shared" si="16"/>
        <v>1124901</v>
      </c>
    </row>
    <row r="35" spans="1:133" x14ac:dyDescent="0.25">
      <c r="A35" s="13">
        <v>42767</v>
      </c>
      <c r="B35">
        <v>0</v>
      </c>
      <c r="C35">
        <v>0</v>
      </c>
      <c r="D35">
        <v>0</v>
      </c>
      <c r="E35">
        <v>0</v>
      </c>
      <c r="F35">
        <v>1088</v>
      </c>
      <c r="G35">
        <v>16118</v>
      </c>
      <c r="H35">
        <v>39279</v>
      </c>
      <c r="I35">
        <v>943</v>
      </c>
      <c r="J35">
        <v>2293</v>
      </c>
      <c r="K35">
        <v>1129</v>
      </c>
      <c r="L35">
        <v>29437</v>
      </c>
      <c r="M35">
        <v>1470</v>
      </c>
      <c r="N35">
        <v>604</v>
      </c>
      <c r="O35">
        <v>1466</v>
      </c>
      <c r="P35">
        <v>10435</v>
      </c>
      <c r="Q35">
        <v>234</v>
      </c>
      <c r="R35">
        <v>5524</v>
      </c>
      <c r="S35">
        <v>12753</v>
      </c>
      <c r="T35">
        <v>31</v>
      </c>
      <c r="U35">
        <v>3780</v>
      </c>
      <c r="V35">
        <v>55</v>
      </c>
      <c r="W35">
        <v>15239</v>
      </c>
      <c r="X35">
        <v>474</v>
      </c>
      <c r="Y35">
        <v>7</v>
      </c>
      <c r="Z35">
        <v>6</v>
      </c>
      <c r="AA35">
        <v>2</v>
      </c>
      <c r="AB35">
        <v>196</v>
      </c>
      <c r="AC35">
        <v>19</v>
      </c>
      <c r="AD35">
        <v>31</v>
      </c>
      <c r="AE35">
        <v>23</v>
      </c>
      <c r="AF35">
        <v>58</v>
      </c>
      <c r="AG35">
        <v>91</v>
      </c>
      <c r="AH35">
        <v>1908</v>
      </c>
      <c r="AI35">
        <v>3</v>
      </c>
      <c r="AJ35">
        <v>15417</v>
      </c>
      <c r="AK35">
        <v>111435</v>
      </c>
      <c r="AL35">
        <v>2565</v>
      </c>
      <c r="AM35">
        <v>21381</v>
      </c>
      <c r="AN35">
        <v>22</v>
      </c>
      <c r="AO35">
        <v>113</v>
      </c>
      <c r="AP35">
        <v>10128</v>
      </c>
      <c r="AQ35">
        <v>0</v>
      </c>
      <c r="AR35">
        <v>849</v>
      </c>
      <c r="AS35">
        <v>48</v>
      </c>
      <c r="AT35">
        <v>10675</v>
      </c>
      <c r="AU35">
        <v>2262</v>
      </c>
      <c r="AV35">
        <v>3770</v>
      </c>
      <c r="AW35">
        <v>15655</v>
      </c>
      <c r="AX35" s="88">
        <v>5</v>
      </c>
      <c r="AY35" s="88">
        <v>1</v>
      </c>
      <c r="AZ35" s="88">
        <v>958</v>
      </c>
      <c r="BA35" s="88">
        <v>1</v>
      </c>
      <c r="BB35">
        <v>127</v>
      </c>
      <c r="BC35">
        <v>757</v>
      </c>
      <c r="BD35">
        <v>0</v>
      </c>
      <c r="BE35">
        <v>0</v>
      </c>
      <c r="BF35">
        <v>7790</v>
      </c>
      <c r="BG35">
        <v>0</v>
      </c>
      <c r="BH35">
        <v>0</v>
      </c>
      <c r="BI35">
        <v>0</v>
      </c>
      <c r="BJ35">
        <v>48</v>
      </c>
      <c r="BK35">
        <v>5530</v>
      </c>
      <c r="BL35">
        <v>0</v>
      </c>
      <c r="BM35">
        <v>521</v>
      </c>
      <c r="BN35">
        <v>0</v>
      </c>
      <c r="BO35">
        <v>112093</v>
      </c>
      <c r="BP35">
        <v>81417</v>
      </c>
      <c r="BQ35">
        <v>1685</v>
      </c>
      <c r="BR35">
        <v>37</v>
      </c>
      <c r="BS35">
        <v>28076</v>
      </c>
      <c r="BT35">
        <v>1299</v>
      </c>
      <c r="BU35">
        <v>0</v>
      </c>
      <c r="BV35">
        <v>0</v>
      </c>
      <c r="BW35">
        <v>4</v>
      </c>
      <c r="BX35">
        <v>10086</v>
      </c>
      <c r="BY35">
        <v>376</v>
      </c>
      <c r="BZ35">
        <v>0</v>
      </c>
      <c r="CA35">
        <v>24360</v>
      </c>
      <c r="CB35">
        <v>15444</v>
      </c>
      <c r="CC35">
        <v>132107</v>
      </c>
      <c r="CD35">
        <v>280939</v>
      </c>
      <c r="CE35">
        <v>35460</v>
      </c>
      <c r="CF35">
        <v>52422</v>
      </c>
      <c r="CG35">
        <v>0</v>
      </c>
      <c r="CH35">
        <v>8</v>
      </c>
      <c r="CI35">
        <v>3</v>
      </c>
      <c r="CJ35">
        <v>60</v>
      </c>
      <c r="CQ35">
        <v>389</v>
      </c>
      <c r="CR35">
        <v>13</v>
      </c>
      <c r="CY35">
        <v>0</v>
      </c>
      <c r="CZ35">
        <v>0</v>
      </c>
      <c r="DA35">
        <v>0</v>
      </c>
      <c r="DB35">
        <v>14</v>
      </c>
      <c r="DC35">
        <v>0</v>
      </c>
      <c r="DD35">
        <v>26</v>
      </c>
      <c r="DE35" s="2"/>
      <c r="DG35" s="2">
        <f t="shared" si="0"/>
        <v>790528</v>
      </c>
      <c r="DH35" s="2">
        <f t="shared" si="1"/>
        <v>279046</v>
      </c>
      <c r="DI35" s="2">
        <f t="shared" si="17"/>
        <v>1069574</v>
      </c>
      <c r="DJ35" s="2"/>
      <c r="DK35" s="2">
        <f t="shared" si="3"/>
        <v>67671</v>
      </c>
      <c r="DL35" s="2">
        <f t="shared" si="4"/>
        <v>150883</v>
      </c>
      <c r="DM35" s="2">
        <f t="shared" si="5"/>
        <v>12753</v>
      </c>
      <c r="DN35" s="2">
        <f t="shared" si="6"/>
        <v>47335</v>
      </c>
      <c r="DO35" s="2">
        <f t="shared" si="7"/>
        <v>476379</v>
      </c>
      <c r="DP35" s="2">
        <f t="shared" si="8"/>
        <v>110772</v>
      </c>
      <c r="DQ35" s="2">
        <f t="shared" si="9"/>
        <v>402</v>
      </c>
      <c r="DR35" s="2">
        <f t="shared" si="10"/>
        <v>15458</v>
      </c>
      <c r="DS35" s="2">
        <f t="shared" si="11"/>
        <v>112093</v>
      </c>
      <c r="DT35" s="2">
        <f t="shared" si="12"/>
        <v>13324</v>
      </c>
      <c r="DU35" s="2"/>
      <c r="DV35" s="2"/>
      <c r="DW35" s="2"/>
      <c r="DX35" s="2">
        <f t="shared" si="18"/>
        <v>1007070</v>
      </c>
      <c r="DY35" s="2"/>
      <c r="DZ35" s="2">
        <f t="shared" si="14"/>
        <v>600758</v>
      </c>
      <c r="EA35" s="2">
        <f t="shared" si="15"/>
        <v>61454</v>
      </c>
      <c r="EC35" s="2">
        <f t="shared" si="16"/>
        <v>1131028</v>
      </c>
    </row>
    <row r="36" spans="1:133" x14ac:dyDescent="0.25">
      <c r="A36" s="13">
        <v>42795</v>
      </c>
      <c r="B36">
        <v>0</v>
      </c>
      <c r="C36">
        <v>0</v>
      </c>
      <c r="D36">
        <v>0</v>
      </c>
      <c r="E36">
        <v>0</v>
      </c>
      <c r="F36">
        <v>1102</v>
      </c>
      <c r="G36">
        <v>16019</v>
      </c>
      <c r="H36">
        <v>39304</v>
      </c>
      <c r="I36">
        <v>944</v>
      </c>
      <c r="J36">
        <v>2273</v>
      </c>
      <c r="K36">
        <v>1138</v>
      </c>
      <c r="L36">
        <v>29854</v>
      </c>
      <c r="M36">
        <v>1468</v>
      </c>
      <c r="N36">
        <v>619</v>
      </c>
      <c r="O36">
        <v>1467</v>
      </c>
      <c r="P36">
        <v>10171</v>
      </c>
      <c r="Q36">
        <v>236</v>
      </c>
      <c r="R36">
        <v>5283</v>
      </c>
      <c r="S36">
        <v>12868</v>
      </c>
      <c r="T36">
        <v>25</v>
      </c>
      <c r="U36">
        <v>3887</v>
      </c>
      <c r="V36">
        <v>54</v>
      </c>
      <c r="W36">
        <v>15562</v>
      </c>
      <c r="X36">
        <v>467</v>
      </c>
      <c r="Y36">
        <v>6</v>
      </c>
      <c r="Z36">
        <v>7</v>
      </c>
      <c r="AA36">
        <v>1</v>
      </c>
      <c r="AB36">
        <v>191</v>
      </c>
      <c r="AC36">
        <v>18</v>
      </c>
      <c r="AD36">
        <v>29</v>
      </c>
      <c r="AE36">
        <v>21</v>
      </c>
      <c r="AF36">
        <v>60</v>
      </c>
      <c r="AG36">
        <v>92</v>
      </c>
      <c r="AH36">
        <v>2026</v>
      </c>
      <c r="AI36">
        <v>2</v>
      </c>
      <c r="AJ36">
        <v>15623</v>
      </c>
      <c r="AK36">
        <v>110732</v>
      </c>
      <c r="AL36">
        <v>2539</v>
      </c>
      <c r="AM36">
        <v>21343</v>
      </c>
      <c r="AN36">
        <v>20</v>
      </c>
      <c r="AO36">
        <v>120</v>
      </c>
      <c r="AP36">
        <v>10293</v>
      </c>
      <c r="AQ36">
        <v>0</v>
      </c>
      <c r="AR36">
        <v>813</v>
      </c>
      <c r="AS36">
        <v>41</v>
      </c>
      <c r="AT36">
        <v>10472</v>
      </c>
      <c r="AU36">
        <v>2256</v>
      </c>
      <c r="AV36">
        <v>3618</v>
      </c>
      <c r="AW36">
        <v>15443</v>
      </c>
      <c r="AX36" s="88">
        <v>1</v>
      </c>
      <c r="AY36" s="88">
        <v>0</v>
      </c>
      <c r="AZ36" s="88">
        <v>957</v>
      </c>
      <c r="BA36" s="88">
        <v>0</v>
      </c>
      <c r="BB36">
        <v>121</v>
      </c>
      <c r="BC36">
        <v>786</v>
      </c>
      <c r="BD36">
        <v>0</v>
      </c>
      <c r="BE36">
        <v>0</v>
      </c>
      <c r="BF36">
        <v>7852</v>
      </c>
      <c r="BG36">
        <v>0</v>
      </c>
      <c r="BH36">
        <v>0</v>
      </c>
      <c r="BI36">
        <v>0</v>
      </c>
      <c r="BJ36">
        <v>44</v>
      </c>
      <c r="BK36">
        <v>5444</v>
      </c>
      <c r="BL36">
        <v>0</v>
      </c>
      <c r="BM36">
        <v>554</v>
      </c>
      <c r="BN36">
        <v>0</v>
      </c>
      <c r="BO36">
        <v>111404</v>
      </c>
      <c r="BP36">
        <v>82158</v>
      </c>
      <c r="BQ36">
        <v>1915</v>
      </c>
      <c r="BR36">
        <v>33</v>
      </c>
      <c r="BS36">
        <v>28536</v>
      </c>
      <c r="BT36">
        <v>1394</v>
      </c>
      <c r="BU36">
        <v>0</v>
      </c>
      <c r="BV36">
        <v>0</v>
      </c>
      <c r="BW36">
        <v>4</v>
      </c>
      <c r="BX36">
        <v>10467</v>
      </c>
      <c r="BY36">
        <v>385</v>
      </c>
      <c r="BZ36">
        <v>0</v>
      </c>
      <c r="CA36">
        <v>24338</v>
      </c>
      <c r="CB36">
        <v>15288</v>
      </c>
      <c r="CC36">
        <v>131376</v>
      </c>
      <c r="CD36">
        <v>280218</v>
      </c>
      <c r="CE36">
        <v>35712</v>
      </c>
      <c r="CF36">
        <v>52601</v>
      </c>
      <c r="CG36">
        <v>0</v>
      </c>
      <c r="CH36">
        <v>10</v>
      </c>
      <c r="CI36">
        <v>3</v>
      </c>
      <c r="CJ36">
        <v>66</v>
      </c>
      <c r="CQ36">
        <v>387</v>
      </c>
      <c r="CR36">
        <v>9</v>
      </c>
      <c r="CY36">
        <v>0</v>
      </c>
      <c r="CZ36">
        <v>0</v>
      </c>
      <c r="DA36">
        <v>0</v>
      </c>
      <c r="DB36">
        <v>14</v>
      </c>
      <c r="DC36">
        <v>0</v>
      </c>
      <c r="DD36">
        <v>26</v>
      </c>
      <c r="DE36" s="2"/>
      <c r="DG36" s="2">
        <f t="shared" ref="DG36:DG55" si="19">SUM(AX36:AY36,BC36:CP36,CU36:CX36)</f>
        <v>790589</v>
      </c>
      <c r="DH36" s="2">
        <f t="shared" ref="DH36:DH67" si="20">SUM(L36:M36,O36:AW36,AZ36:BB36,CQ36,CR37)</f>
        <v>278586</v>
      </c>
      <c r="DI36" s="2">
        <f t="shared" si="17"/>
        <v>1069175</v>
      </c>
      <c r="DJ36" s="2"/>
      <c r="DK36" s="2">
        <f t="shared" ref="DK36:DK67" si="21">SUM(L36:M36,O36:R36,T36:W36)</f>
        <v>68007</v>
      </c>
      <c r="DL36" s="2">
        <f t="shared" ref="DL36:DL67" si="22">SUM(X36:Y36,AA36:AE36,AG36:AL36,AN36,AR36:AV36,AZ36:BB36)</f>
        <v>150045</v>
      </c>
      <c r="DM36" s="2">
        <f t="shared" ref="DM36:DM67" si="23">S36</f>
        <v>12868</v>
      </c>
      <c r="DN36" s="2">
        <f t="shared" ref="DN36:DN67" si="24">AF36+AW36+AM36+AO36+AP36+AQ36</f>
        <v>47259</v>
      </c>
      <c r="DO36" s="2">
        <f t="shared" ref="DO36:DO67" si="25">SUM(AX36,BE36,BH36,BJ36,BN36,BQ36:BR36,BT36,BV36,BY36:CA36,CC36:CE36,CI36:CJ36)</f>
        <v>475485</v>
      </c>
      <c r="DP36" s="2">
        <f t="shared" ref="DP36:DP55" si="26">SUM(AY36,BC36:BD36,BG36,BM36,BP36,BS36,CW36:CX36)</f>
        <v>112034</v>
      </c>
      <c r="DQ36" s="2">
        <f t="shared" ref="DQ36:DQ67" si="27">SUM(CQ36+CR36+CW36+CX36)</f>
        <v>396</v>
      </c>
      <c r="DR36" s="2">
        <f t="shared" ref="DR36:DR67" si="28">CB36+CH36+Z36</f>
        <v>15305</v>
      </c>
      <c r="DS36" s="2">
        <f t="shared" ref="DS36:DS67" si="29">BO36+BU36</f>
        <v>111404</v>
      </c>
      <c r="DT36" s="2">
        <f t="shared" ref="DT36:DT67" si="30">BF36+BI36+BK36+BL36+BW36</f>
        <v>13300</v>
      </c>
      <c r="DU36" s="2"/>
      <c r="DV36" s="2"/>
      <c r="DW36" s="2"/>
      <c r="DX36" s="2">
        <f t="shared" si="18"/>
        <v>1006103</v>
      </c>
      <c r="DY36" s="2"/>
      <c r="DZ36" s="2">
        <f t="shared" ref="DZ36:DZ67" si="31">DO36+DT36+G36+H36+I36+J36+CF36</f>
        <v>599926</v>
      </c>
      <c r="EA36" s="2">
        <f t="shared" ref="EA36:EA55" si="32">SUM(F36:K36,N36,CS36:CT36)</f>
        <v>61399</v>
      </c>
      <c r="EC36" s="2">
        <f t="shared" ref="EC36:EC67" si="33">EA36+DI36</f>
        <v>1130574</v>
      </c>
    </row>
    <row r="37" spans="1:133" x14ac:dyDescent="0.25">
      <c r="A37" s="13">
        <v>42826</v>
      </c>
      <c r="B37">
        <v>0</v>
      </c>
      <c r="C37">
        <v>0</v>
      </c>
      <c r="D37">
        <v>0</v>
      </c>
      <c r="E37">
        <v>0</v>
      </c>
      <c r="F37">
        <v>1122</v>
      </c>
      <c r="G37">
        <v>16353</v>
      </c>
      <c r="H37">
        <v>39842</v>
      </c>
      <c r="I37">
        <v>941</v>
      </c>
      <c r="J37">
        <v>2248</v>
      </c>
      <c r="K37">
        <v>1186</v>
      </c>
      <c r="L37">
        <v>30398</v>
      </c>
      <c r="M37">
        <v>1475</v>
      </c>
      <c r="N37">
        <v>637</v>
      </c>
      <c r="O37">
        <v>1525</v>
      </c>
      <c r="P37">
        <v>10091</v>
      </c>
      <c r="Q37">
        <v>232</v>
      </c>
      <c r="R37">
        <v>5214</v>
      </c>
      <c r="S37">
        <v>13081</v>
      </c>
      <c r="T37">
        <v>30</v>
      </c>
      <c r="U37">
        <v>4033</v>
      </c>
      <c r="V37">
        <v>46</v>
      </c>
      <c r="W37">
        <v>16019</v>
      </c>
      <c r="X37">
        <v>460</v>
      </c>
      <c r="Y37">
        <v>5</v>
      </c>
      <c r="Z37">
        <v>2</v>
      </c>
      <c r="AA37">
        <v>1</v>
      </c>
      <c r="AB37">
        <v>189</v>
      </c>
      <c r="AC37">
        <v>19</v>
      </c>
      <c r="AD37">
        <v>29</v>
      </c>
      <c r="AE37">
        <v>19</v>
      </c>
      <c r="AF37">
        <v>55</v>
      </c>
      <c r="AG37">
        <v>79</v>
      </c>
      <c r="AH37">
        <v>2127</v>
      </c>
      <c r="AI37">
        <v>2</v>
      </c>
      <c r="AJ37">
        <v>15942</v>
      </c>
      <c r="AK37">
        <v>110537</v>
      </c>
      <c r="AL37">
        <v>2517</v>
      </c>
      <c r="AM37">
        <v>21400</v>
      </c>
      <c r="AN37">
        <v>18</v>
      </c>
      <c r="AO37">
        <v>135</v>
      </c>
      <c r="AP37">
        <v>10471</v>
      </c>
      <c r="AQ37">
        <v>0</v>
      </c>
      <c r="AR37">
        <v>850</v>
      </c>
      <c r="AS37">
        <v>43</v>
      </c>
      <c r="AT37">
        <v>10438</v>
      </c>
      <c r="AU37">
        <v>2232</v>
      </c>
      <c r="AV37">
        <v>3546</v>
      </c>
      <c r="AW37">
        <v>15418</v>
      </c>
      <c r="AX37" s="88">
        <v>4</v>
      </c>
      <c r="AY37" s="88">
        <v>4</v>
      </c>
      <c r="AZ37" s="88">
        <v>969</v>
      </c>
      <c r="BA37" s="88">
        <v>1</v>
      </c>
      <c r="BB37">
        <v>119</v>
      </c>
      <c r="BC37">
        <v>796</v>
      </c>
      <c r="BD37">
        <v>0</v>
      </c>
      <c r="BE37">
        <v>0</v>
      </c>
      <c r="BF37">
        <v>7871</v>
      </c>
      <c r="BG37">
        <v>0</v>
      </c>
      <c r="BH37">
        <v>0</v>
      </c>
      <c r="BI37">
        <v>0</v>
      </c>
      <c r="BJ37">
        <v>41</v>
      </c>
      <c r="BK37">
        <v>5449</v>
      </c>
      <c r="BL37">
        <v>0</v>
      </c>
      <c r="BM37">
        <v>583</v>
      </c>
      <c r="BN37">
        <v>0</v>
      </c>
      <c r="BO37">
        <v>112470</v>
      </c>
      <c r="BP37">
        <v>83392</v>
      </c>
      <c r="BQ37">
        <v>2099</v>
      </c>
      <c r="BR37">
        <v>33</v>
      </c>
      <c r="BS37">
        <v>29331</v>
      </c>
      <c r="BT37">
        <v>1475</v>
      </c>
      <c r="BU37">
        <v>0</v>
      </c>
      <c r="BV37">
        <v>0</v>
      </c>
      <c r="BW37">
        <v>4</v>
      </c>
      <c r="BX37">
        <v>10821</v>
      </c>
      <c r="BY37">
        <v>387</v>
      </c>
      <c r="BZ37">
        <v>0</v>
      </c>
      <c r="CA37">
        <v>24632</v>
      </c>
      <c r="CB37">
        <v>15514</v>
      </c>
      <c r="CC37">
        <v>132004</v>
      </c>
      <c r="CD37">
        <v>281288</v>
      </c>
      <c r="CE37">
        <v>36134</v>
      </c>
      <c r="CF37">
        <v>53432</v>
      </c>
      <c r="CG37">
        <v>0</v>
      </c>
      <c r="CH37">
        <v>10</v>
      </c>
      <c r="CI37">
        <v>3</v>
      </c>
      <c r="CJ37">
        <v>67</v>
      </c>
      <c r="CQ37">
        <v>375</v>
      </c>
      <c r="CR37">
        <v>13</v>
      </c>
      <c r="CY37">
        <v>0</v>
      </c>
      <c r="CZ37">
        <v>0</v>
      </c>
      <c r="DA37">
        <v>0</v>
      </c>
      <c r="DB37">
        <v>14</v>
      </c>
      <c r="DC37">
        <v>0</v>
      </c>
      <c r="DD37">
        <v>26</v>
      </c>
      <c r="DF37" s="2"/>
      <c r="DG37" s="2">
        <f t="shared" si="19"/>
        <v>797844</v>
      </c>
      <c r="DH37" s="2">
        <f t="shared" si="20"/>
        <v>280154</v>
      </c>
      <c r="DI37" s="2">
        <f t="shared" si="17"/>
        <v>1077998</v>
      </c>
      <c r="DK37" s="2">
        <f t="shared" si="21"/>
        <v>69063</v>
      </c>
      <c r="DL37" s="2">
        <f t="shared" si="22"/>
        <v>150142</v>
      </c>
      <c r="DM37" s="2">
        <f t="shared" si="23"/>
        <v>13081</v>
      </c>
      <c r="DN37" s="2">
        <f t="shared" si="24"/>
        <v>47479</v>
      </c>
      <c r="DO37" s="2">
        <f t="shared" si="25"/>
        <v>478167</v>
      </c>
      <c r="DP37" s="2">
        <f t="shared" si="26"/>
        <v>114106</v>
      </c>
      <c r="DQ37" s="2">
        <f t="shared" si="27"/>
        <v>388</v>
      </c>
      <c r="DR37" s="2">
        <f t="shared" si="28"/>
        <v>15526</v>
      </c>
      <c r="DS37" s="2">
        <f t="shared" si="29"/>
        <v>112470</v>
      </c>
      <c r="DT37" s="2">
        <f t="shared" si="30"/>
        <v>13324</v>
      </c>
      <c r="DU37" s="2"/>
      <c r="DV37" s="2"/>
      <c r="DW37" s="2"/>
      <c r="DX37" s="2">
        <f t="shared" si="18"/>
        <v>1013746</v>
      </c>
      <c r="DZ37" s="2">
        <f t="shared" si="31"/>
        <v>604307</v>
      </c>
      <c r="EA37" s="2">
        <f t="shared" si="32"/>
        <v>62329</v>
      </c>
      <c r="EC37" s="2">
        <f t="shared" si="33"/>
        <v>1140327</v>
      </c>
    </row>
    <row r="38" spans="1:133" x14ac:dyDescent="0.25">
      <c r="A38" s="13">
        <v>42856</v>
      </c>
      <c r="B38">
        <v>0</v>
      </c>
      <c r="C38">
        <v>0</v>
      </c>
      <c r="D38">
        <v>0</v>
      </c>
      <c r="E38">
        <v>0</v>
      </c>
      <c r="F38">
        <v>1139</v>
      </c>
      <c r="G38">
        <v>16542</v>
      </c>
      <c r="H38">
        <v>40286</v>
      </c>
      <c r="I38">
        <v>916</v>
      </c>
      <c r="J38">
        <v>2223</v>
      </c>
      <c r="K38">
        <v>1223</v>
      </c>
      <c r="L38">
        <v>30969</v>
      </c>
      <c r="M38">
        <v>1474</v>
      </c>
      <c r="N38">
        <v>645</v>
      </c>
      <c r="O38">
        <v>1555</v>
      </c>
      <c r="P38">
        <v>10033</v>
      </c>
      <c r="Q38">
        <v>238</v>
      </c>
      <c r="R38">
        <v>5126</v>
      </c>
      <c r="S38">
        <v>13198</v>
      </c>
      <c r="T38">
        <v>35</v>
      </c>
      <c r="U38">
        <v>4149</v>
      </c>
      <c r="V38">
        <v>39</v>
      </c>
      <c r="W38">
        <v>16258</v>
      </c>
      <c r="X38">
        <v>433</v>
      </c>
      <c r="Y38">
        <v>5</v>
      </c>
      <c r="Z38">
        <v>3</v>
      </c>
      <c r="AA38">
        <v>0</v>
      </c>
      <c r="AB38">
        <v>175</v>
      </c>
      <c r="AC38">
        <v>19</v>
      </c>
      <c r="AD38">
        <v>29</v>
      </c>
      <c r="AE38">
        <v>19</v>
      </c>
      <c r="AF38">
        <v>51</v>
      </c>
      <c r="AG38">
        <v>88</v>
      </c>
      <c r="AH38">
        <v>2216</v>
      </c>
      <c r="AI38">
        <v>2</v>
      </c>
      <c r="AJ38">
        <v>16070</v>
      </c>
      <c r="AK38">
        <v>109901</v>
      </c>
      <c r="AL38">
        <v>2478</v>
      </c>
      <c r="AM38">
        <v>21275</v>
      </c>
      <c r="AN38">
        <v>20</v>
      </c>
      <c r="AO38">
        <v>133</v>
      </c>
      <c r="AP38">
        <v>10549</v>
      </c>
      <c r="AQ38">
        <v>0</v>
      </c>
      <c r="AR38">
        <v>875</v>
      </c>
      <c r="AS38">
        <v>41</v>
      </c>
      <c r="AT38">
        <v>10347</v>
      </c>
      <c r="AU38">
        <v>2196</v>
      </c>
      <c r="AV38">
        <v>3429</v>
      </c>
      <c r="AW38">
        <v>15248</v>
      </c>
      <c r="AX38" s="88">
        <v>18</v>
      </c>
      <c r="AY38" s="88">
        <v>2</v>
      </c>
      <c r="AZ38" s="88">
        <v>968</v>
      </c>
      <c r="BA38" s="88">
        <v>1</v>
      </c>
      <c r="BB38">
        <v>113</v>
      </c>
      <c r="BC38">
        <v>821</v>
      </c>
      <c r="BD38">
        <v>0</v>
      </c>
      <c r="BE38">
        <v>0</v>
      </c>
      <c r="BF38">
        <v>7867</v>
      </c>
      <c r="BG38">
        <v>0</v>
      </c>
      <c r="BH38">
        <v>0</v>
      </c>
      <c r="BI38">
        <v>0</v>
      </c>
      <c r="BJ38">
        <v>39</v>
      </c>
      <c r="BK38">
        <v>5462</v>
      </c>
      <c r="BL38">
        <v>0</v>
      </c>
      <c r="BM38">
        <v>545</v>
      </c>
      <c r="BN38">
        <v>0</v>
      </c>
      <c r="BO38">
        <v>112405</v>
      </c>
      <c r="BP38">
        <v>83473</v>
      </c>
      <c r="BQ38">
        <v>2250</v>
      </c>
      <c r="BR38">
        <v>30</v>
      </c>
      <c r="BS38">
        <v>29741</v>
      </c>
      <c r="BT38">
        <v>1615</v>
      </c>
      <c r="BU38">
        <v>0</v>
      </c>
      <c r="BV38">
        <v>0</v>
      </c>
      <c r="BW38">
        <v>4</v>
      </c>
      <c r="BX38">
        <v>11077</v>
      </c>
      <c r="BY38">
        <v>396</v>
      </c>
      <c r="BZ38">
        <v>0</v>
      </c>
      <c r="CA38">
        <v>24869</v>
      </c>
      <c r="CB38">
        <v>15702</v>
      </c>
      <c r="CC38">
        <v>131186</v>
      </c>
      <c r="CD38">
        <v>279736</v>
      </c>
      <c r="CE38">
        <v>35812</v>
      </c>
      <c r="CF38">
        <v>53906</v>
      </c>
      <c r="CG38">
        <v>0</v>
      </c>
      <c r="CH38">
        <v>6</v>
      </c>
      <c r="CI38">
        <v>2</v>
      </c>
      <c r="CJ38">
        <v>71</v>
      </c>
      <c r="CQ38">
        <v>380</v>
      </c>
      <c r="CR38">
        <v>12</v>
      </c>
      <c r="CY38">
        <v>0</v>
      </c>
      <c r="CZ38">
        <v>0</v>
      </c>
      <c r="DA38">
        <v>0</v>
      </c>
      <c r="DB38">
        <v>14</v>
      </c>
      <c r="DC38">
        <v>0</v>
      </c>
      <c r="DD38">
        <v>26</v>
      </c>
      <c r="DF38" s="2"/>
      <c r="DG38" s="2">
        <f t="shared" si="19"/>
        <v>797035</v>
      </c>
      <c r="DH38" s="2">
        <f t="shared" si="20"/>
        <v>280154</v>
      </c>
      <c r="DI38" s="2">
        <f t="shared" si="17"/>
        <v>1077189</v>
      </c>
      <c r="DK38" s="2">
        <f t="shared" si="21"/>
        <v>69876</v>
      </c>
      <c r="DL38" s="2">
        <f t="shared" si="22"/>
        <v>149425</v>
      </c>
      <c r="DM38" s="2">
        <f t="shared" si="23"/>
        <v>13198</v>
      </c>
      <c r="DN38" s="2">
        <f t="shared" si="24"/>
        <v>47256</v>
      </c>
      <c r="DO38" s="2">
        <f t="shared" si="25"/>
        <v>476024</v>
      </c>
      <c r="DP38" s="2">
        <f t="shared" si="26"/>
        <v>114582</v>
      </c>
      <c r="DQ38" s="2">
        <f t="shared" si="27"/>
        <v>392</v>
      </c>
      <c r="DR38" s="2">
        <f t="shared" si="28"/>
        <v>15711</v>
      </c>
      <c r="DS38" s="2">
        <f t="shared" si="29"/>
        <v>112405</v>
      </c>
      <c r="DT38" s="2">
        <f t="shared" si="30"/>
        <v>13333</v>
      </c>
      <c r="DU38" s="2"/>
      <c r="DV38" s="2"/>
      <c r="DW38" s="2"/>
      <c r="DX38" s="2">
        <f t="shared" si="18"/>
        <v>1012202</v>
      </c>
      <c r="DZ38" s="2">
        <f t="shared" si="31"/>
        <v>603230</v>
      </c>
      <c r="EA38" s="2">
        <f t="shared" si="32"/>
        <v>62974</v>
      </c>
      <c r="EC38" s="2">
        <f t="shared" si="33"/>
        <v>1140163</v>
      </c>
    </row>
    <row r="39" spans="1:133" x14ac:dyDescent="0.25">
      <c r="A39" s="13">
        <v>42887</v>
      </c>
      <c r="B39">
        <v>0</v>
      </c>
      <c r="C39">
        <v>0</v>
      </c>
      <c r="D39">
        <v>0</v>
      </c>
      <c r="E39">
        <v>0</v>
      </c>
      <c r="F39">
        <v>1115</v>
      </c>
      <c r="G39">
        <v>16653</v>
      </c>
      <c r="H39">
        <v>40642</v>
      </c>
      <c r="I39">
        <v>870</v>
      </c>
      <c r="J39">
        <v>2125</v>
      </c>
      <c r="K39">
        <v>1172</v>
      </c>
      <c r="L39">
        <v>31498</v>
      </c>
      <c r="M39">
        <v>1500</v>
      </c>
      <c r="N39">
        <v>640</v>
      </c>
      <c r="O39">
        <v>1607</v>
      </c>
      <c r="P39">
        <v>10025</v>
      </c>
      <c r="Q39">
        <v>237</v>
      </c>
      <c r="R39">
        <v>5067</v>
      </c>
      <c r="S39">
        <v>13334</v>
      </c>
      <c r="T39">
        <v>44</v>
      </c>
      <c r="U39">
        <v>4256</v>
      </c>
      <c r="V39">
        <v>42</v>
      </c>
      <c r="W39">
        <v>16578</v>
      </c>
      <c r="X39">
        <v>431</v>
      </c>
      <c r="Y39">
        <v>5</v>
      </c>
      <c r="Z39">
        <v>3</v>
      </c>
      <c r="AA39">
        <v>1</v>
      </c>
      <c r="AB39">
        <v>167</v>
      </c>
      <c r="AC39">
        <v>20</v>
      </c>
      <c r="AD39">
        <v>27</v>
      </c>
      <c r="AE39">
        <v>17</v>
      </c>
      <c r="AF39">
        <v>48</v>
      </c>
      <c r="AG39">
        <v>98</v>
      </c>
      <c r="AH39">
        <v>2287</v>
      </c>
      <c r="AI39">
        <v>1</v>
      </c>
      <c r="AJ39">
        <v>16193</v>
      </c>
      <c r="AK39">
        <v>109719</v>
      </c>
      <c r="AL39">
        <v>2419</v>
      </c>
      <c r="AM39">
        <v>21280</v>
      </c>
      <c r="AN39">
        <v>16</v>
      </c>
      <c r="AO39">
        <v>142</v>
      </c>
      <c r="AP39">
        <v>10602</v>
      </c>
      <c r="AQ39">
        <v>0</v>
      </c>
      <c r="AR39">
        <v>868</v>
      </c>
      <c r="AS39">
        <v>37</v>
      </c>
      <c r="AT39">
        <v>10237</v>
      </c>
      <c r="AU39">
        <v>2157</v>
      </c>
      <c r="AV39">
        <v>3342</v>
      </c>
      <c r="AW39">
        <v>15168</v>
      </c>
      <c r="AX39" s="88">
        <v>11</v>
      </c>
      <c r="AY39" s="88">
        <v>8</v>
      </c>
      <c r="AZ39" s="88">
        <v>964</v>
      </c>
      <c r="BA39" s="88">
        <v>2</v>
      </c>
      <c r="BB39">
        <v>123</v>
      </c>
      <c r="BC39">
        <v>843</v>
      </c>
      <c r="BD39">
        <v>0</v>
      </c>
      <c r="BE39">
        <v>0</v>
      </c>
      <c r="BF39">
        <v>7888</v>
      </c>
      <c r="BG39">
        <v>0</v>
      </c>
      <c r="BH39">
        <v>0</v>
      </c>
      <c r="BI39">
        <v>0</v>
      </c>
      <c r="BJ39">
        <v>44</v>
      </c>
      <c r="BK39">
        <v>5493</v>
      </c>
      <c r="BL39">
        <v>0</v>
      </c>
      <c r="BM39">
        <v>443</v>
      </c>
      <c r="BN39">
        <v>0</v>
      </c>
      <c r="BO39">
        <v>112320</v>
      </c>
      <c r="BP39">
        <v>84151</v>
      </c>
      <c r="BQ39">
        <v>2523</v>
      </c>
      <c r="BR39">
        <v>29</v>
      </c>
      <c r="BS39">
        <v>30344</v>
      </c>
      <c r="BT39">
        <v>1806</v>
      </c>
      <c r="BU39">
        <v>0</v>
      </c>
      <c r="BV39">
        <v>0</v>
      </c>
      <c r="BW39">
        <v>3</v>
      </c>
      <c r="BX39">
        <v>11425</v>
      </c>
      <c r="BY39">
        <v>382</v>
      </c>
      <c r="BZ39">
        <v>0</v>
      </c>
      <c r="CA39">
        <v>25231</v>
      </c>
      <c r="CB39">
        <v>15927</v>
      </c>
      <c r="CC39">
        <v>131099</v>
      </c>
      <c r="CD39">
        <v>278784</v>
      </c>
      <c r="CE39">
        <v>34990</v>
      </c>
      <c r="CF39">
        <v>54576</v>
      </c>
      <c r="CG39">
        <v>0</v>
      </c>
      <c r="CH39">
        <v>6</v>
      </c>
      <c r="CI39">
        <v>2</v>
      </c>
      <c r="CJ39">
        <v>78</v>
      </c>
      <c r="CQ39">
        <v>391</v>
      </c>
      <c r="CR39">
        <v>16</v>
      </c>
      <c r="CY39">
        <v>0</v>
      </c>
      <c r="CZ39">
        <v>0</v>
      </c>
      <c r="DA39">
        <v>0</v>
      </c>
      <c r="DB39">
        <v>14</v>
      </c>
      <c r="DC39">
        <v>0</v>
      </c>
      <c r="DD39">
        <v>26</v>
      </c>
      <c r="DF39" s="2"/>
      <c r="DG39" s="2">
        <f t="shared" si="19"/>
        <v>798406</v>
      </c>
      <c r="DH39" s="2">
        <f t="shared" si="20"/>
        <v>280971</v>
      </c>
      <c r="DI39" s="2">
        <f t="shared" si="17"/>
        <v>1079377</v>
      </c>
      <c r="DK39" s="2">
        <f t="shared" si="21"/>
        <v>70854</v>
      </c>
      <c r="DL39" s="2">
        <f t="shared" si="22"/>
        <v>149131</v>
      </c>
      <c r="DM39" s="2">
        <f t="shared" si="23"/>
        <v>13334</v>
      </c>
      <c r="DN39" s="2">
        <f t="shared" si="24"/>
        <v>47240</v>
      </c>
      <c r="DO39" s="2">
        <f t="shared" si="25"/>
        <v>474979</v>
      </c>
      <c r="DP39" s="2">
        <f t="shared" si="26"/>
        <v>115789</v>
      </c>
      <c r="DQ39" s="2">
        <f t="shared" si="27"/>
        <v>407</v>
      </c>
      <c r="DR39" s="2">
        <f t="shared" si="28"/>
        <v>15936</v>
      </c>
      <c r="DS39" s="2">
        <f t="shared" si="29"/>
        <v>112320</v>
      </c>
      <c r="DT39" s="2">
        <f t="shared" si="30"/>
        <v>13384</v>
      </c>
      <c r="DU39" s="2"/>
      <c r="DV39" s="2"/>
      <c r="DW39" s="2"/>
      <c r="DX39" s="2">
        <f t="shared" si="18"/>
        <v>1013374</v>
      </c>
      <c r="DZ39" s="2">
        <f t="shared" si="31"/>
        <v>603229</v>
      </c>
      <c r="EA39" s="2">
        <f t="shared" si="32"/>
        <v>63217</v>
      </c>
      <c r="EC39" s="2">
        <f t="shared" si="33"/>
        <v>1142594</v>
      </c>
    </row>
    <row r="40" spans="1:133" x14ac:dyDescent="0.25">
      <c r="A40" s="13">
        <v>42917</v>
      </c>
      <c r="B40">
        <v>0</v>
      </c>
      <c r="C40">
        <v>0</v>
      </c>
      <c r="D40">
        <v>0</v>
      </c>
      <c r="E40">
        <v>0</v>
      </c>
      <c r="F40">
        <v>1160</v>
      </c>
      <c r="G40">
        <v>16974</v>
      </c>
      <c r="H40">
        <v>41381</v>
      </c>
      <c r="I40">
        <v>879</v>
      </c>
      <c r="J40">
        <v>2119</v>
      </c>
      <c r="K40">
        <v>1149</v>
      </c>
      <c r="L40">
        <v>31892</v>
      </c>
      <c r="M40">
        <v>1525</v>
      </c>
      <c r="N40">
        <v>656</v>
      </c>
      <c r="O40">
        <v>1621</v>
      </c>
      <c r="P40">
        <v>10059</v>
      </c>
      <c r="Q40">
        <v>237</v>
      </c>
      <c r="R40">
        <v>5048</v>
      </c>
      <c r="S40">
        <v>13478</v>
      </c>
      <c r="T40">
        <v>35</v>
      </c>
      <c r="U40">
        <v>4325</v>
      </c>
      <c r="V40">
        <v>46</v>
      </c>
      <c r="W40">
        <v>16812</v>
      </c>
      <c r="X40">
        <v>421</v>
      </c>
      <c r="Y40">
        <v>4</v>
      </c>
      <c r="Z40">
        <v>4</v>
      </c>
      <c r="AA40">
        <v>1</v>
      </c>
      <c r="AB40">
        <v>153</v>
      </c>
      <c r="AC40">
        <v>19</v>
      </c>
      <c r="AD40">
        <v>29</v>
      </c>
      <c r="AE40">
        <v>18</v>
      </c>
      <c r="AF40">
        <v>45</v>
      </c>
      <c r="AG40">
        <v>97</v>
      </c>
      <c r="AH40">
        <v>2344</v>
      </c>
      <c r="AI40">
        <v>2</v>
      </c>
      <c r="AJ40">
        <v>16392</v>
      </c>
      <c r="AK40">
        <v>109586</v>
      </c>
      <c r="AL40">
        <v>2356</v>
      </c>
      <c r="AM40">
        <v>21221</v>
      </c>
      <c r="AN40">
        <v>14</v>
      </c>
      <c r="AO40">
        <v>155</v>
      </c>
      <c r="AP40">
        <v>10674</v>
      </c>
      <c r="AQ40">
        <v>0</v>
      </c>
      <c r="AR40">
        <v>831</v>
      </c>
      <c r="AS40">
        <v>35</v>
      </c>
      <c r="AT40">
        <v>10156</v>
      </c>
      <c r="AU40">
        <v>2134</v>
      </c>
      <c r="AV40">
        <v>3264</v>
      </c>
      <c r="AW40">
        <v>15057</v>
      </c>
      <c r="AX40" s="88">
        <v>7</v>
      </c>
      <c r="AY40" s="88">
        <v>3</v>
      </c>
      <c r="AZ40" s="88">
        <v>963</v>
      </c>
      <c r="BA40" s="88">
        <v>1</v>
      </c>
      <c r="BB40">
        <v>133</v>
      </c>
      <c r="BC40">
        <v>851</v>
      </c>
      <c r="BD40">
        <v>0</v>
      </c>
      <c r="BE40">
        <v>0</v>
      </c>
      <c r="BF40">
        <v>7917</v>
      </c>
      <c r="BG40">
        <v>0</v>
      </c>
      <c r="BH40">
        <v>0</v>
      </c>
      <c r="BI40">
        <v>0</v>
      </c>
      <c r="BJ40">
        <v>42</v>
      </c>
      <c r="BK40">
        <v>5496</v>
      </c>
      <c r="BL40">
        <v>0</v>
      </c>
      <c r="BM40">
        <v>410</v>
      </c>
      <c r="BN40">
        <v>0</v>
      </c>
      <c r="BO40">
        <v>113129</v>
      </c>
      <c r="BP40">
        <v>84812</v>
      </c>
      <c r="BQ40">
        <v>2706</v>
      </c>
      <c r="BR40">
        <v>28</v>
      </c>
      <c r="BS40">
        <v>30753</v>
      </c>
      <c r="BT40">
        <v>1921</v>
      </c>
      <c r="BU40">
        <v>0</v>
      </c>
      <c r="BV40">
        <v>0</v>
      </c>
      <c r="BW40">
        <v>3</v>
      </c>
      <c r="BX40">
        <v>11734</v>
      </c>
      <c r="BY40">
        <v>375</v>
      </c>
      <c r="BZ40">
        <v>0</v>
      </c>
      <c r="CA40">
        <v>25580</v>
      </c>
      <c r="CB40">
        <v>16145</v>
      </c>
      <c r="CC40">
        <v>130927</v>
      </c>
      <c r="CD40">
        <v>278023</v>
      </c>
      <c r="CE40">
        <v>35268</v>
      </c>
      <c r="CF40">
        <v>55896</v>
      </c>
      <c r="CG40">
        <v>0</v>
      </c>
      <c r="CH40">
        <v>6</v>
      </c>
      <c r="CI40">
        <v>1</v>
      </c>
      <c r="CJ40">
        <v>75</v>
      </c>
      <c r="CQ40">
        <v>404</v>
      </c>
      <c r="CR40">
        <v>18</v>
      </c>
      <c r="CY40">
        <v>0</v>
      </c>
      <c r="CZ40">
        <v>0</v>
      </c>
      <c r="DA40">
        <v>0</v>
      </c>
      <c r="DB40">
        <v>14</v>
      </c>
      <c r="DC40">
        <v>0</v>
      </c>
      <c r="DD40">
        <v>26</v>
      </c>
      <c r="DF40" s="2"/>
      <c r="DG40" s="2">
        <f t="shared" si="19"/>
        <v>802108</v>
      </c>
      <c r="DH40" s="2">
        <f t="shared" si="20"/>
        <v>281615</v>
      </c>
      <c r="DI40" s="2">
        <f t="shared" ref="DI40:DI55" si="34">SUM(DG40:DH40)</f>
        <v>1083723</v>
      </c>
      <c r="DK40" s="2">
        <f t="shared" si="21"/>
        <v>71600</v>
      </c>
      <c r="DL40" s="2">
        <f t="shared" si="22"/>
        <v>148953</v>
      </c>
      <c r="DM40" s="2">
        <f t="shared" si="23"/>
        <v>13478</v>
      </c>
      <c r="DN40" s="2">
        <f t="shared" si="24"/>
        <v>47152</v>
      </c>
      <c r="DO40" s="2">
        <f t="shared" si="25"/>
        <v>474953</v>
      </c>
      <c r="DP40" s="2">
        <f t="shared" si="26"/>
        <v>116829</v>
      </c>
      <c r="DQ40" s="2">
        <f t="shared" si="27"/>
        <v>422</v>
      </c>
      <c r="DR40" s="2">
        <f t="shared" si="28"/>
        <v>16155</v>
      </c>
      <c r="DS40" s="2">
        <f t="shared" si="29"/>
        <v>113129</v>
      </c>
      <c r="DT40" s="2">
        <f t="shared" si="30"/>
        <v>13416</v>
      </c>
      <c r="DU40" s="2"/>
      <c r="DV40" s="2"/>
      <c r="DW40" s="2"/>
      <c r="DX40" s="2">
        <f t="shared" si="18"/>
        <v>1016087</v>
      </c>
      <c r="DZ40" s="2">
        <f t="shared" si="31"/>
        <v>605618</v>
      </c>
      <c r="EA40" s="2">
        <f t="shared" si="32"/>
        <v>64318</v>
      </c>
      <c r="EC40" s="2">
        <f t="shared" si="33"/>
        <v>1148041</v>
      </c>
    </row>
    <row r="41" spans="1:133" x14ac:dyDescent="0.25">
      <c r="A41" s="13">
        <v>42948</v>
      </c>
      <c r="B41">
        <v>0</v>
      </c>
      <c r="C41">
        <v>0</v>
      </c>
      <c r="D41">
        <v>0</v>
      </c>
      <c r="E41">
        <v>0</v>
      </c>
      <c r="F41">
        <v>1154</v>
      </c>
      <c r="G41">
        <v>17180</v>
      </c>
      <c r="H41">
        <v>41982</v>
      </c>
      <c r="I41">
        <v>898</v>
      </c>
      <c r="J41">
        <v>2070</v>
      </c>
      <c r="K41">
        <v>1174</v>
      </c>
      <c r="L41">
        <v>32039</v>
      </c>
      <c r="M41">
        <v>1532</v>
      </c>
      <c r="N41">
        <v>666</v>
      </c>
      <c r="O41">
        <v>1638</v>
      </c>
      <c r="P41">
        <v>10057</v>
      </c>
      <c r="Q41">
        <v>232</v>
      </c>
      <c r="R41">
        <v>5033</v>
      </c>
      <c r="S41">
        <v>13536</v>
      </c>
      <c r="T41">
        <v>36</v>
      </c>
      <c r="U41">
        <v>4388</v>
      </c>
      <c r="V41">
        <v>47</v>
      </c>
      <c r="W41">
        <v>16991</v>
      </c>
      <c r="X41">
        <v>408</v>
      </c>
      <c r="Y41">
        <v>4</v>
      </c>
      <c r="Z41">
        <v>1</v>
      </c>
      <c r="AA41">
        <v>0</v>
      </c>
      <c r="AB41">
        <v>150</v>
      </c>
      <c r="AC41">
        <v>19</v>
      </c>
      <c r="AD41">
        <v>28</v>
      </c>
      <c r="AE41">
        <v>17</v>
      </c>
      <c r="AF41">
        <v>45</v>
      </c>
      <c r="AG41">
        <v>101</v>
      </c>
      <c r="AH41">
        <v>2368</v>
      </c>
      <c r="AI41">
        <v>2</v>
      </c>
      <c r="AJ41">
        <v>16454</v>
      </c>
      <c r="AK41">
        <v>109950</v>
      </c>
      <c r="AL41">
        <v>2319</v>
      </c>
      <c r="AM41">
        <v>21301</v>
      </c>
      <c r="AN41">
        <v>13</v>
      </c>
      <c r="AO41">
        <v>165</v>
      </c>
      <c r="AP41">
        <v>10715</v>
      </c>
      <c r="AQ41">
        <v>0</v>
      </c>
      <c r="AR41">
        <v>811</v>
      </c>
      <c r="AS41">
        <v>35</v>
      </c>
      <c r="AT41">
        <v>10145</v>
      </c>
      <c r="AU41">
        <v>2142</v>
      </c>
      <c r="AV41">
        <v>3258</v>
      </c>
      <c r="AW41">
        <v>15101</v>
      </c>
      <c r="AX41" s="88">
        <v>7</v>
      </c>
      <c r="AY41" s="88">
        <v>3</v>
      </c>
      <c r="AZ41" s="88">
        <v>957</v>
      </c>
      <c r="BA41" s="88">
        <v>1</v>
      </c>
      <c r="BB41">
        <v>112</v>
      </c>
      <c r="BC41">
        <v>869</v>
      </c>
      <c r="BD41">
        <v>0</v>
      </c>
      <c r="BE41">
        <v>0</v>
      </c>
      <c r="BF41">
        <v>7901</v>
      </c>
      <c r="BG41">
        <v>0</v>
      </c>
      <c r="BH41">
        <v>0</v>
      </c>
      <c r="BI41">
        <v>0</v>
      </c>
      <c r="BJ41">
        <v>40</v>
      </c>
      <c r="BK41">
        <v>5449</v>
      </c>
      <c r="BL41">
        <v>0</v>
      </c>
      <c r="BM41">
        <v>351</v>
      </c>
      <c r="BN41">
        <v>0</v>
      </c>
      <c r="BO41">
        <v>113898</v>
      </c>
      <c r="BP41">
        <v>85364</v>
      </c>
      <c r="BQ41">
        <v>2811</v>
      </c>
      <c r="BR41">
        <v>28</v>
      </c>
      <c r="BS41">
        <v>31106</v>
      </c>
      <c r="BT41">
        <v>2023</v>
      </c>
      <c r="BU41">
        <v>0</v>
      </c>
      <c r="BV41">
        <v>0</v>
      </c>
      <c r="BW41">
        <v>2</v>
      </c>
      <c r="BX41">
        <v>11940</v>
      </c>
      <c r="BY41">
        <v>356</v>
      </c>
      <c r="BZ41">
        <v>0</v>
      </c>
      <c r="CA41">
        <v>25868</v>
      </c>
      <c r="CB41">
        <v>16209</v>
      </c>
      <c r="CC41">
        <v>130687</v>
      </c>
      <c r="CD41">
        <v>278014</v>
      </c>
      <c r="CE41">
        <v>35691</v>
      </c>
      <c r="CF41">
        <v>56921</v>
      </c>
      <c r="CG41">
        <v>0</v>
      </c>
      <c r="CH41">
        <v>8</v>
      </c>
      <c r="CI41">
        <v>0</v>
      </c>
      <c r="CJ41">
        <v>72</v>
      </c>
      <c r="CQ41">
        <v>425</v>
      </c>
      <c r="CR41">
        <v>24</v>
      </c>
      <c r="CY41">
        <v>0</v>
      </c>
      <c r="CZ41">
        <v>0</v>
      </c>
      <c r="DA41">
        <v>0</v>
      </c>
      <c r="DB41">
        <v>14</v>
      </c>
      <c r="DC41">
        <v>0</v>
      </c>
      <c r="DD41">
        <v>26</v>
      </c>
      <c r="DF41" s="2"/>
      <c r="DG41" s="2">
        <f t="shared" si="19"/>
        <v>805618</v>
      </c>
      <c r="DH41" s="2">
        <f t="shared" si="20"/>
        <v>282597</v>
      </c>
      <c r="DI41" s="2">
        <f t="shared" si="34"/>
        <v>1088215</v>
      </c>
      <c r="DK41" s="2">
        <f t="shared" si="21"/>
        <v>71993</v>
      </c>
      <c r="DL41" s="2">
        <f t="shared" si="22"/>
        <v>149294</v>
      </c>
      <c r="DM41" s="2">
        <f t="shared" si="23"/>
        <v>13536</v>
      </c>
      <c r="DN41" s="2">
        <f t="shared" si="24"/>
        <v>47327</v>
      </c>
      <c r="DO41" s="2">
        <f t="shared" si="25"/>
        <v>475597</v>
      </c>
      <c r="DP41" s="2">
        <f t="shared" si="26"/>
        <v>117693</v>
      </c>
      <c r="DQ41" s="2">
        <f t="shared" si="27"/>
        <v>449</v>
      </c>
      <c r="DR41" s="2">
        <f t="shared" si="28"/>
        <v>16218</v>
      </c>
      <c r="DS41" s="2">
        <f t="shared" si="29"/>
        <v>113898</v>
      </c>
      <c r="DT41" s="2">
        <f t="shared" si="30"/>
        <v>13352</v>
      </c>
      <c r="DU41" s="2"/>
      <c r="DV41" s="2"/>
      <c r="DW41" s="2"/>
      <c r="DX41" s="2">
        <f t="shared" si="18"/>
        <v>1019357</v>
      </c>
      <c r="DZ41" s="2">
        <f t="shared" si="31"/>
        <v>608000</v>
      </c>
      <c r="EA41" s="2">
        <f t="shared" si="32"/>
        <v>65124</v>
      </c>
      <c r="EC41" s="2">
        <f t="shared" si="33"/>
        <v>1153339</v>
      </c>
    </row>
    <row r="42" spans="1:133" x14ac:dyDescent="0.25">
      <c r="A42" s="13">
        <v>42979</v>
      </c>
      <c r="B42">
        <v>0</v>
      </c>
      <c r="C42">
        <v>0</v>
      </c>
      <c r="D42">
        <v>0</v>
      </c>
      <c r="E42">
        <v>0</v>
      </c>
      <c r="F42">
        <v>1146</v>
      </c>
      <c r="G42">
        <v>17510</v>
      </c>
      <c r="H42">
        <v>42745</v>
      </c>
      <c r="I42">
        <v>881</v>
      </c>
      <c r="J42">
        <v>2029</v>
      </c>
      <c r="K42">
        <v>1193</v>
      </c>
      <c r="L42">
        <v>32168</v>
      </c>
      <c r="M42">
        <v>1536</v>
      </c>
      <c r="N42">
        <v>674</v>
      </c>
      <c r="O42">
        <v>1658</v>
      </c>
      <c r="P42">
        <v>9989</v>
      </c>
      <c r="Q42">
        <v>230</v>
      </c>
      <c r="R42">
        <v>5027</v>
      </c>
      <c r="S42">
        <v>13620</v>
      </c>
      <c r="T42">
        <v>35</v>
      </c>
      <c r="U42">
        <v>4377</v>
      </c>
      <c r="V42">
        <v>43</v>
      </c>
      <c r="W42">
        <v>17118</v>
      </c>
      <c r="X42">
        <v>396</v>
      </c>
      <c r="Y42">
        <v>4</v>
      </c>
      <c r="Z42">
        <v>1</v>
      </c>
      <c r="AA42">
        <v>0</v>
      </c>
      <c r="AB42">
        <v>142</v>
      </c>
      <c r="AC42">
        <v>18</v>
      </c>
      <c r="AD42">
        <v>30</v>
      </c>
      <c r="AE42">
        <v>18</v>
      </c>
      <c r="AF42">
        <v>41</v>
      </c>
      <c r="AG42">
        <v>101</v>
      </c>
      <c r="AH42">
        <v>2387</v>
      </c>
      <c r="AI42">
        <v>2</v>
      </c>
      <c r="AJ42">
        <v>16566</v>
      </c>
      <c r="AK42">
        <v>110172</v>
      </c>
      <c r="AL42">
        <v>2331</v>
      </c>
      <c r="AM42">
        <v>21314</v>
      </c>
      <c r="AN42">
        <v>13</v>
      </c>
      <c r="AO42">
        <v>186</v>
      </c>
      <c r="AP42">
        <v>10834</v>
      </c>
      <c r="AQ42">
        <v>0</v>
      </c>
      <c r="AR42">
        <v>845</v>
      </c>
      <c r="AS42">
        <v>35</v>
      </c>
      <c r="AT42">
        <v>10174</v>
      </c>
      <c r="AU42">
        <v>2148</v>
      </c>
      <c r="AV42">
        <v>3227</v>
      </c>
      <c r="AW42">
        <v>15091</v>
      </c>
      <c r="AX42" s="88">
        <v>15</v>
      </c>
      <c r="AY42" s="88">
        <v>8</v>
      </c>
      <c r="AZ42" s="88">
        <v>944</v>
      </c>
      <c r="BA42" s="88">
        <v>1</v>
      </c>
      <c r="BB42">
        <v>133</v>
      </c>
      <c r="BC42">
        <v>891</v>
      </c>
      <c r="BD42">
        <v>0</v>
      </c>
      <c r="BE42">
        <v>0</v>
      </c>
      <c r="BF42">
        <v>7892</v>
      </c>
      <c r="BG42">
        <v>0</v>
      </c>
      <c r="BH42">
        <v>0</v>
      </c>
      <c r="BI42">
        <v>0</v>
      </c>
      <c r="BJ42">
        <v>42</v>
      </c>
      <c r="BK42">
        <v>5422</v>
      </c>
      <c r="BL42">
        <v>0</v>
      </c>
      <c r="BM42">
        <v>288</v>
      </c>
      <c r="BN42">
        <v>0</v>
      </c>
      <c r="BO42">
        <v>115070</v>
      </c>
      <c r="BP42">
        <v>85937</v>
      </c>
      <c r="BQ42">
        <v>2943</v>
      </c>
      <c r="BR42">
        <v>28</v>
      </c>
      <c r="BS42">
        <v>31211</v>
      </c>
      <c r="BT42">
        <v>2112</v>
      </c>
      <c r="BU42">
        <v>0</v>
      </c>
      <c r="BV42">
        <v>0</v>
      </c>
      <c r="BW42">
        <v>3</v>
      </c>
      <c r="BX42">
        <v>12314</v>
      </c>
      <c r="BY42">
        <v>338</v>
      </c>
      <c r="BZ42">
        <v>0</v>
      </c>
      <c r="CA42">
        <v>26381</v>
      </c>
      <c r="CB42">
        <v>16516</v>
      </c>
      <c r="CC42">
        <v>130984</v>
      </c>
      <c r="CD42">
        <v>278422</v>
      </c>
      <c r="CE42">
        <v>36192</v>
      </c>
      <c r="CF42">
        <v>58224</v>
      </c>
      <c r="CG42">
        <v>0</v>
      </c>
      <c r="CH42">
        <v>3</v>
      </c>
      <c r="CI42">
        <v>0</v>
      </c>
      <c r="CJ42">
        <v>70</v>
      </c>
      <c r="CQ42">
        <v>424</v>
      </c>
      <c r="CR42">
        <v>21</v>
      </c>
      <c r="CY42">
        <v>0</v>
      </c>
      <c r="CZ42">
        <v>0</v>
      </c>
      <c r="DA42">
        <v>0</v>
      </c>
      <c r="DB42">
        <v>14</v>
      </c>
      <c r="DC42">
        <v>0</v>
      </c>
      <c r="DD42">
        <v>26</v>
      </c>
      <c r="DF42" s="2"/>
      <c r="DG42" s="2">
        <f t="shared" si="19"/>
        <v>811306</v>
      </c>
      <c r="DH42" s="2">
        <f t="shared" si="20"/>
        <v>283397</v>
      </c>
      <c r="DI42" s="2">
        <f t="shared" si="34"/>
        <v>1094703</v>
      </c>
      <c r="DK42" s="2">
        <f t="shared" si="21"/>
        <v>72181</v>
      </c>
      <c r="DL42" s="2">
        <f t="shared" si="22"/>
        <v>149687</v>
      </c>
      <c r="DM42" s="2">
        <f t="shared" si="23"/>
        <v>13620</v>
      </c>
      <c r="DN42" s="2">
        <f t="shared" si="24"/>
        <v>47466</v>
      </c>
      <c r="DO42" s="2">
        <f t="shared" si="25"/>
        <v>477527</v>
      </c>
      <c r="DP42" s="2">
        <f t="shared" si="26"/>
        <v>118335</v>
      </c>
      <c r="DQ42" s="2">
        <f t="shared" si="27"/>
        <v>445</v>
      </c>
      <c r="DR42" s="2">
        <f t="shared" si="28"/>
        <v>16520</v>
      </c>
      <c r="DS42" s="2">
        <f t="shared" si="29"/>
        <v>115070</v>
      </c>
      <c r="DT42" s="2">
        <f t="shared" si="30"/>
        <v>13317</v>
      </c>
      <c r="DU42" s="2"/>
      <c r="DV42" s="2"/>
      <c r="DW42" s="2"/>
      <c r="DX42" s="2">
        <f t="shared" si="18"/>
        <v>1024168</v>
      </c>
      <c r="DZ42" s="2">
        <f t="shared" si="31"/>
        <v>612233</v>
      </c>
      <c r="EA42" s="2">
        <f t="shared" si="32"/>
        <v>66178</v>
      </c>
      <c r="EC42" s="2">
        <f t="shared" si="33"/>
        <v>1160881</v>
      </c>
    </row>
    <row r="43" spans="1:133" x14ac:dyDescent="0.25">
      <c r="A43" s="13">
        <v>43009</v>
      </c>
      <c r="B43">
        <v>0</v>
      </c>
      <c r="C43">
        <v>0</v>
      </c>
      <c r="D43">
        <v>0</v>
      </c>
      <c r="E43">
        <v>0</v>
      </c>
      <c r="F43">
        <v>1097</v>
      </c>
      <c r="G43">
        <v>17702</v>
      </c>
      <c r="H43">
        <v>43532</v>
      </c>
      <c r="I43">
        <v>878</v>
      </c>
      <c r="J43">
        <v>2056</v>
      </c>
      <c r="K43">
        <v>1186</v>
      </c>
      <c r="L43">
        <v>32294</v>
      </c>
      <c r="M43">
        <v>1518</v>
      </c>
      <c r="N43">
        <v>693</v>
      </c>
      <c r="O43">
        <v>1656</v>
      </c>
      <c r="P43">
        <v>9996</v>
      </c>
      <c r="Q43">
        <v>234</v>
      </c>
      <c r="R43">
        <v>4974</v>
      </c>
      <c r="S43">
        <v>13652</v>
      </c>
      <c r="T43">
        <v>36</v>
      </c>
      <c r="U43">
        <v>4416</v>
      </c>
      <c r="V43">
        <v>41</v>
      </c>
      <c r="W43">
        <v>17162</v>
      </c>
      <c r="X43">
        <v>394</v>
      </c>
      <c r="Y43">
        <v>3</v>
      </c>
      <c r="Z43">
        <v>1</v>
      </c>
      <c r="AA43">
        <v>1</v>
      </c>
      <c r="AB43">
        <v>130</v>
      </c>
      <c r="AC43">
        <v>17</v>
      </c>
      <c r="AD43">
        <v>28</v>
      </c>
      <c r="AE43">
        <v>18</v>
      </c>
      <c r="AF43">
        <v>38</v>
      </c>
      <c r="AG43">
        <v>105</v>
      </c>
      <c r="AH43">
        <v>2424</v>
      </c>
      <c r="AI43">
        <v>2</v>
      </c>
      <c r="AJ43">
        <v>16576</v>
      </c>
      <c r="AK43">
        <v>110286</v>
      </c>
      <c r="AL43">
        <v>2310</v>
      </c>
      <c r="AM43">
        <v>21165</v>
      </c>
      <c r="AN43">
        <v>12</v>
      </c>
      <c r="AO43">
        <v>189</v>
      </c>
      <c r="AP43">
        <v>10828</v>
      </c>
      <c r="AQ43">
        <v>0</v>
      </c>
      <c r="AR43">
        <v>869</v>
      </c>
      <c r="AS43">
        <v>35</v>
      </c>
      <c r="AT43">
        <v>10196</v>
      </c>
      <c r="AU43">
        <v>2165</v>
      </c>
      <c r="AV43">
        <v>3194</v>
      </c>
      <c r="AW43">
        <v>15039</v>
      </c>
      <c r="AX43" s="88">
        <v>6</v>
      </c>
      <c r="AY43" s="88">
        <v>4</v>
      </c>
      <c r="AZ43" s="88">
        <v>946</v>
      </c>
      <c r="BA43" s="88">
        <v>1</v>
      </c>
      <c r="BB43">
        <v>155</v>
      </c>
      <c r="BC43">
        <v>903</v>
      </c>
      <c r="BD43">
        <v>0</v>
      </c>
      <c r="BE43">
        <v>0</v>
      </c>
      <c r="BF43">
        <v>7925</v>
      </c>
      <c r="BG43">
        <v>0</v>
      </c>
      <c r="BH43">
        <v>0</v>
      </c>
      <c r="BI43">
        <v>0</v>
      </c>
      <c r="BJ43">
        <v>41</v>
      </c>
      <c r="BK43">
        <v>5371</v>
      </c>
      <c r="BL43">
        <v>0</v>
      </c>
      <c r="BM43">
        <v>276</v>
      </c>
      <c r="BN43">
        <v>0</v>
      </c>
      <c r="BO43">
        <v>116297</v>
      </c>
      <c r="BP43">
        <v>86410</v>
      </c>
      <c r="BQ43">
        <v>3072</v>
      </c>
      <c r="BR43">
        <v>27</v>
      </c>
      <c r="BS43">
        <v>31396</v>
      </c>
      <c r="BT43">
        <v>2198</v>
      </c>
      <c r="BU43">
        <v>0</v>
      </c>
      <c r="BV43">
        <v>1</v>
      </c>
      <c r="BW43">
        <v>4</v>
      </c>
      <c r="BX43">
        <v>12505</v>
      </c>
      <c r="BY43">
        <v>312</v>
      </c>
      <c r="BZ43">
        <v>0</v>
      </c>
      <c r="CA43">
        <v>26750</v>
      </c>
      <c r="CB43">
        <v>16279</v>
      </c>
      <c r="CC43">
        <v>130862</v>
      </c>
      <c r="CD43">
        <v>279196</v>
      </c>
      <c r="CE43">
        <v>36633</v>
      </c>
      <c r="CF43">
        <v>59085</v>
      </c>
      <c r="CG43">
        <v>0</v>
      </c>
      <c r="CH43">
        <v>7</v>
      </c>
      <c r="CI43">
        <v>0</v>
      </c>
      <c r="CJ43">
        <v>75</v>
      </c>
      <c r="CQ43">
        <v>420</v>
      </c>
      <c r="CR43">
        <v>18</v>
      </c>
      <c r="CY43">
        <v>0</v>
      </c>
      <c r="CZ43">
        <v>0</v>
      </c>
      <c r="DA43">
        <v>0</v>
      </c>
      <c r="DB43">
        <v>14</v>
      </c>
      <c r="DC43">
        <v>0</v>
      </c>
      <c r="DD43">
        <v>26</v>
      </c>
      <c r="DF43" s="2"/>
      <c r="DG43" s="2">
        <f t="shared" si="19"/>
        <v>815635</v>
      </c>
      <c r="DH43" s="2">
        <f t="shared" si="20"/>
        <v>283551</v>
      </c>
      <c r="DI43" s="2">
        <f t="shared" si="34"/>
        <v>1099186</v>
      </c>
      <c r="DK43" s="2">
        <f t="shared" si="21"/>
        <v>72327</v>
      </c>
      <c r="DL43" s="2">
        <f t="shared" si="22"/>
        <v>149867</v>
      </c>
      <c r="DM43" s="2">
        <f t="shared" si="23"/>
        <v>13652</v>
      </c>
      <c r="DN43" s="2">
        <f t="shared" si="24"/>
        <v>47259</v>
      </c>
      <c r="DO43" s="2">
        <f t="shared" si="25"/>
        <v>479173</v>
      </c>
      <c r="DP43" s="2">
        <f t="shared" si="26"/>
        <v>118989</v>
      </c>
      <c r="DQ43" s="2">
        <f t="shared" si="27"/>
        <v>438</v>
      </c>
      <c r="DR43" s="2">
        <f t="shared" si="28"/>
        <v>16287</v>
      </c>
      <c r="DS43" s="2">
        <f t="shared" si="29"/>
        <v>116297</v>
      </c>
      <c r="DT43" s="2">
        <f t="shared" si="30"/>
        <v>13300</v>
      </c>
      <c r="DU43" s="2"/>
      <c r="DV43" s="2"/>
      <c r="DW43" s="2"/>
      <c r="DX43" s="2">
        <f t="shared" si="18"/>
        <v>1027589</v>
      </c>
      <c r="DZ43" s="2">
        <f t="shared" si="31"/>
        <v>615726</v>
      </c>
      <c r="EA43" s="2">
        <f t="shared" si="32"/>
        <v>67144</v>
      </c>
      <c r="EC43" s="2">
        <f t="shared" si="33"/>
        <v>1166330</v>
      </c>
    </row>
    <row r="44" spans="1:133" x14ac:dyDescent="0.25">
      <c r="A44" s="13">
        <v>43040</v>
      </c>
      <c r="B44">
        <v>0</v>
      </c>
      <c r="C44">
        <v>0</v>
      </c>
      <c r="D44">
        <v>0</v>
      </c>
      <c r="E44">
        <v>0</v>
      </c>
      <c r="F44">
        <v>1085</v>
      </c>
      <c r="G44">
        <v>18139</v>
      </c>
      <c r="H44">
        <v>44714</v>
      </c>
      <c r="I44">
        <v>896</v>
      </c>
      <c r="J44">
        <v>2107</v>
      </c>
      <c r="K44">
        <v>1203</v>
      </c>
      <c r="L44">
        <v>32460</v>
      </c>
      <c r="M44">
        <v>1518</v>
      </c>
      <c r="N44">
        <v>704</v>
      </c>
      <c r="O44">
        <v>1668</v>
      </c>
      <c r="P44">
        <v>10014</v>
      </c>
      <c r="Q44">
        <v>235</v>
      </c>
      <c r="R44">
        <v>4992</v>
      </c>
      <c r="S44">
        <v>13671</v>
      </c>
      <c r="T44">
        <v>39</v>
      </c>
      <c r="U44">
        <v>4445</v>
      </c>
      <c r="V44">
        <v>32</v>
      </c>
      <c r="W44">
        <v>17254</v>
      </c>
      <c r="X44">
        <v>385</v>
      </c>
      <c r="Y44">
        <v>3</v>
      </c>
      <c r="Z44">
        <v>6</v>
      </c>
      <c r="AA44">
        <v>2</v>
      </c>
      <c r="AB44">
        <v>128</v>
      </c>
      <c r="AC44">
        <v>17</v>
      </c>
      <c r="AD44">
        <v>28</v>
      </c>
      <c r="AE44">
        <v>15</v>
      </c>
      <c r="AF44">
        <v>42</v>
      </c>
      <c r="AG44">
        <v>96</v>
      </c>
      <c r="AH44">
        <v>2436</v>
      </c>
      <c r="AI44">
        <v>2</v>
      </c>
      <c r="AJ44">
        <v>16655</v>
      </c>
      <c r="AK44">
        <v>111007</v>
      </c>
      <c r="AL44">
        <v>2311</v>
      </c>
      <c r="AM44">
        <v>21164</v>
      </c>
      <c r="AN44">
        <v>13</v>
      </c>
      <c r="AO44">
        <v>146</v>
      </c>
      <c r="AP44">
        <v>10896</v>
      </c>
      <c r="AQ44">
        <v>0</v>
      </c>
      <c r="AR44">
        <v>896</v>
      </c>
      <c r="AS44">
        <v>36</v>
      </c>
      <c r="AT44">
        <v>10172</v>
      </c>
      <c r="AU44">
        <v>2173</v>
      </c>
      <c r="AV44">
        <v>3178</v>
      </c>
      <c r="AW44">
        <v>15027</v>
      </c>
      <c r="AX44" s="88">
        <v>6</v>
      </c>
      <c r="AY44" s="88">
        <v>9</v>
      </c>
      <c r="AZ44" s="88">
        <v>933</v>
      </c>
      <c r="BA44" s="88">
        <v>1</v>
      </c>
      <c r="BB44">
        <v>174</v>
      </c>
      <c r="BC44">
        <v>929</v>
      </c>
      <c r="BD44">
        <v>0</v>
      </c>
      <c r="BE44">
        <v>0</v>
      </c>
      <c r="BF44">
        <v>7984</v>
      </c>
      <c r="BG44">
        <v>0</v>
      </c>
      <c r="BH44">
        <v>0</v>
      </c>
      <c r="BI44">
        <v>0</v>
      </c>
      <c r="BJ44">
        <v>40</v>
      </c>
      <c r="BK44">
        <v>5328</v>
      </c>
      <c r="BL44">
        <v>0</v>
      </c>
      <c r="BM44">
        <v>260</v>
      </c>
      <c r="BN44">
        <v>0</v>
      </c>
      <c r="BO44">
        <v>122668</v>
      </c>
      <c r="BP44">
        <v>83579</v>
      </c>
      <c r="BQ44">
        <v>2467</v>
      </c>
      <c r="BR44">
        <v>23</v>
      </c>
      <c r="BS44">
        <v>29733</v>
      </c>
      <c r="BT44">
        <v>1749</v>
      </c>
      <c r="BU44">
        <v>0</v>
      </c>
      <c r="BV44">
        <v>1</v>
      </c>
      <c r="BW44">
        <v>4</v>
      </c>
      <c r="BX44">
        <v>12911</v>
      </c>
      <c r="BY44">
        <v>309</v>
      </c>
      <c r="BZ44">
        <v>0</v>
      </c>
      <c r="CA44">
        <v>27092</v>
      </c>
      <c r="CB44">
        <v>15853</v>
      </c>
      <c r="CC44">
        <v>131597</v>
      </c>
      <c r="CD44">
        <v>281022</v>
      </c>
      <c r="CE44">
        <v>37112</v>
      </c>
      <c r="CF44">
        <v>60115</v>
      </c>
      <c r="CG44">
        <v>0</v>
      </c>
      <c r="CH44">
        <v>6</v>
      </c>
      <c r="CI44">
        <v>0</v>
      </c>
      <c r="CJ44">
        <v>78</v>
      </c>
      <c r="CQ44">
        <v>410</v>
      </c>
      <c r="CR44">
        <v>25</v>
      </c>
      <c r="CY44">
        <v>0</v>
      </c>
      <c r="CZ44">
        <v>0</v>
      </c>
      <c r="DA44">
        <v>0</v>
      </c>
      <c r="DB44">
        <v>14</v>
      </c>
      <c r="DC44">
        <v>0</v>
      </c>
      <c r="DD44">
        <v>26</v>
      </c>
      <c r="DF44" s="2"/>
      <c r="DG44" s="2">
        <f t="shared" si="19"/>
        <v>820875</v>
      </c>
      <c r="DH44" s="2">
        <f t="shared" si="20"/>
        <v>284694</v>
      </c>
      <c r="DI44" s="2">
        <f t="shared" si="34"/>
        <v>1105569</v>
      </c>
      <c r="DK44" s="2">
        <f t="shared" si="21"/>
        <v>72657</v>
      </c>
      <c r="DL44" s="2">
        <f t="shared" si="22"/>
        <v>150661</v>
      </c>
      <c r="DM44" s="2">
        <f t="shared" si="23"/>
        <v>13671</v>
      </c>
      <c r="DN44" s="2">
        <f t="shared" si="24"/>
        <v>47275</v>
      </c>
      <c r="DO44" s="2">
        <f t="shared" si="25"/>
        <v>481496</v>
      </c>
      <c r="DP44" s="2">
        <f t="shared" si="26"/>
        <v>114510</v>
      </c>
      <c r="DQ44" s="2">
        <f t="shared" si="27"/>
        <v>435</v>
      </c>
      <c r="DR44" s="2">
        <f t="shared" si="28"/>
        <v>15865</v>
      </c>
      <c r="DS44" s="2">
        <f t="shared" si="29"/>
        <v>122668</v>
      </c>
      <c r="DT44" s="2">
        <f t="shared" si="30"/>
        <v>13316</v>
      </c>
      <c r="DU44" s="2"/>
      <c r="DV44" s="2"/>
      <c r="DW44" s="2"/>
      <c r="DX44" s="2">
        <f t="shared" si="18"/>
        <v>1032554</v>
      </c>
      <c r="DZ44" s="2">
        <f t="shared" si="31"/>
        <v>620783</v>
      </c>
      <c r="EA44" s="2">
        <f t="shared" si="32"/>
        <v>68848</v>
      </c>
      <c r="EC44" s="2">
        <f t="shared" si="33"/>
        <v>1174417</v>
      </c>
    </row>
    <row r="45" spans="1:133" x14ac:dyDescent="0.25">
      <c r="A45" s="13">
        <v>43070</v>
      </c>
      <c r="B45">
        <v>0</v>
      </c>
      <c r="C45">
        <v>0</v>
      </c>
      <c r="D45">
        <v>0</v>
      </c>
      <c r="E45">
        <v>0</v>
      </c>
      <c r="F45">
        <v>1114</v>
      </c>
      <c r="G45">
        <v>18329</v>
      </c>
      <c r="H45">
        <v>45220</v>
      </c>
      <c r="I45">
        <v>921</v>
      </c>
      <c r="J45">
        <v>2121</v>
      </c>
      <c r="K45">
        <v>1207</v>
      </c>
      <c r="L45">
        <v>32541</v>
      </c>
      <c r="M45">
        <v>1514</v>
      </c>
      <c r="N45">
        <v>697</v>
      </c>
      <c r="O45">
        <v>1703</v>
      </c>
      <c r="P45">
        <v>9953</v>
      </c>
      <c r="Q45">
        <v>229</v>
      </c>
      <c r="R45">
        <v>4984</v>
      </c>
      <c r="S45">
        <v>13699</v>
      </c>
      <c r="T45">
        <v>42</v>
      </c>
      <c r="U45">
        <v>4452</v>
      </c>
      <c r="V45">
        <v>40</v>
      </c>
      <c r="W45">
        <v>17315</v>
      </c>
      <c r="X45">
        <v>386</v>
      </c>
      <c r="Y45">
        <v>5</v>
      </c>
      <c r="Z45">
        <v>3</v>
      </c>
      <c r="AA45">
        <v>2</v>
      </c>
      <c r="AB45">
        <v>118</v>
      </c>
      <c r="AC45">
        <v>18</v>
      </c>
      <c r="AD45">
        <v>26</v>
      </c>
      <c r="AE45">
        <v>13</v>
      </c>
      <c r="AF45">
        <v>41</v>
      </c>
      <c r="AG45">
        <v>101</v>
      </c>
      <c r="AH45">
        <v>2416</v>
      </c>
      <c r="AI45">
        <v>2</v>
      </c>
      <c r="AJ45">
        <v>16648</v>
      </c>
      <c r="AK45">
        <v>111436</v>
      </c>
      <c r="AL45">
        <v>2287</v>
      </c>
      <c r="AM45">
        <v>21197</v>
      </c>
      <c r="AN45">
        <v>15</v>
      </c>
      <c r="AO45">
        <v>135</v>
      </c>
      <c r="AP45">
        <v>10892</v>
      </c>
      <c r="AQ45">
        <v>0</v>
      </c>
      <c r="AR45">
        <v>888</v>
      </c>
      <c r="AS45">
        <v>36</v>
      </c>
      <c r="AT45">
        <v>10173</v>
      </c>
      <c r="AU45">
        <v>2173</v>
      </c>
      <c r="AV45">
        <v>3180</v>
      </c>
      <c r="AW45">
        <v>15095</v>
      </c>
      <c r="AX45" s="88">
        <v>15</v>
      </c>
      <c r="AY45" s="88">
        <v>4</v>
      </c>
      <c r="AZ45" s="88">
        <v>926</v>
      </c>
      <c r="BA45" s="88">
        <v>1</v>
      </c>
      <c r="BB45">
        <v>165</v>
      </c>
      <c r="BC45">
        <v>928</v>
      </c>
      <c r="BD45">
        <v>0</v>
      </c>
      <c r="BE45">
        <v>0</v>
      </c>
      <c r="BF45">
        <v>8022</v>
      </c>
      <c r="BG45">
        <v>0</v>
      </c>
      <c r="BH45">
        <v>0</v>
      </c>
      <c r="BI45">
        <v>0</v>
      </c>
      <c r="BJ45">
        <v>35</v>
      </c>
      <c r="BK45">
        <v>5307</v>
      </c>
      <c r="BL45">
        <v>0</v>
      </c>
      <c r="BM45">
        <v>248</v>
      </c>
      <c r="BN45">
        <v>0</v>
      </c>
      <c r="BO45">
        <v>124027</v>
      </c>
      <c r="BP45">
        <v>83598</v>
      </c>
      <c r="BQ45">
        <v>2592</v>
      </c>
      <c r="BR45">
        <v>21</v>
      </c>
      <c r="BS45">
        <v>29628</v>
      </c>
      <c r="BT45">
        <v>1725</v>
      </c>
      <c r="BU45">
        <v>0</v>
      </c>
      <c r="BV45">
        <v>1</v>
      </c>
      <c r="BW45">
        <v>4</v>
      </c>
      <c r="BX45">
        <v>13378</v>
      </c>
      <c r="BY45">
        <v>276</v>
      </c>
      <c r="BZ45">
        <v>0</v>
      </c>
      <c r="CA45">
        <v>27353</v>
      </c>
      <c r="CB45">
        <v>15552</v>
      </c>
      <c r="CC45">
        <v>131649</v>
      </c>
      <c r="CD45">
        <v>281087</v>
      </c>
      <c r="CE45">
        <v>36882</v>
      </c>
      <c r="CF45">
        <v>61027</v>
      </c>
      <c r="CG45">
        <v>0</v>
      </c>
      <c r="CH45">
        <v>10</v>
      </c>
      <c r="CI45">
        <v>0</v>
      </c>
      <c r="CJ45">
        <v>81</v>
      </c>
      <c r="CQ45">
        <v>416</v>
      </c>
      <c r="CR45">
        <v>14</v>
      </c>
      <c r="CY45">
        <v>0</v>
      </c>
      <c r="CZ45">
        <v>0</v>
      </c>
      <c r="DA45">
        <v>0</v>
      </c>
      <c r="DB45">
        <v>14</v>
      </c>
      <c r="DC45">
        <v>0</v>
      </c>
      <c r="DD45">
        <v>26</v>
      </c>
      <c r="DF45" s="2"/>
      <c r="DG45" s="2">
        <f t="shared" si="19"/>
        <v>823450</v>
      </c>
      <c r="DH45" s="2">
        <f t="shared" si="20"/>
        <v>285279</v>
      </c>
      <c r="DI45" s="2">
        <f t="shared" si="34"/>
        <v>1108729</v>
      </c>
      <c r="DK45" s="2">
        <f t="shared" si="21"/>
        <v>72773</v>
      </c>
      <c r="DL45" s="2">
        <f t="shared" si="22"/>
        <v>151015</v>
      </c>
      <c r="DM45" s="2">
        <f t="shared" si="23"/>
        <v>13699</v>
      </c>
      <c r="DN45" s="2">
        <f t="shared" si="24"/>
        <v>47360</v>
      </c>
      <c r="DO45" s="2">
        <f t="shared" si="25"/>
        <v>481717</v>
      </c>
      <c r="DP45" s="2">
        <f t="shared" si="26"/>
        <v>114406</v>
      </c>
      <c r="DQ45" s="2">
        <f t="shared" si="27"/>
        <v>430</v>
      </c>
      <c r="DR45" s="2">
        <f t="shared" si="28"/>
        <v>15565</v>
      </c>
      <c r="DS45" s="2">
        <f t="shared" si="29"/>
        <v>124027</v>
      </c>
      <c r="DT45" s="2">
        <f t="shared" si="30"/>
        <v>13333</v>
      </c>
      <c r="DU45" s="2"/>
      <c r="DV45" s="2"/>
      <c r="DW45" s="2"/>
      <c r="DX45" s="2">
        <f t="shared" si="18"/>
        <v>1034325</v>
      </c>
      <c r="DZ45" s="2">
        <f t="shared" si="31"/>
        <v>622668</v>
      </c>
      <c r="EA45" s="2">
        <f t="shared" si="32"/>
        <v>69609</v>
      </c>
      <c r="EC45" s="2">
        <f t="shared" si="33"/>
        <v>1178338</v>
      </c>
    </row>
    <row r="46" spans="1:133" x14ac:dyDescent="0.25">
      <c r="A46" s="13">
        <v>43101</v>
      </c>
      <c r="B46">
        <v>0</v>
      </c>
      <c r="C46">
        <v>0</v>
      </c>
      <c r="D46">
        <v>0</v>
      </c>
      <c r="E46">
        <v>0</v>
      </c>
      <c r="F46">
        <v>1150</v>
      </c>
      <c r="G46">
        <v>18445</v>
      </c>
      <c r="H46">
        <v>45966</v>
      </c>
      <c r="I46">
        <v>903</v>
      </c>
      <c r="J46">
        <v>2078</v>
      </c>
      <c r="K46">
        <v>1197</v>
      </c>
      <c r="L46">
        <v>33049</v>
      </c>
      <c r="M46">
        <v>1540</v>
      </c>
      <c r="N46">
        <v>691</v>
      </c>
      <c r="O46">
        <v>1665</v>
      </c>
      <c r="P46">
        <v>10220</v>
      </c>
      <c r="Q46">
        <v>227</v>
      </c>
      <c r="R46">
        <v>4745</v>
      </c>
      <c r="S46">
        <v>13689</v>
      </c>
      <c r="T46">
        <v>44</v>
      </c>
      <c r="U46">
        <v>4466</v>
      </c>
      <c r="V46">
        <v>40</v>
      </c>
      <c r="W46">
        <v>17171</v>
      </c>
      <c r="X46">
        <v>385</v>
      </c>
      <c r="Y46">
        <v>5</v>
      </c>
      <c r="Z46">
        <v>1</v>
      </c>
      <c r="AA46">
        <v>1</v>
      </c>
      <c r="AB46">
        <v>116</v>
      </c>
      <c r="AC46">
        <v>21</v>
      </c>
      <c r="AD46">
        <v>25</v>
      </c>
      <c r="AE46">
        <v>14</v>
      </c>
      <c r="AF46">
        <v>38</v>
      </c>
      <c r="AG46">
        <v>96</v>
      </c>
      <c r="AH46">
        <v>2426</v>
      </c>
      <c r="AI46">
        <v>2</v>
      </c>
      <c r="AJ46">
        <v>16410</v>
      </c>
      <c r="AK46">
        <v>111188</v>
      </c>
      <c r="AL46">
        <v>2207</v>
      </c>
      <c r="AM46">
        <v>20989</v>
      </c>
      <c r="AN46">
        <v>16</v>
      </c>
      <c r="AO46">
        <v>130</v>
      </c>
      <c r="AP46">
        <v>10359</v>
      </c>
      <c r="AQ46">
        <v>0</v>
      </c>
      <c r="AR46">
        <v>819</v>
      </c>
      <c r="AS46">
        <v>39</v>
      </c>
      <c r="AT46">
        <v>10239</v>
      </c>
      <c r="AU46">
        <v>2177</v>
      </c>
      <c r="AV46">
        <v>2973</v>
      </c>
      <c r="AW46">
        <v>15005</v>
      </c>
      <c r="AX46" s="88">
        <v>8</v>
      </c>
      <c r="AY46" s="88">
        <v>0</v>
      </c>
      <c r="AZ46" s="88">
        <v>903</v>
      </c>
      <c r="BA46" s="88">
        <v>1</v>
      </c>
      <c r="BB46">
        <v>160</v>
      </c>
      <c r="BC46">
        <v>936</v>
      </c>
      <c r="BD46">
        <v>0</v>
      </c>
      <c r="BE46">
        <v>0</v>
      </c>
      <c r="BF46">
        <v>8035</v>
      </c>
      <c r="BG46">
        <v>0</v>
      </c>
      <c r="BH46">
        <v>0</v>
      </c>
      <c r="BI46">
        <v>0</v>
      </c>
      <c r="BJ46">
        <v>34</v>
      </c>
      <c r="BK46">
        <v>5292</v>
      </c>
      <c r="BL46">
        <v>0</v>
      </c>
      <c r="BM46">
        <v>236</v>
      </c>
      <c r="BN46">
        <v>0</v>
      </c>
      <c r="BO46">
        <v>125599</v>
      </c>
      <c r="BP46">
        <v>83863</v>
      </c>
      <c r="BQ46">
        <v>2713</v>
      </c>
      <c r="BR46">
        <v>20</v>
      </c>
      <c r="BS46">
        <v>29833</v>
      </c>
      <c r="BT46">
        <v>1763</v>
      </c>
      <c r="BU46">
        <v>0</v>
      </c>
      <c r="BV46">
        <v>1</v>
      </c>
      <c r="BW46">
        <v>3</v>
      </c>
      <c r="BX46">
        <v>13776</v>
      </c>
      <c r="BY46">
        <v>268</v>
      </c>
      <c r="BZ46">
        <v>0</v>
      </c>
      <c r="CA46">
        <v>27519</v>
      </c>
      <c r="CB46">
        <v>15400</v>
      </c>
      <c r="CC46">
        <v>131550</v>
      </c>
      <c r="CD46">
        <v>280567</v>
      </c>
      <c r="CE46">
        <v>36479</v>
      </c>
      <c r="CF46">
        <v>61713</v>
      </c>
      <c r="CG46">
        <v>0</v>
      </c>
      <c r="CH46">
        <v>10</v>
      </c>
      <c r="CI46">
        <v>0</v>
      </c>
      <c r="CJ46">
        <v>93</v>
      </c>
      <c r="CQ46">
        <v>414</v>
      </c>
      <c r="CR46">
        <v>13</v>
      </c>
      <c r="CY46">
        <v>0</v>
      </c>
      <c r="CZ46">
        <v>0</v>
      </c>
      <c r="DA46">
        <v>0</v>
      </c>
      <c r="DB46">
        <v>14</v>
      </c>
      <c r="DC46">
        <v>0</v>
      </c>
      <c r="DD46">
        <v>26</v>
      </c>
      <c r="DF46" s="2"/>
      <c r="DG46" s="2">
        <f t="shared" si="19"/>
        <v>825711</v>
      </c>
      <c r="DH46" s="2">
        <f t="shared" si="20"/>
        <v>284025</v>
      </c>
      <c r="DI46" s="2">
        <f t="shared" si="34"/>
        <v>1109736</v>
      </c>
      <c r="DK46" s="2">
        <f t="shared" si="21"/>
        <v>73167</v>
      </c>
      <c r="DL46" s="2">
        <f t="shared" si="22"/>
        <v>150223</v>
      </c>
      <c r="DM46" s="2">
        <f t="shared" si="23"/>
        <v>13689</v>
      </c>
      <c r="DN46" s="2">
        <f t="shared" si="24"/>
        <v>46521</v>
      </c>
      <c r="DO46" s="2">
        <f t="shared" si="25"/>
        <v>481015</v>
      </c>
      <c r="DP46" s="2">
        <f t="shared" si="26"/>
        <v>114868</v>
      </c>
      <c r="DQ46" s="2">
        <f t="shared" si="27"/>
        <v>427</v>
      </c>
      <c r="DR46" s="2">
        <f t="shared" si="28"/>
        <v>15411</v>
      </c>
      <c r="DS46" s="2">
        <f t="shared" si="29"/>
        <v>125599</v>
      </c>
      <c r="DT46" s="2">
        <f t="shared" si="30"/>
        <v>13330</v>
      </c>
      <c r="DU46" s="2"/>
      <c r="DV46" s="2"/>
      <c r="DW46" s="2"/>
      <c r="DX46" s="2">
        <f t="shared" si="18"/>
        <v>1034250</v>
      </c>
      <c r="DZ46" s="2">
        <f t="shared" si="31"/>
        <v>623450</v>
      </c>
      <c r="EA46" s="2">
        <f t="shared" si="32"/>
        <v>70430</v>
      </c>
      <c r="EC46" s="2">
        <f t="shared" si="33"/>
        <v>1180166</v>
      </c>
    </row>
    <row r="47" spans="1:133" x14ac:dyDescent="0.25">
      <c r="A47" s="13">
        <v>43132</v>
      </c>
      <c r="B47">
        <v>0</v>
      </c>
      <c r="C47">
        <v>0</v>
      </c>
      <c r="D47">
        <v>0</v>
      </c>
      <c r="E47">
        <v>0</v>
      </c>
      <c r="F47">
        <v>1208</v>
      </c>
      <c r="G47">
        <v>18524</v>
      </c>
      <c r="H47">
        <v>46561</v>
      </c>
      <c r="I47">
        <v>879</v>
      </c>
      <c r="J47">
        <v>2091</v>
      </c>
      <c r="K47">
        <v>1236</v>
      </c>
      <c r="L47">
        <v>32988</v>
      </c>
      <c r="M47">
        <v>1515</v>
      </c>
      <c r="N47">
        <v>691</v>
      </c>
      <c r="O47">
        <v>1611</v>
      </c>
      <c r="P47">
        <v>10167</v>
      </c>
      <c r="Q47">
        <v>235</v>
      </c>
      <c r="R47">
        <v>4730</v>
      </c>
      <c r="S47">
        <v>13648</v>
      </c>
      <c r="T47">
        <v>42</v>
      </c>
      <c r="U47">
        <v>4450</v>
      </c>
      <c r="V47">
        <v>41</v>
      </c>
      <c r="W47">
        <v>17111</v>
      </c>
      <c r="X47">
        <v>395</v>
      </c>
      <c r="Y47">
        <v>5</v>
      </c>
      <c r="Z47">
        <v>3</v>
      </c>
      <c r="AA47">
        <v>3</v>
      </c>
      <c r="AB47">
        <v>115</v>
      </c>
      <c r="AC47">
        <v>21</v>
      </c>
      <c r="AD47">
        <v>25</v>
      </c>
      <c r="AE47">
        <v>13</v>
      </c>
      <c r="AF47">
        <v>40</v>
      </c>
      <c r="AG47">
        <v>91</v>
      </c>
      <c r="AH47">
        <v>2446</v>
      </c>
      <c r="AI47">
        <v>2</v>
      </c>
      <c r="AJ47">
        <v>16344</v>
      </c>
      <c r="AK47">
        <v>111574</v>
      </c>
      <c r="AL47">
        <v>2199</v>
      </c>
      <c r="AM47">
        <v>21040</v>
      </c>
      <c r="AN47">
        <v>17</v>
      </c>
      <c r="AO47">
        <v>103</v>
      </c>
      <c r="AP47">
        <v>10466</v>
      </c>
      <c r="AQ47">
        <v>0</v>
      </c>
      <c r="AR47">
        <v>853</v>
      </c>
      <c r="AS47">
        <v>37</v>
      </c>
      <c r="AT47">
        <v>10295</v>
      </c>
      <c r="AU47">
        <v>2203</v>
      </c>
      <c r="AV47">
        <v>3000</v>
      </c>
      <c r="AW47">
        <v>14974</v>
      </c>
      <c r="AX47" s="88">
        <v>14</v>
      </c>
      <c r="AY47" s="88">
        <v>9</v>
      </c>
      <c r="AZ47" s="88">
        <v>910</v>
      </c>
      <c r="BA47" s="88">
        <v>1</v>
      </c>
      <c r="BB47">
        <v>152</v>
      </c>
      <c r="BC47">
        <v>968</v>
      </c>
      <c r="BD47">
        <v>0</v>
      </c>
      <c r="BE47">
        <v>0</v>
      </c>
      <c r="BF47">
        <v>8057</v>
      </c>
      <c r="BG47">
        <v>0</v>
      </c>
      <c r="BH47">
        <v>0</v>
      </c>
      <c r="BI47">
        <v>0</v>
      </c>
      <c r="BJ47">
        <v>34</v>
      </c>
      <c r="BK47">
        <v>5329</v>
      </c>
      <c r="BL47">
        <v>0</v>
      </c>
      <c r="BM47">
        <v>237</v>
      </c>
      <c r="BN47">
        <v>0</v>
      </c>
      <c r="BO47">
        <v>126954</v>
      </c>
      <c r="BP47">
        <v>84214</v>
      </c>
      <c r="BQ47">
        <v>2724</v>
      </c>
      <c r="BR47">
        <v>23</v>
      </c>
      <c r="BS47">
        <v>30038</v>
      </c>
      <c r="BT47">
        <v>1783</v>
      </c>
      <c r="BU47">
        <v>0</v>
      </c>
      <c r="BV47">
        <v>1</v>
      </c>
      <c r="BW47">
        <v>3</v>
      </c>
      <c r="BX47">
        <v>14065</v>
      </c>
      <c r="BY47">
        <v>262</v>
      </c>
      <c r="BZ47">
        <v>0</v>
      </c>
      <c r="CA47">
        <v>27732</v>
      </c>
      <c r="CB47">
        <v>15531</v>
      </c>
      <c r="CC47">
        <v>131532</v>
      </c>
      <c r="CD47">
        <v>281373</v>
      </c>
      <c r="CE47">
        <v>37216</v>
      </c>
      <c r="CF47">
        <v>62537</v>
      </c>
      <c r="CG47">
        <v>0</v>
      </c>
      <c r="CH47">
        <v>13</v>
      </c>
      <c r="CI47">
        <v>0</v>
      </c>
      <c r="CJ47">
        <v>92</v>
      </c>
      <c r="CQ47">
        <v>428</v>
      </c>
      <c r="CR47">
        <v>10</v>
      </c>
      <c r="CY47">
        <v>0</v>
      </c>
      <c r="CZ47">
        <v>0</v>
      </c>
      <c r="DA47">
        <v>0</v>
      </c>
      <c r="DB47">
        <v>14</v>
      </c>
      <c r="DC47">
        <v>0</v>
      </c>
      <c r="DD47">
        <v>26</v>
      </c>
      <c r="DF47" s="2"/>
      <c r="DG47" s="2">
        <f t="shared" si="19"/>
        <v>830741</v>
      </c>
      <c r="DH47" s="2">
        <f t="shared" si="20"/>
        <v>284308</v>
      </c>
      <c r="DI47" s="2">
        <f t="shared" si="34"/>
        <v>1115049</v>
      </c>
      <c r="DK47" s="2">
        <f t="shared" si="21"/>
        <v>72890</v>
      </c>
      <c r="DL47" s="2">
        <f t="shared" si="22"/>
        <v>150701</v>
      </c>
      <c r="DM47" s="2">
        <f t="shared" si="23"/>
        <v>13648</v>
      </c>
      <c r="DN47" s="2">
        <f t="shared" si="24"/>
        <v>46623</v>
      </c>
      <c r="DO47" s="2">
        <f t="shared" si="25"/>
        <v>482786</v>
      </c>
      <c r="DP47" s="2">
        <f t="shared" si="26"/>
        <v>115466</v>
      </c>
      <c r="DQ47" s="2">
        <f t="shared" si="27"/>
        <v>438</v>
      </c>
      <c r="DR47" s="2">
        <f t="shared" si="28"/>
        <v>15547</v>
      </c>
      <c r="DS47" s="2">
        <f t="shared" si="29"/>
        <v>126954</v>
      </c>
      <c r="DT47" s="2">
        <f t="shared" si="30"/>
        <v>13389</v>
      </c>
      <c r="DU47" s="2"/>
      <c r="DV47" s="2"/>
      <c r="DW47" s="2"/>
      <c r="DX47" s="2">
        <f t="shared" si="18"/>
        <v>1038442</v>
      </c>
      <c r="DZ47" s="2">
        <f t="shared" si="31"/>
        <v>626767</v>
      </c>
      <c r="EA47" s="2">
        <f t="shared" si="32"/>
        <v>71190</v>
      </c>
      <c r="EC47" s="2">
        <f t="shared" si="33"/>
        <v>1186239</v>
      </c>
    </row>
    <row r="48" spans="1:133" x14ac:dyDescent="0.25">
      <c r="A48" s="13">
        <v>43160</v>
      </c>
      <c r="B48">
        <v>0</v>
      </c>
      <c r="C48">
        <v>0</v>
      </c>
      <c r="D48">
        <v>0</v>
      </c>
      <c r="E48">
        <v>0</v>
      </c>
      <c r="F48">
        <v>1206</v>
      </c>
      <c r="G48">
        <v>18440</v>
      </c>
      <c r="H48">
        <v>46769</v>
      </c>
      <c r="I48">
        <v>914</v>
      </c>
      <c r="J48">
        <v>2175</v>
      </c>
      <c r="K48">
        <v>1207</v>
      </c>
      <c r="L48">
        <v>32961</v>
      </c>
      <c r="M48">
        <v>1503</v>
      </c>
      <c r="N48">
        <v>697</v>
      </c>
      <c r="O48">
        <v>1611</v>
      </c>
      <c r="P48">
        <v>10111</v>
      </c>
      <c r="Q48">
        <v>236</v>
      </c>
      <c r="R48">
        <v>4791</v>
      </c>
      <c r="S48">
        <v>13712</v>
      </c>
      <c r="T48">
        <v>42</v>
      </c>
      <c r="U48">
        <v>4472</v>
      </c>
      <c r="V48">
        <v>44</v>
      </c>
      <c r="W48">
        <v>16972</v>
      </c>
      <c r="X48">
        <v>394</v>
      </c>
      <c r="Y48">
        <v>5</v>
      </c>
      <c r="Z48">
        <v>4</v>
      </c>
      <c r="AA48">
        <v>2</v>
      </c>
      <c r="AB48">
        <v>115</v>
      </c>
      <c r="AC48">
        <v>23</v>
      </c>
      <c r="AD48">
        <v>25</v>
      </c>
      <c r="AE48">
        <v>13</v>
      </c>
      <c r="AF48">
        <v>39</v>
      </c>
      <c r="AG48">
        <v>103</v>
      </c>
      <c r="AH48">
        <v>2460</v>
      </c>
      <c r="AI48">
        <v>2</v>
      </c>
      <c r="AJ48">
        <v>16105</v>
      </c>
      <c r="AK48">
        <v>111757</v>
      </c>
      <c r="AL48">
        <v>2179</v>
      </c>
      <c r="AM48">
        <v>21079</v>
      </c>
      <c r="AN48">
        <v>19</v>
      </c>
      <c r="AO48">
        <v>106</v>
      </c>
      <c r="AP48">
        <v>10662</v>
      </c>
      <c r="AQ48">
        <v>0</v>
      </c>
      <c r="AR48">
        <v>832</v>
      </c>
      <c r="AS48">
        <v>39</v>
      </c>
      <c r="AT48">
        <v>10290</v>
      </c>
      <c r="AU48">
        <v>2230</v>
      </c>
      <c r="AV48">
        <v>3027</v>
      </c>
      <c r="AW48">
        <v>14951</v>
      </c>
      <c r="AX48" s="88">
        <v>13</v>
      </c>
      <c r="AY48" s="88">
        <v>4</v>
      </c>
      <c r="AZ48" s="88">
        <v>906</v>
      </c>
      <c r="BA48" s="88">
        <v>1</v>
      </c>
      <c r="BB48">
        <v>130</v>
      </c>
      <c r="BC48">
        <v>979</v>
      </c>
      <c r="BD48">
        <v>0</v>
      </c>
      <c r="BE48">
        <v>0</v>
      </c>
      <c r="BF48">
        <v>8047</v>
      </c>
      <c r="BG48">
        <v>0</v>
      </c>
      <c r="BH48">
        <v>0</v>
      </c>
      <c r="BI48">
        <v>0</v>
      </c>
      <c r="BJ48">
        <v>35</v>
      </c>
      <c r="BK48">
        <v>5352</v>
      </c>
      <c r="BL48">
        <v>0</v>
      </c>
      <c r="BM48">
        <v>231</v>
      </c>
      <c r="BN48">
        <v>0</v>
      </c>
      <c r="BO48">
        <v>128138</v>
      </c>
      <c r="BP48">
        <v>84199</v>
      </c>
      <c r="BQ48">
        <v>2671</v>
      </c>
      <c r="BR48">
        <v>21</v>
      </c>
      <c r="BS48">
        <v>30003</v>
      </c>
      <c r="BT48">
        <v>1776</v>
      </c>
      <c r="BU48">
        <v>0</v>
      </c>
      <c r="BV48">
        <v>1</v>
      </c>
      <c r="BW48">
        <v>3</v>
      </c>
      <c r="BX48">
        <v>14410</v>
      </c>
      <c r="BY48">
        <v>248</v>
      </c>
      <c r="BZ48">
        <v>0</v>
      </c>
      <c r="CA48">
        <v>27803</v>
      </c>
      <c r="CB48">
        <v>15501</v>
      </c>
      <c r="CC48">
        <v>131739</v>
      </c>
      <c r="CD48">
        <v>281846</v>
      </c>
      <c r="CE48">
        <v>36825</v>
      </c>
      <c r="CF48">
        <v>62716</v>
      </c>
      <c r="CG48">
        <v>0</v>
      </c>
      <c r="CH48">
        <v>14</v>
      </c>
      <c r="CI48">
        <v>0</v>
      </c>
      <c r="CJ48">
        <v>93</v>
      </c>
      <c r="CQ48">
        <v>431</v>
      </c>
      <c r="CR48">
        <v>15</v>
      </c>
      <c r="CY48">
        <v>0</v>
      </c>
      <c r="CZ48">
        <v>0</v>
      </c>
      <c r="DA48">
        <v>0</v>
      </c>
      <c r="DB48">
        <v>14</v>
      </c>
      <c r="DC48">
        <v>0</v>
      </c>
      <c r="DD48">
        <v>26</v>
      </c>
      <c r="DF48" s="2"/>
      <c r="DG48" s="2">
        <f t="shared" si="19"/>
        <v>832668</v>
      </c>
      <c r="DH48" s="2">
        <f t="shared" si="20"/>
        <v>284399</v>
      </c>
      <c r="DI48" s="2">
        <f t="shared" si="34"/>
        <v>1117067</v>
      </c>
      <c r="DK48" s="2">
        <f t="shared" si="21"/>
        <v>72743</v>
      </c>
      <c r="DL48" s="2">
        <f t="shared" si="22"/>
        <v>150657</v>
      </c>
      <c r="DM48" s="2">
        <f t="shared" si="23"/>
        <v>13712</v>
      </c>
      <c r="DN48" s="2">
        <f t="shared" si="24"/>
        <v>46837</v>
      </c>
      <c r="DO48" s="2">
        <f t="shared" si="25"/>
        <v>483071</v>
      </c>
      <c r="DP48" s="2">
        <f t="shared" si="26"/>
        <v>115416</v>
      </c>
      <c r="DQ48" s="2">
        <f t="shared" si="27"/>
        <v>446</v>
      </c>
      <c r="DR48" s="2">
        <f t="shared" si="28"/>
        <v>15519</v>
      </c>
      <c r="DS48" s="2">
        <f t="shared" si="29"/>
        <v>128138</v>
      </c>
      <c r="DT48" s="2">
        <f t="shared" si="30"/>
        <v>13402</v>
      </c>
      <c r="DU48" s="2"/>
      <c r="DV48" s="2"/>
      <c r="DW48" s="2"/>
      <c r="DX48" s="2">
        <f t="shared" si="18"/>
        <v>1039941</v>
      </c>
      <c r="DZ48" s="2">
        <f t="shared" si="31"/>
        <v>627487</v>
      </c>
      <c r="EA48" s="2">
        <f t="shared" si="32"/>
        <v>71408</v>
      </c>
      <c r="EC48" s="2">
        <f t="shared" si="33"/>
        <v>1188475</v>
      </c>
    </row>
    <row r="49" spans="1:152" x14ac:dyDescent="0.25">
      <c r="A49" s="13">
        <v>43191</v>
      </c>
      <c r="B49">
        <v>0</v>
      </c>
      <c r="C49">
        <v>0</v>
      </c>
      <c r="D49">
        <v>0</v>
      </c>
      <c r="E49">
        <v>0</v>
      </c>
      <c r="F49">
        <v>1170</v>
      </c>
      <c r="G49">
        <v>18464</v>
      </c>
      <c r="H49">
        <v>46901</v>
      </c>
      <c r="I49">
        <v>910</v>
      </c>
      <c r="J49">
        <v>2171</v>
      </c>
      <c r="K49">
        <v>1249</v>
      </c>
      <c r="L49">
        <v>32953</v>
      </c>
      <c r="M49">
        <v>1502</v>
      </c>
      <c r="N49">
        <v>697</v>
      </c>
      <c r="O49">
        <v>1627</v>
      </c>
      <c r="P49">
        <v>10183</v>
      </c>
      <c r="Q49">
        <v>239</v>
      </c>
      <c r="R49">
        <v>4799</v>
      </c>
      <c r="S49">
        <v>13833</v>
      </c>
      <c r="T49">
        <v>45</v>
      </c>
      <c r="U49">
        <v>4474</v>
      </c>
      <c r="V49">
        <v>42</v>
      </c>
      <c r="W49">
        <v>16918</v>
      </c>
      <c r="X49">
        <v>403</v>
      </c>
      <c r="Y49">
        <v>6</v>
      </c>
      <c r="Z49">
        <v>8</v>
      </c>
      <c r="AA49">
        <v>1</v>
      </c>
      <c r="AB49">
        <v>115</v>
      </c>
      <c r="AC49">
        <v>24</v>
      </c>
      <c r="AD49">
        <v>25</v>
      </c>
      <c r="AE49">
        <v>14</v>
      </c>
      <c r="AF49">
        <v>38</v>
      </c>
      <c r="AG49">
        <v>110</v>
      </c>
      <c r="AH49">
        <v>2475</v>
      </c>
      <c r="AI49">
        <v>2</v>
      </c>
      <c r="AJ49">
        <v>15988</v>
      </c>
      <c r="AK49">
        <v>112136</v>
      </c>
      <c r="AL49">
        <v>2188</v>
      </c>
      <c r="AM49">
        <v>21219</v>
      </c>
      <c r="AN49">
        <v>21</v>
      </c>
      <c r="AO49">
        <v>103</v>
      </c>
      <c r="AP49">
        <v>10848</v>
      </c>
      <c r="AQ49">
        <v>0</v>
      </c>
      <c r="AR49">
        <v>886</v>
      </c>
      <c r="AS49">
        <v>40</v>
      </c>
      <c r="AT49">
        <v>10365</v>
      </c>
      <c r="AU49">
        <v>2230</v>
      </c>
      <c r="AV49">
        <v>3051</v>
      </c>
      <c r="AW49">
        <v>14943</v>
      </c>
      <c r="AX49" s="88">
        <v>6</v>
      </c>
      <c r="AY49" s="88">
        <v>4</v>
      </c>
      <c r="AZ49" s="88">
        <v>912</v>
      </c>
      <c r="BA49" s="88">
        <v>1</v>
      </c>
      <c r="BB49">
        <v>135</v>
      </c>
      <c r="BC49">
        <v>997</v>
      </c>
      <c r="BD49">
        <v>0</v>
      </c>
      <c r="BE49">
        <v>0</v>
      </c>
      <c r="BF49">
        <v>8087</v>
      </c>
      <c r="BG49">
        <v>0</v>
      </c>
      <c r="BH49">
        <v>0</v>
      </c>
      <c r="BI49">
        <v>0</v>
      </c>
      <c r="BJ49">
        <v>30</v>
      </c>
      <c r="BK49">
        <v>5396</v>
      </c>
      <c r="BL49">
        <v>0</v>
      </c>
      <c r="BM49">
        <v>207</v>
      </c>
      <c r="BN49">
        <v>0</v>
      </c>
      <c r="BO49">
        <v>129706</v>
      </c>
      <c r="BP49">
        <v>84491</v>
      </c>
      <c r="BQ49">
        <v>2655</v>
      </c>
      <c r="BR49">
        <v>22</v>
      </c>
      <c r="BS49">
        <v>29992</v>
      </c>
      <c r="BT49">
        <v>1783</v>
      </c>
      <c r="BU49">
        <v>0</v>
      </c>
      <c r="BV49">
        <v>1</v>
      </c>
      <c r="BW49">
        <v>3</v>
      </c>
      <c r="BX49">
        <v>14756</v>
      </c>
      <c r="BY49">
        <v>246</v>
      </c>
      <c r="BZ49">
        <v>0</v>
      </c>
      <c r="CA49">
        <v>27803</v>
      </c>
      <c r="CB49">
        <v>15512</v>
      </c>
      <c r="CC49">
        <v>132357</v>
      </c>
      <c r="CD49">
        <v>283341</v>
      </c>
      <c r="CE49">
        <v>37358</v>
      </c>
      <c r="CF49">
        <v>63243</v>
      </c>
      <c r="CG49">
        <v>0</v>
      </c>
      <c r="CH49">
        <v>11</v>
      </c>
      <c r="CI49">
        <v>0</v>
      </c>
      <c r="CJ49">
        <v>95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433</v>
      </c>
      <c r="CR49">
        <v>15</v>
      </c>
      <c r="CY49">
        <v>0</v>
      </c>
      <c r="CZ49">
        <v>0</v>
      </c>
      <c r="DA49">
        <v>0</v>
      </c>
      <c r="DB49">
        <v>14</v>
      </c>
      <c r="DC49">
        <v>0</v>
      </c>
      <c r="DD49">
        <v>25</v>
      </c>
      <c r="DF49" s="2"/>
      <c r="DG49" s="2">
        <f t="shared" si="19"/>
        <v>838102</v>
      </c>
      <c r="DH49" s="2">
        <f t="shared" si="20"/>
        <v>285354</v>
      </c>
      <c r="DI49" s="2">
        <f t="shared" si="34"/>
        <v>1123456</v>
      </c>
      <c r="DK49" s="2">
        <f t="shared" si="21"/>
        <v>72782</v>
      </c>
      <c r="DL49" s="2">
        <f t="shared" si="22"/>
        <v>151128</v>
      </c>
      <c r="DM49" s="2">
        <f t="shared" si="23"/>
        <v>13833</v>
      </c>
      <c r="DN49" s="2">
        <f t="shared" si="24"/>
        <v>47151</v>
      </c>
      <c r="DO49" s="2">
        <f t="shared" si="25"/>
        <v>485697</v>
      </c>
      <c r="DP49" s="2">
        <f t="shared" si="26"/>
        <v>115691</v>
      </c>
      <c r="DQ49" s="2">
        <f t="shared" si="27"/>
        <v>448</v>
      </c>
      <c r="DR49" s="2">
        <f t="shared" si="28"/>
        <v>15531</v>
      </c>
      <c r="DS49" s="2">
        <f t="shared" si="29"/>
        <v>129706</v>
      </c>
      <c r="DT49" s="2">
        <f t="shared" si="30"/>
        <v>13486</v>
      </c>
      <c r="DU49" s="2"/>
      <c r="DV49" s="2"/>
      <c r="DW49" s="2"/>
      <c r="DX49" s="2">
        <f t="shared" si="18"/>
        <v>1045453</v>
      </c>
      <c r="DZ49" s="2">
        <f t="shared" si="31"/>
        <v>630872</v>
      </c>
      <c r="EA49" s="2">
        <f t="shared" si="32"/>
        <v>71562</v>
      </c>
      <c r="EC49" s="2">
        <f t="shared" si="33"/>
        <v>1195018</v>
      </c>
    </row>
    <row r="50" spans="1:152" x14ac:dyDescent="0.25">
      <c r="A50" s="13">
        <v>43221</v>
      </c>
      <c r="B50">
        <v>0</v>
      </c>
      <c r="C50">
        <v>0</v>
      </c>
      <c r="D50">
        <v>0</v>
      </c>
      <c r="E50">
        <v>0</v>
      </c>
      <c r="F50">
        <v>1162</v>
      </c>
      <c r="G50">
        <v>18422</v>
      </c>
      <c r="H50">
        <v>47108</v>
      </c>
      <c r="I50">
        <v>928</v>
      </c>
      <c r="J50">
        <v>2230</v>
      </c>
      <c r="K50">
        <v>1260</v>
      </c>
      <c r="L50">
        <v>33010</v>
      </c>
      <c r="M50">
        <v>1486</v>
      </c>
      <c r="N50">
        <v>743</v>
      </c>
      <c r="O50">
        <v>1666</v>
      </c>
      <c r="P50">
        <v>10257</v>
      </c>
      <c r="Q50">
        <v>242</v>
      </c>
      <c r="R50">
        <v>4831</v>
      </c>
      <c r="S50">
        <v>13827</v>
      </c>
      <c r="T50">
        <v>40</v>
      </c>
      <c r="U50">
        <v>4501</v>
      </c>
      <c r="V50">
        <v>37</v>
      </c>
      <c r="W50">
        <v>16891</v>
      </c>
      <c r="X50">
        <v>403</v>
      </c>
      <c r="Y50">
        <v>6</v>
      </c>
      <c r="Z50">
        <v>5</v>
      </c>
      <c r="AA50">
        <v>1</v>
      </c>
      <c r="AB50">
        <v>109</v>
      </c>
      <c r="AC50">
        <v>23</v>
      </c>
      <c r="AD50">
        <v>25</v>
      </c>
      <c r="AE50">
        <v>14</v>
      </c>
      <c r="AF50">
        <v>40</v>
      </c>
      <c r="AG50">
        <v>126</v>
      </c>
      <c r="AH50">
        <v>2519</v>
      </c>
      <c r="AI50">
        <v>2</v>
      </c>
      <c r="AJ50">
        <v>15804</v>
      </c>
      <c r="AK50">
        <v>112360</v>
      </c>
      <c r="AL50">
        <v>2170</v>
      </c>
      <c r="AM50">
        <v>21423</v>
      </c>
      <c r="AN50">
        <v>24</v>
      </c>
      <c r="AO50">
        <v>103</v>
      </c>
      <c r="AP50">
        <v>10987</v>
      </c>
      <c r="AQ50">
        <v>0</v>
      </c>
      <c r="AR50">
        <v>916</v>
      </c>
      <c r="AS50">
        <v>40</v>
      </c>
      <c r="AT50">
        <v>10426</v>
      </c>
      <c r="AU50">
        <v>2245</v>
      </c>
      <c r="AV50">
        <v>3075</v>
      </c>
      <c r="AW50">
        <v>14949</v>
      </c>
      <c r="AX50" s="88">
        <v>6</v>
      </c>
      <c r="AY50" s="88">
        <v>6</v>
      </c>
      <c r="AZ50" s="88">
        <v>897</v>
      </c>
      <c r="BA50" s="88">
        <v>1</v>
      </c>
      <c r="BB50">
        <v>135</v>
      </c>
      <c r="BC50">
        <v>1010</v>
      </c>
      <c r="BD50">
        <v>0</v>
      </c>
      <c r="BE50">
        <v>0</v>
      </c>
      <c r="BF50">
        <v>8110</v>
      </c>
      <c r="BG50">
        <v>0</v>
      </c>
      <c r="BH50">
        <v>0</v>
      </c>
      <c r="BI50">
        <v>0</v>
      </c>
      <c r="BJ50">
        <v>31</v>
      </c>
      <c r="BK50">
        <v>5363</v>
      </c>
      <c r="BL50">
        <v>0</v>
      </c>
      <c r="BM50">
        <v>178</v>
      </c>
      <c r="BN50">
        <v>0</v>
      </c>
      <c r="BO50">
        <v>131403</v>
      </c>
      <c r="BP50">
        <v>84730</v>
      </c>
      <c r="BQ50">
        <v>2671</v>
      </c>
      <c r="BR50">
        <v>21</v>
      </c>
      <c r="BS50">
        <v>29973</v>
      </c>
      <c r="BT50">
        <v>1786</v>
      </c>
      <c r="BU50">
        <v>0</v>
      </c>
      <c r="BV50">
        <v>1</v>
      </c>
      <c r="BW50">
        <v>3</v>
      </c>
      <c r="BX50">
        <v>15088</v>
      </c>
      <c r="BY50">
        <v>246</v>
      </c>
      <c r="BZ50">
        <v>0</v>
      </c>
      <c r="CA50">
        <v>27980</v>
      </c>
      <c r="CB50">
        <v>15570</v>
      </c>
      <c r="CC50">
        <v>132938</v>
      </c>
      <c r="CD50">
        <v>284867</v>
      </c>
      <c r="CE50">
        <v>37719</v>
      </c>
      <c r="CF50">
        <v>63633</v>
      </c>
      <c r="CG50">
        <v>0</v>
      </c>
      <c r="CH50">
        <v>13</v>
      </c>
      <c r="CI50">
        <v>0</v>
      </c>
      <c r="CJ50">
        <v>91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444</v>
      </c>
      <c r="CR50">
        <v>19</v>
      </c>
      <c r="CY50">
        <v>0</v>
      </c>
      <c r="CZ50">
        <v>0</v>
      </c>
      <c r="DA50">
        <v>0</v>
      </c>
      <c r="DB50">
        <v>14</v>
      </c>
      <c r="DC50">
        <v>0</v>
      </c>
      <c r="DD50">
        <v>25</v>
      </c>
      <c r="DF50" s="2"/>
      <c r="DG50" s="2">
        <f t="shared" si="19"/>
        <v>843437</v>
      </c>
      <c r="DH50" s="2">
        <f t="shared" si="20"/>
        <v>286089</v>
      </c>
      <c r="DI50" s="2">
        <f t="shared" si="34"/>
        <v>1129526</v>
      </c>
      <c r="DK50" s="2">
        <f t="shared" si="21"/>
        <v>72961</v>
      </c>
      <c r="DL50" s="2">
        <f t="shared" si="22"/>
        <v>151321</v>
      </c>
      <c r="DM50" s="2">
        <f t="shared" si="23"/>
        <v>13827</v>
      </c>
      <c r="DN50" s="2">
        <f t="shared" si="24"/>
        <v>47502</v>
      </c>
      <c r="DO50" s="2">
        <f t="shared" si="25"/>
        <v>488357</v>
      </c>
      <c r="DP50" s="2">
        <f t="shared" si="26"/>
        <v>115897</v>
      </c>
      <c r="DQ50" s="2">
        <f t="shared" si="27"/>
        <v>463</v>
      </c>
      <c r="DR50" s="2">
        <f t="shared" si="28"/>
        <v>15588</v>
      </c>
      <c r="DS50" s="2">
        <f t="shared" si="29"/>
        <v>131403</v>
      </c>
      <c r="DT50" s="2">
        <f t="shared" si="30"/>
        <v>13476</v>
      </c>
      <c r="DU50" s="2"/>
      <c r="DV50" s="2"/>
      <c r="DW50" s="2"/>
      <c r="DX50" s="2">
        <f t="shared" si="18"/>
        <v>1050795</v>
      </c>
      <c r="DZ50" s="2">
        <f t="shared" si="31"/>
        <v>634154</v>
      </c>
      <c r="EA50" s="2">
        <f t="shared" si="32"/>
        <v>71853</v>
      </c>
      <c r="EC50" s="2">
        <f t="shared" si="33"/>
        <v>1201379</v>
      </c>
    </row>
    <row r="51" spans="1:152" x14ac:dyDescent="0.25">
      <c r="A51" s="13">
        <v>43252</v>
      </c>
      <c r="B51">
        <v>0</v>
      </c>
      <c r="C51">
        <v>0</v>
      </c>
      <c r="D51">
        <v>0</v>
      </c>
      <c r="E51">
        <v>0</v>
      </c>
      <c r="F51">
        <v>1166</v>
      </c>
      <c r="G51">
        <v>18466</v>
      </c>
      <c r="H51">
        <v>47419</v>
      </c>
      <c r="I51">
        <v>931</v>
      </c>
      <c r="J51">
        <v>2311</v>
      </c>
      <c r="K51">
        <v>1260</v>
      </c>
      <c r="L51">
        <v>33008</v>
      </c>
      <c r="M51">
        <v>1456</v>
      </c>
      <c r="N51">
        <v>753</v>
      </c>
      <c r="O51">
        <v>1690</v>
      </c>
      <c r="P51">
        <v>10317</v>
      </c>
      <c r="Q51">
        <v>237</v>
      </c>
      <c r="R51">
        <v>4854</v>
      </c>
      <c r="S51">
        <v>13852</v>
      </c>
      <c r="T51">
        <v>43</v>
      </c>
      <c r="U51">
        <v>4565</v>
      </c>
      <c r="V51">
        <v>44</v>
      </c>
      <c r="W51">
        <v>16910</v>
      </c>
      <c r="X51">
        <v>411</v>
      </c>
      <c r="Y51">
        <v>6</v>
      </c>
      <c r="Z51">
        <v>5</v>
      </c>
      <c r="AA51">
        <v>1</v>
      </c>
      <c r="AB51">
        <v>107</v>
      </c>
      <c r="AC51">
        <v>22</v>
      </c>
      <c r="AD51">
        <v>25</v>
      </c>
      <c r="AE51">
        <v>14</v>
      </c>
      <c r="AF51">
        <v>38</v>
      </c>
      <c r="AG51">
        <v>128</v>
      </c>
      <c r="AH51">
        <v>2509</v>
      </c>
      <c r="AI51">
        <v>1</v>
      </c>
      <c r="AJ51">
        <v>15668</v>
      </c>
      <c r="AK51">
        <v>112511</v>
      </c>
      <c r="AL51">
        <v>2154</v>
      </c>
      <c r="AM51">
        <v>21500</v>
      </c>
      <c r="AN51">
        <v>21</v>
      </c>
      <c r="AO51">
        <v>112</v>
      </c>
      <c r="AP51">
        <v>11024</v>
      </c>
      <c r="AQ51">
        <v>0</v>
      </c>
      <c r="AR51">
        <v>940</v>
      </c>
      <c r="AS51">
        <v>38</v>
      </c>
      <c r="AT51">
        <v>10448</v>
      </c>
      <c r="AU51">
        <v>2247</v>
      </c>
      <c r="AV51">
        <v>3119</v>
      </c>
      <c r="AW51">
        <v>14958</v>
      </c>
      <c r="AX51" s="88">
        <v>17</v>
      </c>
      <c r="AY51" s="88">
        <v>6</v>
      </c>
      <c r="AZ51" s="88">
        <v>896</v>
      </c>
      <c r="BA51" s="88">
        <v>1</v>
      </c>
      <c r="BB51">
        <v>140</v>
      </c>
      <c r="BC51">
        <v>1041</v>
      </c>
      <c r="BD51">
        <v>0</v>
      </c>
      <c r="BE51">
        <v>0</v>
      </c>
      <c r="BF51">
        <v>8134</v>
      </c>
      <c r="BG51">
        <v>0</v>
      </c>
      <c r="BH51">
        <v>0</v>
      </c>
      <c r="BI51">
        <v>0</v>
      </c>
      <c r="BJ51">
        <v>30</v>
      </c>
      <c r="BK51">
        <v>5382</v>
      </c>
      <c r="BL51">
        <v>0</v>
      </c>
      <c r="BM51">
        <v>169</v>
      </c>
      <c r="BN51">
        <v>0</v>
      </c>
      <c r="BO51">
        <v>132576</v>
      </c>
      <c r="BP51">
        <v>84826</v>
      </c>
      <c r="BQ51">
        <v>2677</v>
      </c>
      <c r="BR51">
        <v>23</v>
      </c>
      <c r="BS51">
        <v>29945</v>
      </c>
      <c r="BT51">
        <v>1762</v>
      </c>
      <c r="BU51">
        <v>0</v>
      </c>
      <c r="BV51">
        <v>1</v>
      </c>
      <c r="BW51">
        <v>2</v>
      </c>
      <c r="BX51">
        <v>15495</v>
      </c>
      <c r="BY51">
        <v>233</v>
      </c>
      <c r="BZ51">
        <v>0</v>
      </c>
      <c r="CA51">
        <v>27901</v>
      </c>
      <c r="CB51">
        <v>15837</v>
      </c>
      <c r="CC51">
        <v>133437</v>
      </c>
      <c r="CD51">
        <v>286089</v>
      </c>
      <c r="CE51">
        <v>37802</v>
      </c>
      <c r="CF51">
        <v>63976</v>
      </c>
      <c r="CG51">
        <v>0</v>
      </c>
      <c r="CH51">
        <v>10</v>
      </c>
      <c r="CI51">
        <v>0</v>
      </c>
      <c r="CJ51">
        <v>91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451</v>
      </c>
      <c r="CR51">
        <v>29</v>
      </c>
      <c r="CY51">
        <v>0</v>
      </c>
      <c r="CZ51">
        <v>0</v>
      </c>
      <c r="DA51">
        <v>0</v>
      </c>
      <c r="DB51">
        <v>14</v>
      </c>
      <c r="DC51">
        <v>0</v>
      </c>
      <c r="DD51">
        <v>25</v>
      </c>
      <c r="DF51" s="2"/>
      <c r="DG51" s="2">
        <f t="shared" si="19"/>
        <v>847462</v>
      </c>
      <c r="DH51" s="2">
        <f t="shared" si="20"/>
        <v>286496</v>
      </c>
      <c r="DI51" s="2">
        <f t="shared" si="34"/>
        <v>1133958</v>
      </c>
      <c r="DK51" s="2">
        <f t="shared" si="21"/>
        <v>73124</v>
      </c>
      <c r="DL51" s="2">
        <f t="shared" si="22"/>
        <v>151407</v>
      </c>
      <c r="DM51" s="2">
        <f t="shared" si="23"/>
        <v>13852</v>
      </c>
      <c r="DN51" s="2">
        <f t="shared" si="24"/>
        <v>47632</v>
      </c>
      <c r="DO51" s="2">
        <f t="shared" si="25"/>
        <v>490063</v>
      </c>
      <c r="DP51" s="2">
        <f t="shared" si="26"/>
        <v>115987</v>
      </c>
      <c r="DQ51" s="2">
        <f t="shared" si="27"/>
        <v>480</v>
      </c>
      <c r="DR51" s="2">
        <f t="shared" si="28"/>
        <v>15852</v>
      </c>
      <c r="DS51" s="2">
        <f t="shared" si="29"/>
        <v>132576</v>
      </c>
      <c r="DT51" s="2">
        <f t="shared" si="30"/>
        <v>13518</v>
      </c>
      <c r="DU51" s="2"/>
      <c r="DV51" s="2"/>
      <c r="DW51" s="2"/>
      <c r="DX51" s="2">
        <f t="shared" si="18"/>
        <v>1054491</v>
      </c>
      <c r="DZ51" s="2">
        <f t="shared" si="31"/>
        <v>636684</v>
      </c>
      <c r="EA51" s="2">
        <f t="shared" si="32"/>
        <v>72306</v>
      </c>
      <c r="EC51" s="2">
        <f t="shared" si="33"/>
        <v>1206264</v>
      </c>
    </row>
    <row r="52" spans="1:152" x14ac:dyDescent="0.25">
      <c r="A52" s="13">
        <v>43282</v>
      </c>
      <c r="B52">
        <v>0</v>
      </c>
      <c r="C52">
        <v>0</v>
      </c>
      <c r="D52">
        <v>0</v>
      </c>
      <c r="E52">
        <v>0</v>
      </c>
      <c r="F52">
        <v>1157</v>
      </c>
      <c r="G52">
        <v>18348</v>
      </c>
      <c r="H52">
        <v>47223</v>
      </c>
      <c r="I52">
        <v>904</v>
      </c>
      <c r="J52">
        <v>2355</v>
      </c>
      <c r="K52">
        <v>1259</v>
      </c>
      <c r="L52">
        <v>32983</v>
      </c>
      <c r="M52">
        <v>1454</v>
      </c>
      <c r="N52">
        <v>769</v>
      </c>
      <c r="O52">
        <v>1702</v>
      </c>
      <c r="P52">
        <v>10296</v>
      </c>
      <c r="Q52">
        <v>243</v>
      </c>
      <c r="R52">
        <v>4852</v>
      </c>
      <c r="S52">
        <v>13849</v>
      </c>
      <c r="T52">
        <v>52</v>
      </c>
      <c r="U52">
        <v>4523</v>
      </c>
      <c r="V52">
        <v>39</v>
      </c>
      <c r="W52">
        <v>16906</v>
      </c>
      <c r="X52">
        <v>419</v>
      </c>
      <c r="Y52">
        <v>6</v>
      </c>
      <c r="Z52">
        <v>5</v>
      </c>
      <c r="AA52">
        <v>0</v>
      </c>
      <c r="AB52">
        <v>105</v>
      </c>
      <c r="AC52">
        <v>22</v>
      </c>
      <c r="AD52">
        <v>24</v>
      </c>
      <c r="AE52">
        <v>15</v>
      </c>
      <c r="AF52">
        <v>36</v>
      </c>
      <c r="AG52">
        <v>127</v>
      </c>
      <c r="AH52">
        <v>2503</v>
      </c>
      <c r="AI52">
        <v>1</v>
      </c>
      <c r="AJ52">
        <v>15462</v>
      </c>
      <c r="AK52">
        <v>112633</v>
      </c>
      <c r="AL52">
        <v>2148</v>
      </c>
      <c r="AM52">
        <v>21525</v>
      </c>
      <c r="AN52">
        <v>20</v>
      </c>
      <c r="AO52">
        <v>118</v>
      </c>
      <c r="AP52">
        <v>11099</v>
      </c>
      <c r="AQ52">
        <v>0</v>
      </c>
      <c r="AR52">
        <v>899</v>
      </c>
      <c r="AS52">
        <v>38</v>
      </c>
      <c r="AT52">
        <v>10442</v>
      </c>
      <c r="AU52">
        <v>2277</v>
      </c>
      <c r="AV52">
        <v>3191</v>
      </c>
      <c r="AW52">
        <v>14958</v>
      </c>
      <c r="AX52" s="88">
        <v>12</v>
      </c>
      <c r="AY52" s="88">
        <v>5</v>
      </c>
      <c r="AZ52" s="88">
        <v>881</v>
      </c>
      <c r="BA52" s="88">
        <v>1</v>
      </c>
      <c r="BB52">
        <v>150</v>
      </c>
      <c r="BC52">
        <v>1059</v>
      </c>
      <c r="BD52">
        <v>0</v>
      </c>
      <c r="BE52">
        <v>0</v>
      </c>
      <c r="BF52">
        <v>8159</v>
      </c>
      <c r="BG52">
        <v>0</v>
      </c>
      <c r="BH52">
        <v>0</v>
      </c>
      <c r="BI52">
        <v>0</v>
      </c>
      <c r="BJ52">
        <v>33</v>
      </c>
      <c r="BK52">
        <v>5407</v>
      </c>
      <c r="BL52">
        <v>0</v>
      </c>
      <c r="BM52">
        <v>143</v>
      </c>
      <c r="BN52">
        <v>0</v>
      </c>
      <c r="BO52">
        <v>133602</v>
      </c>
      <c r="BP52">
        <v>84723</v>
      </c>
      <c r="BQ52">
        <v>2714</v>
      </c>
      <c r="BR52">
        <v>22</v>
      </c>
      <c r="BS52">
        <v>29700</v>
      </c>
      <c r="BT52">
        <v>1769</v>
      </c>
      <c r="BU52">
        <v>0</v>
      </c>
      <c r="BV52">
        <v>0</v>
      </c>
      <c r="BW52">
        <v>2</v>
      </c>
      <c r="BX52">
        <v>15764</v>
      </c>
      <c r="BY52">
        <v>227</v>
      </c>
      <c r="BZ52">
        <v>0</v>
      </c>
      <c r="CA52">
        <v>27743</v>
      </c>
      <c r="CB52">
        <v>15886</v>
      </c>
      <c r="CC52">
        <v>133304</v>
      </c>
      <c r="CD52">
        <v>286297</v>
      </c>
      <c r="CE52">
        <v>38179</v>
      </c>
      <c r="CF52">
        <v>63813</v>
      </c>
      <c r="CG52">
        <v>0</v>
      </c>
      <c r="CH52">
        <v>10</v>
      </c>
      <c r="CI52">
        <v>0</v>
      </c>
      <c r="CJ52">
        <v>91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452</v>
      </c>
      <c r="CR52">
        <v>25</v>
      </c>
      <c r="CY52">
        <v>0</v>
      </c>
      <c r="CZ52">
        <v>0</v>
      </c>
      <c r="DA52">
        <v>0</v>
      </c>
      <c r="DB52">
        <v>14</v>
      </c>
      <c r="DC52">
        <v>0</v>
      </c>
      <c r="DD52">
        <v>25</v>
      </c>
      <c r="DF52" s="2"/>
      <c r="DG52" s="2">
        <f t="shared" si="19"/>
        <v>848664</v>
      </c>
      <c r="DH52" s="2">
        <f t="shared" si="20"/>
        <v>286477</v>
      </c>
      <c r="DI52" s="2">
        <f t="shared" si="34"/>
        <v>1135141</v>
      </c>
      <c r="DK52" s="2">
        <f t="shared" si="21"/>
        <v>73050</v>
      </c>
      <c r="DL52" s="2">
        <f t="shared" si="22"/>
        <v>151364</v>
      </c>
      <c r="DM52" s="2">
        <f t="shared" si="23"/>
        <v>13849</v>
      </c>
      <c r="DN52" s="2">
        <f t="shared" si="24"/>
        <v>47736</v>
      </c>
      <c r="DO52" s="2">
        <f t="shared" si="25"/>
        <v>490391</v>
      </c>
      <c r="DP52" s="2">
        <f t="shared" si="26"/>
        <v>115630</v>
      </c>
      <c r="DQ52" s="2">
        <f t="shared" si="27"/>
        <v>477</v>
      </c>
      <c r="DR52" s="2">
        <f t="shared" si="28"/>
        <v>15901</v>
      </c>
      <c r="DS52" s="2">
        <f t="shared" si="29"/>
        <v>133602</v>
      </c>
      <c r="DT52" s="2">
        <f t="shared" si="30"/>
        <v>13568</v>
      </c>
      <c r="DU52" s="2"/>
      <c r="DV52" s="2"/>
      <c r="DW52" s="2"/>
      <c r="DX52" s="2">
        <f t="shared" si="18"/>
        <v>1055568</v>
      </c>
      <c r="DZ52" s="2">
        <f t="shared" si="31"/>
        <v>636602</v>
      </c>
      <c r="EA52" s="2">
        <f t="shared" si="32"/>
        <v>72015</v>
      </c>
      <c r="EC52" s="2">
        <f t="shared" si="33"/>
        <v>1207156</v>
      </c>
    </row>
    <row r="53" spans="1:152" x14ac:dyDescent="0.25">
      <c r="A53" s="13">
        <v>43313</v>
      </c>
      <c r="B53">
        <v>0</v>
      </c>
      <c r="C53">
        <v>0</v>
      </c>
      <c r="D53">
        <v>0</v>
      </c>
      <c r="E53">
        <v>0</v>
      </c>
      <c r="F53">
        <v>1140</v>
      </c>
      <c r="G53">
        <v>18180</v>
      </c>
      <c r="H53">
        <v>46879</v>
      </c>
      <c r="I53">
        <v>927</v>
      </c>
      <c r="J53">
        <v>2308</v>
      </c>
      <c r="K53">
        <v>1263</v>
      </c>
      <c r="L53">
        <v>33037</v>
      </c>
      <c r="M53">
        <v>1449</v>
      </c>
      <c r="N53">
        <v>758</v>
      </c>
      <c r="O53">
        <v>1706</v>
      </c>
      <c r="P53">
        <v>10265</v>
      </c>
      <c r="Q53">
        <v>235</v>
      </c>
      <c r="R53">
        <v>4890</v>
      </c>
      <c r="S53">
        <v>13859</v>
      </c>
      <c r="T53">
        <v>51</v>
      </c>
      <c r="U53">
        <v>4510</v>
      </c>
      <c r="V53">
        <v>40</v>
      </c>
      <c r="W53">
        <v>16929</v>
      </c>
      <c r="X53">
        <v>425</v>
      </c>
      <c r="Y53">
        <v>6</v>
      </c>
      <c r="Z53">
        <v>8</v>
      </c>
      <c r="AA53">
        <v>0</v>
      </c>
      <c r="AB53">
        <v>103</v>
      </c>
      <c r="AC53">
        <v>22</v>
      </c>
      <c r="AD53">
        <v>23</v>
      </c>
      <c r="AE53">
        <v>13</v>
      </c>
      <c r="AF53">
        <v>39</v>
      </c>
      <c r="AG53">
        <v>143</v>
      </c>
      <c r="AH53">
        <v>2483</v>
      </c>
      <c r="AI53">
        <v>1</v>
      </c>
      <c r="AJ53">
        <v>15343</v>
      </c>
      <c r="AK53">
        <v>112749</v>
      </c>
      <c r="AL53">
        <v>2143</v>
      </c>
      <c r="AM53">
        <v>21497</v>
      </c>
      <c r="AN53">
        <v>18</v>
      </c>
      <c r="AO53">
        <v>132</v>
      </c>
      <c r="AP53">
        <v>11139</v>
      </c>
      <c r="AQ53">
        <v>0</v>
      </c>
      <c r="AR53">
        <v>869</v>
      </c>
      <c r="AS53">
        <v>38</v>
      </c>
      <c r="AT53">
        <v>10441</v>
      </c>
      <c r="AU53">
        <v>2300</v>
      </c>
      <c r="AV53">
        <v>3206</v>
      </c>
      <c r="AW53">
        <v>14938</v>
      </c>
      <c r="AX53" s="88">
        <v>4</v>
      </c>
      <c r="AY53" s="88">
        <v>3</v>
      </c>
      <c r="AZ53" s="88">
        <v>874</v>
      </c>
      <c r="BA53" s="88">
        <v>1</v>
      </c>
      <c r="BB53">
        <v>145</v>
      </c>
      <c r="BC53">
        <v>1078</v>
      </c>
      <c r="BD53">
        <v>0</v>
      </c>
      <c r="BE53">
        <v>0</v>
      </c>
      <c r="BF53">
        <v>8167</v>
      </c>
      <c r="BG53">
        <v>0</v>
      </c>
      <c r="BH53">
        <v>0</v>
      </c>
      <c r="BI53">
        <v>0</v>
      </c>
      <c r="BJ53">
        <v>35</v>
      </c>
      <c r="BK53">
        <v>5424</v>
      </c>
      <c r="BL53">
        <v>0</v>
      </c>
      <c r="BM53">
        <v>121</v>
      </c>
      <c r="BN53">
        <v>0</v>
      </c>
      <c r="BO53">
        <v>133612</v>
      </c>
      <c r="BP53">
        <v>85004</v>
      </c>
      <c r="BQ53">
        <v>2792</v>
      </c>
      <c r="BR53">
        <v>19</v>
      </c>
      <c r="BS53">
        <v>29528</v>
      </c>
      <c r="BT53">
        <v>1736</v>
      </c>
      <c r="BU53">
        <v>0</v>
      </c>
      <c r="BV53">
        <v>0</v>
      </c>
      <c r="BW53">
        <v>2</v>
      </c>
      <c r="BX53">
        <v>15996</v>
      </c>
      <c r="BY53">
        <v>234</v>
      </c>
      <c r="BZ53">
        <v>0</v>
      </c>
      <c r="CA53">
        <v>27510</v>
      </c>
      <c r="CB53">
        <v>15834</v>
      </c>
      <c r="CC53">
        <v>132622</v>
      </c>
      <c r="CD53">
        <v>285996</v>
      </c>
      <c r="CE53">
        <v>38572</v>
      </c>
      <c r="CF53">
        <v>63529</v>
      </c>
      <c r="CG53">
        <v>0</v>
      </c>
      <c r="CH53">
        <v>9</v>
      </c>
      <c r="CI53">
        <v>0</v>
      </c>
      <c r="CJ53">
        <v>88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447</v>
      </c>
      <c r="CR53">
        <v>21</v>
      </c>
      <c r="CY53">
        <v>0</v>
      </c>
      <c r="CZ53">
        <v>0</v>
      </c>
      <c r="DA53">
        <v>0</v>
      </c>
      <c r="DB53">
        <v>14</v>
      </c>
      <c r="DC53">
        <v>0</v>
      </c>
      <c r="DD53">
        <v>25</v>
      </c>
      <c r="DF53" s="2"/>
      <c r="DG53" s="2">
        <f t="shared" si="19"/>
        <v>847915</v>
      </c>
      <c r="DH53" s="2">
        <f t="shared" si="20"/>
        <v>286541</v>
      </c>
      <c r="DI53" s="2">
        <f t="shared" si="34"/>
        <v>1134456</v>
      </c>
      <c r="DK53" s="2">
        <f t="shared" si="21"/>
        <v>73112</v>
      </c>
      <c r="DL53" s="2">
        <f t="shared" si="22"/>
        <v>151346</v>
      </c>
      <c r="DM53" s="2">
        <f t="shared" si="23"/>
        <v>13859</v>
      </c>
      <c r="DN53" s="2">
        <f t="shared" si="24"/>
        <v>47745</v>
      </c>
      <c r="DO53" s="2">
        <f t="shared" si="25"/>
        <v>489608</v>
      </c>
      <c r="DP53" s="2">
        <f t="shared" si="26"/>
        <v>115734</v>
      </c>
      <c r="DQ53" s="2">
        <f t="shared" si="27"/>
        <v>468</v>
      </c>
      <c r="DR53" s="2">
        <f t="shared" si="28"/>
        <v>15851</v>
      </c>
      <c r="DS53" s="2">
        <f t="shared" si="29"/>
        <v>133612</v>
      </c>
      <c r="DT53" s="2">
        <f t="shared" si="30"/>
        <v>13593</v>
      </c>
      <c r="DU53" s="2"/>
      <c r="DV53" s="2"/>
      <c r="DW53" s="2"/>
      <c r="DX53" s="2">
        <f t="shared" si="18"/>
        <v>1054928</v>
      </c>
      <c r="DZ53" s="2">
        <f t="shared" si="31"/>
        <v>635024</v>
      </c>
      <c r="EA53" s="2">
        <f t="shared" si="32"/>
        <v>71455</v>
      </c>
      <c r="EC53" s="2">
        <f t="shared" si="33"/>
        <v>1205911</v>
      </c>
    </row>
    <row r="54" spans="1:152" x14ac:dyDescent="0.25">
      <c r="A54" s="13">
        <v>43344</v>
      </c>
      <c r="B54">
        <v>0</v>
      </c>
      <c r="C54">
        <v>0</v>
      </c>
      <c r="D54">
        <v>0</v>
      </c>
      <c r="E54">
        <v>0</v>
      </c>
      <c r="F54">
        <v>1139</v>
      </c>
      <c r="G54">
        <v>18211</v>
      </c>
      <c r="H54">
        <v>46897</v>
      </c>
      <c r="I54">
        <v>925</v>
      </c>
      <c r="J54">
        <v>2351</v>
      </c>
      <c r="K54">
        <v>1243</v>
      </c>
      <c r="L54">
        <v>33073</v>
      </c>
      <c r="M54">
        <v>1427</v>
      </c>
      <c r="N54">
        <v>766</v>
      </c>
      <c r="O54">
        <v>1722</v>
      </c>
      <c r="P54">
        <v>10289</v>
      </c>
      <c r="Q54">
        <v>235</v>
      </c>
      <c r="R54">
        <v>4928</v>
      </c>
      <c r="S54">
        <v>13883</v>
      </c>
      <c r="T54">
        <v>49</v>
      </c>
      <c r="U54">
        <v>4516</v>
      </c>
      <c r="V54">
        <v>36</v>
      </c>
      <c r="W54">
        <v>16917</v>
      </c>
      <c r="X54">
        <v>426</v>
      </c>
      <c r="Y54">
        <v>6</v>
      </c>
      <c r="Z54">
        <v>7</v>
      </c>
      <c r="AA54">
        <v>1</v>
      </c>
      <c r="AB54">
        <v>97</v>
      </c>
      <c r="AC54">
        <v>24</v>
      </c>
      <c r="AD54">
        <v>22</v>
      </c>
      <c r="AE54">
        <v>15</v>
      </c>
      <c r="AF54">
        <v>39</v>
      </c>
      <c r="AG54">
        <v>139</v>
      </c>
      <c r="AH54">
        <v>2480</v>
      </c>
      <c r="AI54">
        <v>1</v>
      </c>
      <c r="AJ54">
        <v>15092</v>
      </c>
      <c r="AK54">
        <v>112826</v>
      </c>
      <c r="AL54">
        <v>2135</v>
      </c>
      <c r="AM54">
        <v>21638</v>
      </c>
      <c r="AN54">
        <v>15</v>
      </c>
      <c r="AO54">
        <v>142</v>
      </c>
      <c r="AP54">
        <v>11183</v>
      </c>
      <c r="AQ54">
        <v>0</v>
      </c>
      <c r="AR54">
        <v>862</v>
      </c>
      <c r="AS54">
        <v>39</v>
      </c>
      <c r="AT54">
        <v>10449</v>
      </c>
      <c r="AU54">
        <v>2313</v>
      </c>
      <c r="AV54">
        <v>3230</v>
      </c>
      <c r="AW54">
        <v>14937</v>
      </c>
      <c r="AX54" s="88">
        <v>27</v>
      </c>
      <c r="AY54" s="88">
        <v>2</v>
      </c>
      <c r="AZ54" s="88">
        <v>888</v>
      </c>
      <c r="BA54" s="88">
        <v>1</v>
      </c>
      <c r="BB54">
        <v>151</v>
      </c>
      <c r="BC54">
        <v>1117</v>
      </c>
      <c r="BD54">
        <v>0</v>
      </c>
      <c r="BE54">
        <v>0</v>
      </c>
      <c r="BF54">
        <v>8207</v>
      </c>
      <c r="BG54">
        <v>0</v>
      </c>
      <c r="BH54">
        <v>0</v>
      </c>
      <c r="BI54">
        <v>0</v>
      </c>
      <c r="BJ54">
        <v>39</v>
      </c>
      <c r="BK54">
        <v>5355</v>
      </c>
      <c r="BL54">
        <v>0</v>
      </c>
      <c r="BM54">
        <v>117</v>
      </c>
      <c r="BN54">
        <v>0</v>
      </c>
      <c r="BO54">
        <v>134934</v>
      </c>
      <c r="BP54">
        <v>85315</v>
      </c>
      <c r="BQ54">
        <v>2822</v>
      </c>
      <c r="BR54">
        <v>20</v>
      </c>
      <c r="BS54">
        <v>29357</v>
      </c>
      <c r="BT54">
        <v>1788</v>
      </c>
      <c r="BU54">
        <v>0</v>
      </c>
      <c r="BV54">
        <v>0</v>
      </c>
      <c r="BW54">
        <v>3</v>
      </c>
      <c r="BX54">
        <v>16339</v>
      </c>
      <c r="BY54">
        <v>230</v>
      </c>
      <c r="BZ54">
        <v>0</v>
      </c>
      <c r="CA54">
        <v>27468</v>
      </c>
      <c r="CB54">
        <v>16029</v>
      </c>
      <c r="CC54">
        <v>132657</v>
      </c>
      <c r="CD54">
        <v>286223</v>
      </c>
      <c r="CE54">
        <v>38663</v>
      </c>
      <c r="CF54">
        <v>63299</v>
      </c>
      <c r="CG54">
        <v>0</v>
      </c>
      <c r="CH54">
        <v>6</v>
      </c>
      <c r="CI54">
        <v>0</v>
      </c>
      <c r="CJ54">
        <v>89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450</v>
      </c>
      <c r="CR54">
        <v>24</v>
      </c>
      <c r="CY54">
        <v>0</v>
      </c>
      <c r="CZ54">
        <v>0</v>
      </c>
      <c r="DA54">
        <v>0</v>
      </c>
      <c r="DB54">
        <v>13</v>
      </c>
      <c r="DC54">
        <v>0</v>
      </c>
      <c r="DD54">
        <v>25</v>
      </c>
      <c r="DF54" s="2"/>
      <c r="DG54" s="2">
        <f t="shared" si="19"/>
        <v>850106</v>
      </c>
      <c r="DH54" s="2">
        <f t="shared" si="20"/>
        <v>286710</v>
      </c>
      <c r="DI54" s="2">
        <f t="shared" si="34"/>
        <v>1136816</v>
      </c>
      <c r="DK54" s="2">
        <f t="shared" si="21"/>
        <v>73192</v>
      </c>
      <c r="DL54" s="2">
        <f t="shared" si="22"/>
        <v>151212</v>
      </c>
      <c r="DM54" s="2">
        <f t="shared" si="23"/>
        <v>13883</v>
      </c>
      <c r="DN54" s="2">
        <f t="shared" si="24"/>
        <v>47939</v>
      </c>
      <c r="DO54" s="2">
        <f t="shared" si="25"/>
        <v>490026</v>
      </c>
      <c r="DP54" s="2">
        <f t="shared" si="26"/>
        <v>115908</v>
      </c>
      <c r="DQ54" s="2">
        <f t="shared" si="27"/>
        <v>474</v>
      </c>
      <c r="DR54" s="2">
        <f t="shared" si="28"/>
        <v>16042</v>
      </c>
      <c r="DS54" s="2">
        <f t="shared" si="29"/>
        <v>134934</v>
      </c>
      <c r="DT54" s="2">
        <f t="shared" si="30"/>
        <v>13565</v>
      </c>
      <c r="DU54" s="2"/>
      <c r="DV54" s="2"/>
      <c r="DW54" s="2"/>
      <c r="DX54" s="2">
        <f t="shared" si="18"/>
        <v>1057175</v>
      </c>
      <c r="DZ54" s="2">
        <f t="shared" si="31"/>
        <v>635274</v>
      </c>
      <c r="EA54" s="2">
        <f t="shared" si="32"/>
        <v>71532</v>
      </c>
      <c r="EC54" s="2">
        <f t="shared" si="33"/>
        <v>1208348</v>
      </c>
    </row>
    <row r="55" spans="1:152" x14ac:dyDescent="0.25">
      <c r="A55" s="13">
        <v>43374</v>
      </c>
      <c r="B55">
        <v>0</v>
      </c>
      <c r="C55">
        <v>0</v>
      </c>
      <c r="D55">
        <v>0</v>
      </c>
      <c r="E55">
        <v>0</v>
      </c>
      <c r="F55">
        <v>1124</v>
      </c>
      <c r="G55">
        <v>18139</v>
      </c>
      <c r="H55">
        <v>47050</v>
      </c>
      <c r="I55">
        <v>924</v>
      </c>
      <c r="J55">
        <v>2340</v>
      </c>
      <c r="K55">
        <v>1243</v>
      </c>
      <c r="L55">
        <v>32994</v>
      </c>
      <c r="M55">
        <v>1419</v>
      </c>
      <c r="N55">
        <v>763</v>
      </c>
      <c r="O55">
        <v>1715</v>
      </c>
      <c r="P55">
        <v>10193</v>
      </c>
      <c r="Q55">
        <v>238</v>
      </c>
      <c r="R55">
        <v>4901</v>
      </c>
      <c r="S55">
        <v>13804</v>
      </c>
      <c r="T55">
        <v>41</v>
      </c>
      <c r="U55">
        <v>4503</v>
      </c>
      <c r="V55">
        <v>38</v>
      </c>
      <c r="W55">
        <v>16865</v>
      </c>
      <c r="X55">
        <v>433</v>
      </c>
      <c r="Y55">
        <v>6</v>
      </c>
      <c r="Z55">
        <v>5</v>
      </c>
      <c r="AA55">
        <v>2</v>
      </c>
      <c r="AB55">
        <v>96</v>
      </c>
      <c r="AC55">
        <v>25</v>
      </c>
      <c r="AD55">
        <v>22</v>
      </c>
      <c r="AE55">
        <v>13</v>
      </c>
      <c r="AF55">
        <v>40</v>
      </c>
      <c r="AG55">
        <v>138</v>
      </c>
      <c r="AH55">
        <v>2485</v>
      </c>
      <c r="AI55">
        <v>1</v>
      </c>
      <c r="AJ55">
        <v>14992</v>
      </c>
      <c r="AK55">
        <v>112813</v>
      </c>
      <c r="AL55">
        <v>2124</v>
      </c>
      <c r="AM55">
        <v>21580</v>
      </c>
      <c r="AN55">
        <v>11</v>
      </c>
      <c r="AO55">
        <v>154</v>
      </c>
      <c r="AP55">
        <v>11221</v>
      </c>
      <c r="AQ55">
        <v>0</v>
      </c>
      <c r="AR55">
        <v>826</v>
      </c>
      <c r="AS55">
        <v>40</v>
      </c>
      <c r="AT55">
        <v>10444</v>
      </c>
      <c r="AU55">
        <v>2296</v>
      </c>
      <c r="AV55">
        <v>3220</v>
      </c>
      <c r="AW55">
        <v>14822</v>
      </c>
      <c r="AX55" s="88">
        <v>26</v>
      </c>
      <c r="AY55" s="88">
        <v>1</v>
      </c>
      <c r="AZ55" s="88">
        <v>888</v>
      </c>
      <c r="BA55" s="88">
        <v>0</v>
      </c>
      <c r="BB55">
        <v>155</v>
      </c>
      <c r="BC55">
        <v>1136</v>
      </c>
      <c r="BD55">
        <v>0</v>
      </c>
      <c r="BE55">
        <v>0</v>
      </c>
      <c r="BF55">
        <v>8248</v>
      </c>
      <c r="BG55">
        <v>0</v>
      </c>
      <c r="BH55">
        <v>0</v>
      </c>
      <c r="BI55">
        <v>0</v>
      </c>
      <c r="BJ55">
        <v>38</v>
      </c>
      <c r="BK55">
        <v>5300</v>
      </c>
      <c r="BL55">
        <v>0</v>
      </c>
      <c r="BM55">
        <v>112</v>
      </c>
      <c r="BN55">
        <v>0</v>
      </c>
      <c r="BO55">
        <v>136074</v>
      </c>
      <c r="BP55">
        <v>85502</v>
      </c>
      <c r="BQ55">
        <v>2836</v>
      </c>
      <c r="BR55">
        <v>20</v>
      </c>
      <c r="BS55">
        <v>29275</v>
      </c>
      <c r="BT55">
        <v>1827</v>
      </c>
      <c r="BU55">
        <v>0</v>
      </c>
      <c r="BV55">
        <v>0</v>
      </c>
      <c r="BW55">
        <v>3</v>
      </c>
      <c r="BX55">
        <v>16578</v>
      </c>
      <c r="BY55">
        <v>233</v>
      </c>
      <c r="BZ55">
        <v>0</v>
      </c>
      <c r="CA55">
        <v>27447</v>
      </c>
      <c r="CB55">
        <v>15647</v>
      </c>
      <c r="CC55">
        <v>132089</v>
      </c>
      <c r="CD55">
        <v>286501</v>
      </c>
      <c r="CE55">
        <v>39165</v>
      </c>
      <c r="CF55">
        <v>63391</v>
      </c>
      <c r="CG55">
        <v>0</v>
      </c>
      <c r="CH55">
        <v>8</v>
      </c>
      <c r="CI55">
        <v>0</v>
      </c>
      <c r="CJ55">
        <v>96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565</v>
      </c>
      <c r="CR55">
        <v>27</v>
      </c>
      <c r="CY55">
        <v>0</v>
      </c>
      <c r="CZ55">
        <v>0</v>
      </c>
      <c r="DA55">
        <v>0</v>
      </c>
      <c r="DB55">
        <v>13</v>
      </c>
      <c r="DC55">
        <v>0</v>
      </c>
      <c r="DD55">
        <v>24</v>
      </c>
      <c r="DF55" s="2"/>
      <c r="DG55" s="2">
        <f t="shared" si="19"/>
        <v>851553</v>
      </c>
      <c r="DH55" s="2">
        <f t="shared" si="20"/>
        <v>286154</v>
      </c>
      <c r="DI55" s="2">
        <f t="shared" si="34"/>
        <v>1137707</v>
      </c>
      <c r="DK55" s="2">
        <f t="shared" si="21"/>
        <v>72907</v>
      </c>
      <c r="DL55" s="2">
        <f t="shared" si="22"/>
        <v>151030</v>
      </c>
      <c r="DM55" s="2">
        <f t="shared" si="23"/>
        <v>13804</v>
      </c>
      <c r="DN55" s="2">
        <f t="shared" si="24"/>
        <v>47817</v>
      </c>
      <c r="DO55" s="2">
        <f t="shared" si="25"/>
        <v>490278</v>
      </c>
      <c r="DP55" s="2">
        <f t="shared" si="26"/>
        <v>116026</v>
      </c>
      <c r="DQ55" s="2">
        <f t="shared" si="27"/>
        <v>592</v>
      </c>
      <c r="DR55" s="2">
        <f t="shared" si="28"/>
        <v>15660</v>
      </c>
      <c r="DS55" s="2">
        <f t="shared" si="29"/>
        <v>136074</v>
      </c>
      <c r="DT55" s="2">
        <f t="shared" si="30"/>
        <v>13551</v>
      </c>
      <c r="DU55" s="2"/>
      <c r="DV55" s="2"/>
      <c r="DW55" s="2"/>
      <c r="DX55" s="2">
        <f t="shared" si="18"/>
        <v>1057739</v>
      </c>
      <c r="DZ55" s="2">
        <f t="shared" si="31"/>
        <v>635673</v>
      </c>
      <c r="EA55" s="2">
        <f t="shared" si="32"/>
        <v>71583</v>
      </c>
      <c r="EC55" s="2">
        <f t="shared" si="33"/>
        <v>1209290</v>
      </c>
      <c r="ED55" s="2"/>
      <c r="EE55" s="2"/>
    </row>
    <row r="56" spans="1:152" x14ac:dyDescent="0.25">
      <c r="A56" s="132">
        <v>43405</v>
      </c>
      <c r="B56">
        <v>0</v>
      </c>
      <c r="C56">
        <v>0</v>
      </c>
      <c r="D56">
        <v>0</v>
      </c>
      <c r="E56">
        <v>0</v>
      </c>
      <c r="F56">
        <v>1115</v>
      </c>
      <c r="G56">
        <v>18019</v>
      </c>
      <c r="H56">
        <v>47104</v>
      </c>
      <c r="I56">
        <v>923</v>
      </c>
      <c r="J56">
        <v>2327</v>
      </c>
      <c r="K56">
        <v>1263</v>
      </c>
      <c r="L56">
        <v>33016</v>
      </c>
      <c r="M56">
        <v>1410</v>
      </c>
      <c r="N56">
        <v>776</v>
      </c>
      <c r="O56">
        <v>1747</v>
      </c>
      <c r="P56">
        <v>10261</v>
      </c>
      <c r="Q56">
        <v>240</v>
      </c>
      <c r="R56">
        <v>4935</v>
      </c>
      <c r="S56">
        <v>13881</v>
      </c>
      <c r="T56">
        <v>47</v>
      </c>
      <c r="U56">
        <v>4548</v>
      </c>
      <c r="V56">
        <v>38</v>
      </c>
      <c r="W56">
        <v>16837</v>
      </c>
      <c r="X56">
        <v>437</v>
      </c>
      <c r="Y56">
        <v>6</v>
      </c>
      <c r="Z56">
        <v>4</v>
      </c>
      <c r="AA56">
        <v>2</v>
      </c>
      <c r="AB56">
        <v>89</v>
      </c>
      <c r="AC56">
        <v>25</v>
      </c>
      <c r="AD56">
        <v>22</v>
      </c>
      <c r="AE56">
        <v>11</v>
      </c>
      <c r="AF56">
        <v>43</v>
      </c>
      <c r="AG56">
        <v>142</v>
      </c>
      <c r="AH56">
        <v>2490</v>
      </c>
      <c r="AI56">
        <v>1</v>
      </c>
      <c r="AJ56">
        <v>14933</v>
      </c>
      <c r="AK56">
        <v>112985</v>
      </c>
      <c r="AL56">
        <v>2120</v>
      </c>
      <c r="AM56">
        <v>21599</v>
      </c>
      <c r="AN56">
        <v>19</v>
      </c>
      <c r="AO56">
        <v>167</v>
      </c>
      <c r="AP56">
        <v>11324</v>
      </c>
      <c r="AQ56">
        <v>0</v>
      </c>
      <c r="AR56">
        <v>865</v>
      </c>
      <c r="AS56">
        <v>39</v>
      </c>
      <c r="AT56">
        <v>10473</v>
      </c>
      <c r="AU56">
        <v>2311</v>
      </c>
      <c r="AV56">
        <v>3242</v>
      </c>
      <c r="AW56">
        <v>14836</v>
      </c>
      <c r="AX56">
        <v>6</v>
      </c>
      <c r="AY56">
        <v>3</v>
      </c>
      <c r="AZ56">
        <v>880</v>
      </c>
      <c r="BA56">
        <v>0</v>
      </c>
      <c r="BB56">
        <v>153</v>
      </c>
      <c r="BC56">
        <v>1147</v>
      </c>
      <c r="BD56">
        <v>0</v>
      </c>
      <c r="BE56">
        <v>0</v>
      </c>
      <c r="BF56">
        <v>8295</v>
      </c>
      <c r="BG56">
        <v>0</v>
      </c>
      <c r="BH56">
        <v>0</v>
      </c>
      <c r="BI56">
        <v>0</v>
      </c>
      <c r="BJ56">
        <v>37</v>
      </c>
      <c r="BK56">
        <v>5304</v>
      </c>
      <c r="BL56">
        <v>0</v>
      </c>
      <c r="BM56">
        <v>99</v>
      </c>
      <c r="BN56">
        <v>0</v>
      </c>
      <c r="BO56">
        <v>138145</v>
      </c>
      <c r="BP56">
        <v>86162</v>
      </c>
      <c r="BQ56">
        <v>2850</v>
      </c>
      <c r="BR56">
        <v>20</v>
      </c>
      <c r="BS56">
        <v>29298</v>
      </c>
      <c r="BT56">
        <v>1911</v>
      </c>
      <c r="BU56">
        <v>0</v>
      </c>
      <c r="BV56">
        <v>1</v>
      </c>
      <c r="BW56">
        <v>4</v>
      </c>
      <c r="BX56">
        <v>16945</v>
      </c>
      <c r="BY56">
        <v>227</v>
      </c>
      <c r="BZ56">
        <v>0</v>
      </c>
      <c r="CA56">
        <v>27491</v>
      </c>
      <c r="CB56">
        <v>15399</v>
      </c>
      <c r="CC56">
        <v>131908</v>
      </c>
      <c r="CD56">
        <v>287035</v>
      </c>
      <c r="CE56">
        <v>39532</v>
      </c>
      <c r="CF56">
        <v>63746</v>
      </c>
      <c r="CG56">
        <v>0</v>
      </c>
      <c r="CH56">
        <v>9</v>
      </c>
      <c r="CI56">
        <v>0</v>
      </c>
      <c r="CJ56">
        <v>99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810</v>
      </c>
      <c r="CR56">
        <v>26</v>
      </c>
      <c r="CY56">
        <v>0</v>
      </c>
      <c r="CZ56">
        <v>0</v>
      </c>
      <c r="DA56">
        <v>0</v>
      </c>
      <c r="DB56">
        <v>13</v>
      </c>
      <c r="DC56">
        <v>0</v>
      </c>
      <c r="DD56">
        <v>24</v>
      </c>
      <c r="DE56" s="2"/>
      <c r="DF56" s="2"/>
      <c r="DG56" s="2">
        <f>SUM(AX56:AY56,BD56:CJ56)</f>
        <v>854526</v>
      </c>
      <c r="DH56" s="2">
        <f t="shared" si="20"/>
        <v>287011</v>
      </c>
      <c r="DI56" s="2">
        <f t="shared" ref="DI56" si="35">SUM(DG56:DH56)</f>
        <v>1141537</v>
      </c>
      <c r="DK56" s="2">
        <f t="shared" si="21"/>
        <v>73079</v>
      </c>
      <c r="DL56" s="2">
        <f t="shared" si="22"/>
        <v>151245</v>
      </c>
      <c r="DM56" s="2">
        <f t="shared" si="23"/>
        <v>13881</v>
      </c>
      <c r="DN56" s="2">
        <f t="shared" si="24"/>
        <v>47969</v>
      </c>
      <c r="DO56" s="2">
        <f t="shared" si="25"/>
        <v>491117</v>
      </c>
      <c r="DP56" s="2">
        <f>SUM(AY56,BC56:BD56,BG56,BM56,BP56,BS56)</f>
        <v>116709</v>
      </c>
      <c r="DQ56" s="2">
        <f t="shared" si="27"/>
        <v>836</v>
      </c>
      <c r="DR56" s="2">
        <f t="shared" si="28"/>
        <v>15412</v>
      </c>
      <c r="DS56" s="2">
        <f t="shared" si="29"/>
        <v>138145</v>
      </c>
      <c r="DT56" s="2">
        <f t="shared" si="30"/>
        <v>13603</v>
      </c>
      <c r="DU56" s="2"/>
      <c r="DV56" s="2"/>
      <c r="DW56" s="2"/>
      <c r="DX56" s="2">
        <f>SUM(DK56:DT56)</f>
        <v>1061996</v>
      </c>
      <c r="DZ56" s="2">
        <f t="shared" si="31"/>
        <v>636839</v>
      </c>
      <c r="EA56" s="2">
        <f>SUM(F56:K56,N56)</f>
        <v>71527</v>
      </c>
      <c r="EC56" s="2">
        <f t="shared" si="33"/>
        <v>1213064</v>
      </c>
      <c r="EN56" s="124"/>
      <c r="EO56" s="124"/>
      <c r="EV56" s="2"/>
    </row>
    <row r="57" spans="1:152" x14ac:dyDescent="0.25">
      <c r="A57" s="13">
        <v>43435</v>
      </c>
      <c r="B57">
        <v>0</v>
      </c>
      <c r="C57">
        <v>0</v>
      </c>
      <c r="D57">
        <v>0</v>
      </c>
      <c r="E57">
        <v>0</v>
      </c>
      <c r="F57">
        <v>1171</v>
      </c>
      <c r="G57">
        <v>18092</v>
      </c>
      <c r="H57">
        <v>47536</v>
      </c>
      <c r="I57">
        <v>958</v>
      </c>
      <c r="J57">
        <v>2377</v>
      </c>
      <c r="K57">
        <v>1237</v>
      </c>
      <c r="L57">
        <v>33037</v>
      </c>
      <c r="M57">
        <v>1416</v>
      </c>
      <c r="N57">
        <v>795</v>
      </c>
      <c r="O57">
        <v>1771</v>
      </c>
      <c r="P57">
        <v>10267</v>
      </c>
      <c r="Q57">
        <v>250</v>
      </c>
      <c r="R57">
        <v>4923</v>
      </c>
      <c r="S57">
        <v>13880</v>
      </c>
      <c r="T57">
        <v>47</v>
      </c>
      <c r="U57">
        <v>4522</v>
      </c>
      <c r="V57">
        <v>45</v>
      </c>
      <c r="W57">
        <v>16802</v>
      </c>
      <c r="X57">
        <v>439</v>
      </c>
      <c r="Y57">
        <v>6</v>
      </c>
      <c r="Z57">
        <v>4</v>
      </c>
      <c r="AA57">
        <v>3</v>
      </c>
      <c r="AB57">
        <v>89</v>
      </c>
      <c r="AC57">
        <v>25</v>
      </c>
      <c r="AD57">
        <v>24</v>
      </c>
      <c r="AE57">
        <v>12</v>
      </c>
      <c r="AF57">
        <v>42</v>
      </c>
      <c r="AG57">
        <v>120</v>
      </c>
      <c r="AH57">
        <v>2477</v>
      </c>
      <c r="AI57">
        <v>1</v>
      </c>
      <c r="AJ57">
        <v>14844</v>
      </c>
      <c r="AK57">
        <v>113001</v>
      </c>
      <c r="AL57">
        <v>2103</v>
      </c>
      <c r="AM57">
        <v>21693</v>
      </c>
      <c r="AN57">
        <v>23</v>
      </c>
      <c r="AO57">
        <v>177</v>
      </c>
      <c r="AP57">
        <v>11403</v>
      </c>
      <c r="AQ57">
        <v>0</v>
      </c>
      <c r="AR57">
        <v>872</v>
      </c>
      <c r="AS57">
        <v>36</v>
      </c>
      <c r="AT57">
        <v>10446</v>
      </c>
      <c r="AU57">
        <v>2327</v>
      </c>
      <c r="AV57">
        <v>3248</v>
      </c>
      <c r="AW57">
        <v>14833</v>
      </c>
      <c r="AX57" s="88">
        <v>34</v>
      </c>
      <c r="AY57" s="88">
        <v>6</v>
      </c>
      <c r="AZ57" s="88">
        <v>878</v>
      </c>
      <c r="BA57" s="88">
        <v>0</v>
      </c>
      <c r="BB57">
        <v>139</v>
      </c>
      <c r="BC57">
        <v>1149</v>
      </c>
      <c r="BD57">
        <v>0</v>
      </c>
      <c r="BE57">
        <v>0</v>
      </c>
      <c r="BF57">
        <v>8340</v>
      </c>
      <c r="BG57">
        <v>0</v>
      </c>
      <c r="BH57">
        <v>0</v>
      </c>
      <c r="BI57">
        <v>0</v>
      </c>
      <c r="BJ57">
        <v>37</v>
      </c>
      <c r="BK57">
        <v>5284</v>
      </c>
      <c r="BL57">
        <v>0</v>
      </c>
      <c r="BM57">
        <v>104</v>
      </c>
      <c r="BN57">
        <v>0</v>
      </c>
      <c r="BO57">
        <v>141391</v>
      </c>
      <c r="BP57">
        <v>86657</v>
      </c>
      <c r="BQ57">
        <v>2924</v>
      </c>
      <c r="BR57">
        <v>21</v>
      </c>
      <c r="BS57">
        <v>29258</v>
      </c>
      <c r="BT57">
        <v>1931</v>
      </c>
      <c r="BU57">
        <v>0</v>
      </c>
      <c r="BV57">
        <v>0</v>
      </c>
      <c r="BW57">
        <v>3</v>
      </c>
      <c r="BX57">
        <v>17085</v>
      </c>
      <c r="BY57">
        <v>240</v>
      </c>
      <c r="BZ57">
        <v>0</v>
      </c>
      <c r="CA57">
        <v>27618</v>
      </c>
      <c r="CB57">
        <v>15185</v>
      </c>
      <c r="CC57">
        <v>131407</v>
      </c>
      <c r="CD57">
        <v>287186</v>
      </c>
      <c r="CE57">
        <v>39842</v>
      </c>
      <c r="CF57">
        <v>64008</v>
      </c>
      <c r="CG57">
        <v>0</v>
      </c>
      <c r="CH57">
        <v>11</v>
      </c>
      <c r="CI57">
        <v>0</v>
      </c>
      <c r="CJ57">
        <v>96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891</v>
      </c>
      <c r="CR57">
        <v>23</v>
      </c>
      <c r="CY57">
        <v>0</v>
      </c>
      <c r="CZ57">
        <v>0</v>
      </c>
      <c r="DA57">
        <v>0</v>
      </c>
      <c r="DB57">
        <v>13</v>
      </c>
      <c r="DC57">
        <v>0</v>
      </c>
      <c r="DD57">
        <v>24</v>
      </c>
      <c r="DF57" s="2"/>
      <c r="DG57" s="2">
        <f t="shared" ref="DG57:DG88" si="36">SUM(AX57:AY57,BC57:CP57,CU57:CX57)</f>
        <v>859817</v>
      </c>
      <c r="DH57" s="2">
        <f t="shared" si="20"/>
        <v>287139</v>
      </c>
      <c r="DI57" s="2">
        <f t="shared" ref="DI57:DI62" si="37">SUM(DG57:DH57)</f>
        <v>1146956</v>
      </c>
      <c r="DK57" s="2">
        <f t="shared" si="21"/>
        <v>73080</v>
      </c>
      <c r="DL57" s="2">
        <f t="shared" si="22"/>
        <v>151113</v>
      </c>
      <c r="DM57" s="2">
        <f t="shared" si="23"/>
        <v>13880</v>
      </c>
      <c r="DN57" s="2">
        <f t="shared" si="24"/>
        <v>48148</v>
      </c>
      <c r="DO57" s="2">
        <f t="shared" si="25"/>
        <v>491336</v>
      </c>
      <c r="DP57" s="2">
        <f t="shared" ref="DP57:DP100" si="38">SUM(AY57,BC57:BD57,BG57,BM57,BP57,BS57,CW57:CX57)</f>
        <v>117174</v>
      </c>
      <c r="DQ57" s="2">
        <f t="shared" si="27"/>
        <v>914</v>
      </c>
      <c r="DR57" s="2">
        <f t="shared" si="28"/>
        <v>15200</v>
      </c>
      <c r="DS57" s="2">
        <f t="shared" si="29"/>
        <v>141391</v>
      </c>
      <c r="DT57" s="2">
        <f t="shared" si="30"/>
        <v>13627</v>
      </c>
      <c r="DU57" s="2"/>
      <c r="DV57" s="2"/>
      <c r="DW57" s="2"/>
      <c r="DX57" s="2">
        <f t="shared" si="18"/>
        <v>1065863</v>
      </c>
      <c r="DZ57" s="2">
        <f t="shared" si="31"/>
        <v>637934</v>
      </c>
      <c r="EA57" s="2">
        <f t="shared" ref="EA57:EA88" si="39">SUM(F57:K57,N57,CS57:CT57)</f>
        <v>72166</v>
      </c>
      <c r="EC57" s="2">
        <f t="shared" si="33"/>
        <v>1219122</v>
      </c>
    </row>
    <row r="58" spans="1:152" x14ac:dyDescent="0.25">
      <c r="A58" s="13">
        <v>43466</v>
      </c>
      <c r="B58">
        <v>0</v>
      </c>
      <c r="C58">
        <v>0</v>
      </c>
      <c r="D58">
        <v>0</v>
      </c>
      <c r="E58">
        <v>0</v>
      </c>
      <c r="F58">
        <v>1267</v>
      </c>
      <c r="G58">
        <v>18438</v>
      </c>
      <c r="H58">
        <v>48573</v>
      </c>
      <c r="I58">
        <v>992</v>
      </c>
      <c r="J58">
        <v>2415</v>
      </c>
      <c r="K58">
        <v>1239</v>
      </c>
      <c r="L58">
        <v>33514</v>
      </c>
      <c r="M58">
        <v>1444</v>
      </c>
      <c r="N58">
        <v>800</v>
      </c>
      <c r="O58">
        <v>1718</v>
      </c>
      <c r="P58">
        <v>10866</v>
      </c>
      <c r="Q58">
        <v>262</v>
      </c>
      <c r="R58">
        <v>5328</v>
      </c>
      <c r="S58">
        <v>13835</v>
      </c>
      <c r="T58">
        <v>46</v>
      </c>
      <c r="U58">
        <v>4509</v>
      </c>
      <c r="V58">
        <v>43</v>
      </c>
      <c r="W58">
        <v>15792</v>
      </c>
      <c r="X58">
        <v>430</v>
      </c>
      <c r="Y58">
        <v>5</v>
      </c>
      <c r="Z58">
        <v>1</v>
      </c>
      <c r="AA58">
        <v>1</v>
      </c>
      <c r="AB58">
        <v>80</v>
      </c>
      <c r="AC58">
        <v>29</v>
      </c>
      <c r="AD58">
        <v>24</v>
      </c>
      <c r="AE58">
        <v>15</v>
      </c>
      <c r="AF58">
        <v>40</v>
      </c>
      <c r="AG58">
        <v>119</v>
      </c>
      <c r="AH58">
        <v>2468</v>
      </c>
      <c r="AI58">
        <v>1</v>
      </c>
      <c r="AJ58">
        <v>13734</v>
      </c>
      <c r="AK58">
        <v>112275</v>
      </c>
      <c r="AL58">
        <v>2049</v>
      </c>
      <c r="AM58">
        <v>21516</v>
      </c>
      <c r="AN58">
        <v>22</v>
      </c>
      <c r="AO58">
        <v>195</v>
      </c>
      <c r="AP58">
        <v>11151</v>
      </c>
      <c r="AQ58">
        <v>0</v>
      </c>
      <c r="AR58">
        <v>708</v>
      </c>
      <c r="AS58">
        <v>37</v>
      </c>
      <c r="AT58">
        <v>10747</v>
      </c>
      <c r="AU58">
        <v>2308</v>
      </c>
      <c r="AV58">
        <v>3230</v>
      </c>
      <c r="AW58">
        <v>14820</v>
      </c>
      <c r="AX58" s="88">
        <v>25</v>
      </c>
      <c r="AY58" s="88">
        <v>2</v>
      </c>
      <c r="AZ58" s="88">
        <v>859</v>
      </c>
      <c r="BA58" s="88">
        <v>0</v>
      </c>
      <c r="BB58">
        <v>141</v>
      </c>
      <c r="BC58">
        <v>1176</v>
      </c>
      <c r="BD58">
        <v>0</v>
      </c>
      <c r="BE58">
        <v>0</v>
      </c>
      <c r="BF58">
        <v>8338</v>
      </c>
      <c r="BG58">
        <v>0</v>
      </c>
      <c r="BH58">
        <v>0</v>
      </c>
      <c r="BI58">
        <v>0</v>
      </c>
      <c r="BJ58">
        <v>36</v>
      </c>
      <c r="BK58">
        <v>5240</v>
      </c>
      <c r="BL58">
        <v>0</v>
      </c>
      <c r="BM58">
        <v>68</v>
      </c>
      <c r="BN58">
        <v>0</v>
      </c>
      <c r="BO58">
        <v>41371</v>
      </c>
      <c r="BP58">
        <v>82978</v>
      </c>
      <c r="BQ58">
        <v>3099</v>
      </c>
      <c r="BR58">
        <v>20</v>
      </c>
      <c r="BS58">
        <v>27922</v>
      </c>
      <c r="BT58">
        <v>2006</v>
      </c>
      <c r="BU58">
        <v>0</v>
      </c>
      <c r="BV58">
        <v>0</v>
      </c>
      <c r="BW58">
        <v>3</v>
      </c>
      <c r="BX58">
        <v>102</v>
      </c>
      <c r="BY58">
        <v>235</v>
      </c>
      <c r="BZ58">
        <v>0</v>
      </c>
      <c r="CA58">
        <v>28286</v>
      </c>
      <c r="CB58">
        <v>14773</v>
      </c>
      <c r="CC58">
        <v>131025</v>
      </c>
      <c r="CD58">
        <v>287847</v>
      </c>
      <c r="CE58">
        <v>39675</v>
      </c>
      <c r="CF58">
        <v>65088</v>
      </c>
      <c r="CG58">
        <v>0</v>
      </c>
      <c r="CH58">
        <v>10</v>
      </c>
      <c r="CI58">
        <v>0</v>
      </c>
      <c r="CJ58">
        <v>92</v>
      </c>
      <c r="CK58">
        <v>44461</v>
      </c>
      <c r="CL58">
        <v>30749</v>
      </c>
      <c r="CM58">
        <v>96647</v>
      </c>
      <c r="CN58">
        <v>25888</v>
      </c>
      <c r="CO58">
        <v>0</v>
      </c>
      <c r="CP58">
        <v>908</v>
      </c>
      <c r="CQ58">
        <v>908</v>
      </c>
      <c r="CR58">
        <v>23</v>
      </c>
      <c r="CY58">
        <v>0</v>
      </c>
      <c r="CZ58">
        <v>0</v>
      </c>
      <c r="DA58">
        <v>0</v>
      </c>
      <c r="DB58">
        <v>13</v>
      </c>
      <c r="DC58">
        <v>0</v>
      </c>
      <c r="DD58">
        <v>24</v>
      </c>
      <c r="DF58" s="2"/>
      <c r="DG58" s="2">
        <f t="shared" si="36"/>
        <v>938070</v>
      </c>
      <c r="DH58" s="2">
        <f t="shared" si="20"/>
        <v>285294</v>
      </c>
      <c r="DI58" s="2">
        <f t="shared" si="37"/>
        <v>1223364</v>
      </c>
      <c r="DK58" s="2">
        <f t="shared" si="21"/>
        <v>73522</v>
      </c>
      <c r="DL58" s="2">
        <f t="shared" si="22"/>
        <v>149282</v>
      </c>
      <c r="DM58" s="2">
        <f t="shared" si="23"/>
        <v>13835</v>
      </c>
      <c r="DN58" s="2">
        <f t="shared" si="24"/>
        <v>47722</v>
      </c>
      <c r="DO58" s="2">
        <f t="shared" si="25"/>
        <v>492346</v>
      </c>
      <c r="DP58" s="2">
        <f t="shared" si="38"/>
        <v>112146</v>
      </c>
      <c r="DQ58" s="2">
        <f t="shared" si="27"/>
        <v>931</v>
      </c>
      <c r="DR58" s="2">
        <f t="shared" si="28"/>
        <v>14784</v>
      </c>
      <c r="DS58" s="2">
        <f t="shared" si="29"/>
        <v>41371</v>
      </c>
      <c r="DT58" s="2">
        <f t="shared" si="30"/>
        <v>13581</v>
      </c>
      <c r="DU58" s="2">
        <f t="shared" ref="DU58:DU89" si="40">SUM(CK58:CL58)</f>
        <v>75210</v>
      </c>
      <c r="DV58" s="2">
        <f t="shared" ref="DV58:DV89" si="41">SUM(CM58:CO58)</f>
        <v>122535</v>
      </c>
      <c r="DW58" s="2"/>
      <c r="DX58" s="2">
        <f t="shared" ref="DX58:DX100" si="42">SUM(DK58:DV58)</f>
        <v>1157265</v>
      </c>
      <c r="DZ58" s="2">
        <f t="shared" si="31"/>
        <v>641433</v>
      </c>
      <c r="EA58" s="2">
        <f t="shared" si="39"/>
        <v>73724</v>
      </c>
      <c r="EC58" s="2">
        <f t="shared" si="33"/>
        <v>1297088</v>
      </c>
    </row>
    <row r="59" spans="1:152" x14ac:dyDescent="0.25">
      <c r="A59" s="13">
        <v>43497</v>
      </c>
      <c r="B59">
        <v>0</v>
      </c>
      <c r="C59">
        <v>0</v>
      </c>
      <c r="D59">
        <v>0</v>
      </c>
      <c r="E59">
        <v>0</v>
      </c>
      <c r="F59">
        <v>1305</v>
      </c>
      <c r="G59">
        <v>18355</v>
      </c>
      <c r="H59">
        <v>48665</v>
      </c>
      <c r="I59">
        <v>973</v>
      </c>
      <c r="J59">
        <v>2390</v>
      </c>
      <c r="K59">
        <v>1314</v>
      </c>
      <c r="L59">
        <v>33520</v>
      </c>
      <c r="M59">
        <v>1424</v>
      </c>
      <c r="N59">
        <v>805</v>
      </c>
      <c r="O59">
        <v>1720</v>
      </c>
      <c r="P59">
        <v>10976</v>
      </c>
      <c r="Q59">
        <v>264</v>
      </c>
      <c r="R59">
        <v>5914</v>
      </c>
      <c r="S59">
        <v>13962</v>
      </c>
      <c r="T59">
        <v>48</v>
      </c>
      <c r="U59">
        <v>4532</v>
      </c>
      <c r="V59">
        <v>42</v>
      </c>
      <c r="W59">
        <v>15260</v>
      </c>
      <c r="X59">
        <v>438</v>
      </c>
      <c r="Y59">
        <v>5</v>
      </c>
      <c r="Z59">
        <v>6</v>
      </c>
      <c r="AA59">
        <v>1</v>
      </c>
      <c r="AB59">
        <v>74</v>
      </c>
      <c r="AC59">
        <v>27</v>
      </c>
      <c r="AD59">
        <v>24</v>
      </c>
      <c r="AE59">
        <v>16</v>
      </c>
      <c r="AF59">
        <v>45</v>
      </c>
      <c r="AG59">
        <v>124</v>
      </c>
      <c r="AH59">
        <v>2465</v>
      </c>
      <c r="AI59">
        <v>1</v>
      </c>
      <c r="AJ59">
        <v>13011</v>
      </c>
      <c r="AK59">
        <v>112548</v>
      </c>
      <c r="AL59">
        <v>2059</v>
      </c>
      <c r="AM59">
        <v>21642</v>
      </c>
      <c r="AN59">
        <v>22</v>
      </c>
      <c r="AO59">
        <v>91</v>
      </c>
      <c r="AP59">
        <v>11352</v>
      </c>
      <c r="AQ59">
        <v>0</v>
      </c>
      <c r="AR59">
        <v>659</v>
      </c>
      <c r="AS59">
        <v>37</v>
      </c>
      <c r="AT59">
        <v>10902</v>
      </c>
      <c r="AU59">
        <v>2328</v>
      </c>
      <c r="AV59">
        <v>3408</v>
      </c>
      <c r="AW59">
        <v>14964</v>
      </c>
      <c r="AX59" s="88">
        <v>63</v>
      </c>
      <c r="AY59" s="88">
        <v>10</v>
      </c>
      <c r="AZ59" s="88">
        <v>873</v>
      </c>
      <c r="BA59" s="88">
        <v>0</v>
      </c>
      <c r="BB59">
        <v>163</v>
      </c>
      <c r="BC59">
        <v>1205</v>
      </c>
      <c r="BD59">
        <v>0</v>
      </c>
      <c r="BE59">
        <v>0</v>
      </c>
      <c r="BF59">
        <v>8349</v>
      </c>
      <c r="BG59">
        <v>0</v>
      </c>
      <c r="BH59">
        <v>0</v>
      </c>
      <c r="BI59">
        <v>0</v>
      </c>
      <c r="BJ59">
        <v>35</v>
      </c>
      <c r="BK59">
        <v>5221</v>
      </c>
      <c r="BL59">
        <v>0</v>
      </c>
      <c r="BM59">
        <v>44</v>
      </c>
      <c r="BN59">
        <v>0</v>
      </c>
      <c r="BO59">
        <v>41375</v>
      </c>
      <c r="BP59">
        <v>81873</v>
      </c>
      <c r="BQ59">
        <v>3205</v>
      </c>
      <c r="BR59">
        <v>21</v>
      </c>
      <c r="BS59">
        <v>27306</v>
      </c>
      <c r="BT59">
        <v>2065</v>
      </c>
      <c r="BU59">
        <v>0</v>
      </c>
      <c r="BV59">
        <v>0</v>
      </c>
      <c r="BW59">
        <v>3</v>
      </c>
      <c r="BX59">
        <v>104</v>
      </c>
      <c r="BY59">
        <v>245</v>
      </c>
      <c r="BZ59">
        <v>0</v>
      </c>
      <c r="CA59">
        <v>28602</v>
      </c>
      <c r="CB59">
        <v>14791</v>
      </c>
      <c r="CC59">
        <v>130888</v>
      </c>
      <c r="CD59">
        <v>289071</v>
      </c>
      <c r="CE59">
        <v>40289</v>
      </c>
      <c r="CF59">
        <v>65522</v>
      </c>
      <c r="CG59">
        <v>0</v>
      </c>
      <c r="CH59">
        <v>7</v>
      </c>
      <c r="CI59">
        <v>0</v>
      </c>
      <c r="CJ59">
        <v>96</v>
      </c>
      <c r="CK59">
        <v>48828</v>
      </c>
      <c r="CL59">
        <v>33798</v>
      </c>
      <c r="CM59">
        <v>108058</v>
      </c>
      <c r="CN59">
        <v>27966</v>
      </c>
      <c r="CO59">
        <v>579</v>
      </c>
      <c r="CP59">
        <v>1351</v>
      </c>
      <c r="CQ59">
        <v>942</v>
      </c>
      <c r="CR59">
        <v>24</v>
      </c>
      <c r="CY59">
        <v>0</v>
      </c>
      <c r="CZ59">
        <v>0</v>
      </c>
      <c r="DA59">
        <v>0</v>
      </c>
      <c r="DB59">
        <v>13</v>
      </c>
      <c r="DC59">
        <v>0</v>
      </c>
      <c r="DD59">
        <v>24</v>
      </c>
      <c r="DF59" s="2"/>
      <c r="DG59" s="2">
        <f t="shared" si="36"/>
        <v>960970</v>
      </c>
      <c r="DH59" s="2">
        <f t="shared" si="20"/>
        <v>285913</v>
      </c>
      <c r="DI59" s="2">
        <f t="shared" si="37"/>
        <v>1246883</v>
      </c>
      <c r="DK59" s="2">
        <f t="shared" si="21"/>
        <v>73700</v>
      </c>
      <c r="DL59" s="2">
        <f t="shared" si="22"/>
        <v>149185</v>
      </c>
      <c r="DM59" s="2">
        <f t="shared" si="23"/>
        <v>13962</v>
      </c>
      <c r="DN59" s="2">
        <f t="shared" si="24"/>
        <v>48094</v>
      </c>
      <c r="DO59" s="2">
        <f t="shared" si="25"/>
        <v>494580</v>
      </c>
      <c r="DP59" s="2">
        <f t="shared" si="38"/>
        <v>110438</v>
      </c>
      <c r="DQ59" s="2">
        <f t="shared" si="27"/>
        <v>966</v>
      </c>
      <c r="DR59" s="2">
        <f t="shared" si="28"/>
        <v>14804</v>
      </c>
      <c r="DS59" s="2">
        <f t="shared" si="29"/>
        <v>41375</v>
      </c>
      <c r="DT59" s="2">
        <f t="shared" si="30"/>
        <v>13573</v>
      </c>
      <c r="DU59" s="2">
        <f t="shared" si="40"/>
        <v>82626</v>
      </c>
      <c r="DV59" s="2">
        <f t="shared" si="41"/>
        <v>136603</v>
      </c>
      <c r="DW59" s="2"/>
      <c r="DX59" s="2">
        <f t="shared" si="42"/>
        <v>1179906</v>
      </c>
      <c r="DZ59" s="2">
        <f t="shared" si="31"/>
        <v>644058</v>
      </c>
      <c r="EA59" s="2">
        <f t="shared" si="39"/>
        <v>73807</v>
      </c>
      <c r="EC59" s="2">
        <f t="shared" si="33"/>
        <v>1320690</v>
      </c>
    </row>
    <row r="60" spans="1:152" x14ac:dyDescent="0.25">
      <c r="A60" s="13">
        <v>43525</v>
      </c>
      <c r="B60">
        <v>0</v>
      </c>
      <c r="C60">
        <v>0</v>
      </c>
      <c r="D60">
        <v>0</v>
      </c>
      <c r="E60">
        <v>0</v>
      </c>
      <c r="F60">
        <v>1269</v>
      </c>
      <c r="G60">
        <v>18250</v>
      </c>
      <c r="H60">
        <v>48232</v>
      </c>
      <c r="I60">
        <v>985</v>
      </c>
      <c r="J60">
        <v>2400</v>
      </c>
      <c r="K60">
        <v>1304</v>
      </c>
      <c r="L60">
        <v>33478</v>
      </c>
      <c r="M60">
        <v>1415</v>
      </c>
      <c r="N60">
        <v>813</v>
      </c>
      <c r="O60">
        <v>1714</v>
      </c>
      <c r="P60">
        <v>11000</v>
      </c>
      <c r="Q60">
        <v>265</v>
      </c>
      <c r="R60">
        <v>6441</v>
      </c>
      <c r="S60">
        <v>13981</v>
      </c>
      <c r="T60">
        <v>47</v>
      </c>
      <c r="U60">
        <v>4511</v>
      </c>
      <c r="V60">
        <v>49</v>
      </c>
      <c r="W60">
        <v>14832</v>
      </c>
      <c r="X60">
        <v>443</v>
      </c>
      <c r="Y60">
        <v>5</v>
      </c>
      <c r="Z60">
        <v>4</v>
      </c>
      <c r="AA60">
        <v>2</v>
      </c>
      <c r="AB60">
        <v>73</v>
      </c>
      <c r="AC60">
        <v>25</v>
      </c>
      <c r="AD60">
        <v>23</v>
      </c>
      <c r="AE60">
        <v>17</v>
      </c>
      <c r="AF60">
        <v>45</v>
      </c>
      <c r="AG60">
        <v>124</v>
      </c>
      <c r="AH60">
        <v>2447</v>
      </c>
      <c r="AI60">
        <v>1</v>
      </c>
      <c r="AJ60">
        <v>12386</v>
      </c>
      <c r="AK60">
        <v>112516</v>
      </c>
      <c r="AL60">
        <v>2059</v>
      </c>
      <c r="AM60">
        <v>21718</v>
      </c>
      <c r="AN60">
        <v>22</v>
      </c>
      <c r="AO60">
        <v>101</v>
      </c>
      <c r="AP60">
        <v>11488</v>
      </c>
      <c r="AQ60">
        <v>0</v>
      </c>
      <c r="AR60">
        <v>611</v>
      </c>
      <c r="AS60">
        <v>39</v>
      </c>
      <c r="AT60">
        <v>10954</v>
      </c>
      <c r="AU60">
        <v>2349</v>
      </c>
      <c r="AV60">
        <v>3604</v>
      </c>
      <c r="AW60">
        <v>14978</v>
      </c>
      <c r="AX60" s="88">
        <v>70</v>
      </c>
      <c r="AY60" s="88">
        <v>12</v>
      </c>
      <c r="AZ60" s="88">
        <v>863</v>
      </c>
      <c r="BA60" s="88">
        <v>0</v>
      </c>
      <c r="BB60">
        <v>174</v>
      </c>
      <c r="BC60">
        <v>1227</v>
      </c>
      <c r="BD60">
        <v>0</v>
      </c>
      <c r="BE60">
        <v>0</v>
      </c>
      <c r="BF60">
        <v>8361</v>
      </c>
      <c r="BG60">
        <v>0</v>
      </c>
      <c r="BH60">
        <v>0</v>
      </c>
      <c r="BI60">
        <v>0</v>
      </c>
      <c r="BJ60">
        <v>36</v>
      </c>
      <c r="BK60">
        <v>5208</v>
      </c>
      <c r="BL60">
        <v>0</v>
      </c>
      <c r="BM60">
        <v>39</v>
      </c>
      <c r="BN60">
        <v>0</v>
      </c>
      <c r="BO60">
        <v>40996</v>
      </c>
      <c r="BP60">
        <v>80583</v>
      </c>
      <c r="BQ60">
        <v>3188</v>
      </c>
      <c r="BR60">
        <v>21</v>
      </c>
      <c r="BS60">
        <v>26662</v>
      </c>
      <c r="BT60">
        <v>2089</v>
      </c>
      <c r="BU60">
        <v>3</v>
      </c>
      <c r="BV60">
        <v>0</v>
      </c>
      <c r="BW60">
        <v>3</v>
      </c>
      <c r="BX60">
        <v>93</v>
      </c>
      <c r="BY60">
        <v>253</v>
      </c>
      <c r="BZ60">
        <v>0</v>
      </c>
      <c r="CA60">
        <v>28457</v>
      </c>
      <c r="CB60">
        <v>14452</v>
      </c>
      <c r="CC60">
        <v>130896</v>
      </c>
      <c r="CD60">
        <v>289301</v>
      </c>
      <c r="CE60">
        <v>40089</v>
      </c>
      <c r="CF60">
        <v>65369</v>
      </c>
      <c r="CG60">
        <v>0</v>
      </c>
      <c r="CH60">
        <v>5</v>
      </c>
      <c r="CI60">
        <v>0</v>
      </c>
      <c r="CJ60">
        <v>91</v>
      </c>
      <c r="CK60">
        <v>51849</v>
      </c>
      <c r="CL60">
        <v>35446</v>
      </c>
      <c r="CM60">
        <v>118036</v>
      </c>
      <c r="CN60">
        <v>29408</v>
      </c>
      <c r="CO60">
        <v>616</v>
      </c>
      <c r="CP60">
        <v>1810</v>
      </c>
      <c r="CQ60">
        <v>981</v>
      </c>
      <c r="CR60">
        <v>24</v>
      </c>
      <c r="CY60">
        <v>0</v>
      </c>
      <c r="CZ60">
        <v>0</v>
      </c>
      <c r="DA60">
        <v>0</v>
      </c>
      <c r="DB60">
        <v>13</v>
      </c>
      <c r="DC60">
        <v>0</v>
      </c>
      <c r="DD60">
        <v>23</v>
      </c>
      <c r="DF60" s="2"/>
      <c r="DG60" s="2">
        <f t="shared" si="36"/>
        <v>974669</v>
      </c>
      <c r="DH60" s="2">
        <f t="shared" si="20"/>
        <v>285811</v>
      </c>
      <c r="DI60" s="2">
        <f t="shared" si="37"/>
        <v>1260480</v>
      </c>
      <c r="DK60" s="2">
        <f t="shared" si="21"/>
        <v>73752</v>
      </c>
      <c r="DL60" s="2">
        <f t="shared" si="22"/>
        <v>148737</v>
      </c>
      <c r="DM60" s="2">
        <f t="shared" si="23"/>
        <v>13981</v>
      </c>
      <c r="DN60" s="2">
        <f t="shared" si="24"/>
        <v>48330</v>
      </c>
      <c r="DO60" s="2">
        <f t="shared" si="25"/>
        <v>494491</v>
      </c>
      <c r="DP60" s="2">
        <f t="shared" si="38"/>
        <v>108523</v>
      </c>
      <c r="DQ60" s="2">
        <f t="shared" si="27"/>
        <v>1005</v>
      </c>
      <c r="DR60" s="2">
        <f t="shared" si="28"/>
        <v>14461</v>
      </c>
      <c r="DS60" s="2">
        <f t="shared" si="29"/>
        <v>40999</v>
      </c>
      <c r="DT60" s="2">
        <f t="shared" si="30"/>
        <v>13572</v>
      </c>
      <c r="DU60" s="2">
        <f t="shared" si="40"/>
        <v>87295</v>
      </c>
      <c r="DV60" s="2">
        <f t="shared" si="41"/>
        <v>148060</v>
      </c>
      <c r="DW60" s="2"/>
      <c r="DX60" s="2">
        <f t="shared" si="42"/>
        <v>1193206</v>
      </c>
      <c r="DZ60" s="2">
        <f t="shared" si="31"/>
        <v>643299</v>
      </c>
      <c r="EA60" s="2">
        <f t="shared" si="39"/>
        <v>73253</v>
      </c>
      <c r="EC60" s="2">
        <f t="shared" si="33"/>
        <v>1333733</v>
      </c>
    </row>
    <row r="61" spans="1:152" x14ac:dyDescent="0.25">
      <c r="A61" s="13">
        <v>43556</v>
      </c>
      <c r="B61">
        <v>0</v>
      </c>
      <c r="C61">
        <v>0</v>
      </c>
      <c r="D61">
        <v>0</v>
      </c>
      <c r="E61">
        <v>0</v>
      </c>
      <c r="F61">
        <v>1278</v>
      </c>
      <c r="G61">
        <v>18172</v>
      </c>
      <c r="H61">
        <v>48051</v>
      </c>
      <c r="I61">
        <v>965</v>
      </c>
      <c r="J61">
        <v>2357</v>
      </c>
      <c r="K61">
        <v>1310</v>
      </c>
      <c r="L61">
        <v>33474</v>
      </c>
      <c r="M61">
        <v>1392</v>
      </c>
      <c r="N61">
        <v>794</v>
      </c>
      <c r="O61">
        <v>1742</v>
      </c>
      <c r="P61">
        <v>11027</v>
      </c>
      <c r="Q61">
        <v>265</v>
      </c>
      <c r="R61">
        <v>6969</v>
      </c>
      <c r="S61">
        <v>14094</v>
      </c>
      <c r="T61">
        <v>56</v>
      </c>
      <c r="U61">
        <v>4573</v>
      </c>
      <c r="V61">
        <v>43</v>
      </c>
      <c r="W61">
        <v>14626</v>
      </c>
      <c r="X61">
        <v>445</v>
      </c>
      <c r="Y61">
        <v>4</v>
      </c>
      <c r="Z61">
        <v>8</v>
      </c>
      <c r="AA61">
        <v>1</v>
      </c>
      <c r="AB61">
        <v>74</v>
      </c>
      <c r="AC61">
        <v>28</v>
      </c>
      <c r="AD61">
        <v>23</v>
      </c>
      <c r="AE61">
        <v>17</v>
      </c>
      <c r="AF61">
        <v>44</v>
      </c>
      <c r="AG61">
        <v>119</v>
      </c>
      <c r="AH61">
        <v>2468</v>
      </c>
      <c r="AI61">
        <v>1</v>
      </c>
      <c r="AJ61">
        <v>11868</v>
      </c>
      <c r="AK61">
        <v>112636</v>
      </c>
      <c r="AL61">
        <v>2067</v>
      </c>
      <c r="AM61">
        <v>21862</v>
      </c>
      <c r="AN61">
        <v>21</v>
      </c>
      <c r="AO61">
        <v>123</v>
      </c>
      <c r="AP61">
        <v>11697</v>
      </c>
      <c r="AQ61">
        <v>0</v>
      </c>
      <c r="AR61">
        <v>550</v>
      </c>
      <c r="AS61">
        <v>39</v>
      </c>
      <c r="AT61">
        <v>11027</v>
      </c>
      <c r="AU61">
        <v>2339</v>
      </c>
      <c r="AV61">
        <v>3799</v>
      </c>
      <c r="AW61">
        <v>15052</v>
      </c>
      <c r="AX61" s="88">
        <v>61</v>
      </c>
      <c r="AY61" s="88">
        <v>8</v>
      </c>
      <c r="AZ61" s="88">
        <v>857</v>
      </c>
      <c r="BA61" s="88">
        <v>0</v>
      </c>
      <c r="BB61">
        <v>175</v>
      </c>
      <c r="BC61">
        <v>1237</v>
      </c>
      <c r="BD61">
        <v>0</v>
      </c>
      <c r="BE61">
        <v>0</v>
      </c>
      <c r="BF61">
        <v>8393</v>
      </c>
      <c r="BG61">
        <v>0</v>
      </c>
      <c r="BH61">
        <v>0</v>
      </c>
      <c r="BI61">
        <v>0</v>
      </c>
      <c r="BJ61">
        <v>36</v>
      </c>
      <c r="BK61">
        <v>5223</v>
      </c>
      <c r="BL61">
        <v>0</v>
      </c>
      <c r="BM61">
        <v>27</v>
      </c>
      <c r="BN61">
        <v>0</v>
      </c>
      <c r="BO61">
        <v>40909</v>
      </c>
      <c r="BP61">
        <v>80065</v>
      </c>
      <c r="BQ61">
        <v>3256</v>
      </c>
      <c r="BR61">
        <v>21</v>
      </c>
      <c r="BS61">
        <v>26428</v>
      </c>
      <c r="BT61">
        <v>2041</v>
      </c>
      <c r="BU61">
        <v>0</v>
      </c>
      <c r="BV61">
        <v>0</v>
      </c>
      <c r="BW61">
        <v>3</v>
      </c>
      <c r="BX61">
        <v>8</v>
      </c>
      <c r="BY61">
        <v>247</v>
      </c>
      <c r="BZ61">
        <v>0</v>
      </c>
      <c r="CA61">
        <v>28538</v>
      </c>
      <c r="CB61">
        <v>14283</v>
      </c>
      <c r="CC61">
        <v>131298</v>
      </c>
      <c r="CD61">
        <v>290609</v>
      </c>
      <c r="CE61">
        <v>40279</v>
      </c>
      <c r="CF61">
        <v>65666</v>
      </c>
      <c r="CG61">
        <v>0</v>
      </c>
      <c r="CH61">
        <v>4</v>
      </c>
      <c r="CI61">
        <v>0</v>
      </c>
      <c r="CJ61">
        <v>89</v>
      </c>
      <c r="CK61">
        <v>54504</v>
      </c>
      <c r="CL61">
        <v>37057</v>
      </c>
      <c r="CM61">
        <v>130112</v>
      </c>
      <c r="CN61">
        <v>31042</v>
      </c>
      <c r="CO61">
        <v>675</v>
      </c>
      <c r="CP61">
        <v>2202</v>
      </c>
      <c r="CQ61">
        <v>997</v>
      </c>
      <c r="CR61">
        <v>26</v>
      </c>
      <c r="CY61">
        <v>0</v>
      </c>
      <c r="CZ61">
        <v>0</v>
      </c>
      <c r="DA61">
        <v>0</v>
      </c>
      <c r="DB61">
        <v>13</v>
      </c>
      <c r="DC61">
        <v>0</v>
      </c>
      <c r="DD61">
        <v>23</v>
      </c>
      <c r="DF61" s="2"/>
      <c r="DG61" s="2">
        <f t="shared" si="36"/>
        <v>994321</v>
      </c>
      <c r="DH61" s="2">
        <f t="shared" si="20"/>
        <v>286626</v>
      </c>
      <c r="DI61" s="2">
        <f t="shared" si="37"/>
        <v>1280947</v>
      </c>
      <c r="DK61" s="2">
        <f t="shared" si="21"/>
        <v>74167</v>
      </c>
      <c r="DL61" s="2">
        <f t="shared" si="22"/>
        <v>148558</v>
      </c>
      <c r="DM61" s="2">
        <f t="shared" si="23"/>
        <v>14094</v>
      </c>
      <c r="DN61" s="2">
        <f t="shared" si="24"/>
        <v>48778</v>
      </c>
      <c r="DO61" s="2">
        <f t="shared" si="25"/>
        <v>496475</v>
      </c>
      <c r="DP61" s="2">
        <f t="shared" si="38"/>
        <v>107765</v>
      </c>
      <c r="DQ61" s="2">
        <f t="shared" si="27"/>
        <v>1023</v>
      </c>
      <c r="DR61" s="2">
        <f t="shared" si="28"/>
        <v>14295</v>
      </c>
      <c r="DS61" s="2">
        <f t="shared" si="29"/>
        <v>40909</v>
      </c>
      <c r="DT61" s="2">
        <f t="shared" si="30"/>
        <v>13619</v>
      </c>
      <c r="DU61" s="2">
        <f t="shared" si="40"/>
        <v>91561</v>
      </c>
      <c r="DV61" s="2">
        <f t="shared" si="41"/>
        <v>161829</v>
      </c>
      <c r="DW61" s="2"/>
      <c r="DX61" s="2">
        <f t="shared" si="42"/>
        <v>1213073</v>
      </c>
      <c r="DZ61" s="2">
        <f t="shared" si="31"/>
        <v>645305</v>
      </c>
      <c r="EA61" s="2">
        <f t="shared" si="39"/>
        <v>72927</v>
      </c>
      <c r="EC61" s="2">
        <f t="shared" si="33"/>
        <v>1353874</v>
      </c>
    </row>
    <row r="62" spans="1:152" x14ac:dyDescent="0.25">
      <c r="A62" s="13">
        <v>43586</v>
      </c>
      <c r="B62">
        <v>0</v>
      </c>
      <c r="C62">
        <v>0</v>
      </c>
      <c r="D62">
        <v>0</v>
      </c>
      <c r="E62">
        <v>0</v>
      </c>
      <c r="F62">
        <v>1293</v>
      </c>
      <c r="G62">
        <v>18290</v>
      </c>
      <c r="H62">
        <v>48299</v>
      </c>
      <c r="I62">
        <v>945</v>
      </c>
      <c r="J62">
        <v>2316</v>
      </c>
      <c r="K62">
        <v>1283</v>
      </c>
      <c r="L62">
        <v>33460</v>
      </c>
      <c r="M62">
        <v>1395</v>
      </c>
      <c r="N62">
        <v>804</v>
      </c>
      <c r="O62">
        <v>1771</v>
      </c>
      <c r="P62">
        <v>11030</v>
      </c>
      <c r="Q62">
        <v>270</v>
      </c>
      <c r="R62">
        <v>7391</v>
      </c>
      <c r="S62">
        <v>14215</v>
      </c>
      <c r="T62">
        <v>52</v>
      </c>
      <c r="U62">
        <v>4578</v>
      </c>
      <c r="V62">
        <v>41</v>
      </c>
      <c r="W62">
        <v>14326</v>
      </c>
      <c r="X62">
        <v>447</v>
      </c>
      <c r="Y62">
        <v>4</v>
      </c>
      <c r="Z62">
        <v>8</v>
      </c>
      <c r="AA62">
        <v>1</v>
      </c>
      <c r="AB62">
        <v>76</v>
      </c>
      <c r="AC62">
        <v>29</v>
      </c>
      <c r="AD62">
        <v>23</v>
      </c>
      <c r="AE62">
        <v>17</v>
      </c>
      <c r="AF62">
        <v>40</v>
      </c>
      <c r="AG62">
        <v>140</v>
      </c>
      <c r="AH62">
        <v>2473</v>
      </c>
      <c r="AI62">
        <v>1</v>
      </c>
      <c r="AJ62">
        <v>11425</v>
      </c>
      <c r="AK62">
        <v>112582</v>
      </c>
      <c r="AL62">
        <v>2058</v>
      </c>
      <c r="AM62">
        <v>21936</v>
      </c>
      <c r="AN62">
        <v>20</v>
      </c>
      <c r="AO62">
        <v>133</v>
      </c>
      <c r="AP62">
        <v>11858</v>
      </c>
      <c r="AQ62">
        <v>0</v>
      </c>
      <c r="AR62">
        <v>526</v>
      </c>
      <c r="AS62">
        <v>38</v>
      </c>
      <c r="AT62">
        <v>11095</v>
      </c>
      <c r="AU62">
        <v>2332</v>
      </c>
      <c r="AV62">
        <v>3989</v>
      </c>
      <c r="AW62">
        <v>15071</v>
      </c>
      <c r="AX62" s="88">
        <v>48</v>
      </c>
      <c r="AY62" s="88">
        <v>18</v>
      </c>
      <c r="AZ62" s="88">
        <v>838</v>
      </c>
      <c r="BA62" s="88">
        <v>0</v>
      </c>
      <c r="BB62">
        <v>177</v>
      </c>
      <c r="BC62">
        <v>1257</v>
      </c>
      <c r="BD62">
        <v>0</v>
      </c>
      <c r="BE62">
        <v>0</v>
      </c>
      <c r="BF62">
        <v>8417</v>
      </c>
      <c r="BG62">
        <v>0</v>
      </c>
      <c r="BH62">
        <v>0</v>
      </c>
      <c r="BI62">
        <v>0</v>
      </c>
      <c r="BJ62">
        <v>39</v>
      </c>
      <c r="BK62">
        <v>5278</v>
      </c>
      <c r="BL62">
        <v>0</v>
      </c>
      <c r="BM62">
        <v>14</v>
      </c>
      <c r="BN62">
        <v>0</v>
      </c>
      <c r="BO62">
        <v>41089</v>
      </c>
      <c r="BP62">
        <v>78933</v>
      </c>
      <c r="BQ62">
        <v>3304</v>
      </c>
      <c r="BR62">
        <v>20</v>
      </c>
      <c r="BS62">
        <v>26120</v>
      </c>
      <c r="BT62">
        <v>1977</v>
      </c>
      <c r="BU62">
        <v>0</v>
      </c>
      <c r="BV62">
        <v>0</v>
      </c>
      <c r="BW62">
        <v>3</v>
      </c>
      <c r="BX62">
        <v>5</v>
      </c>
      <c r="BY62">
        <v>237</v>
      </c>
      <c r="BZ62">
        <v>0</v>
      </c>
      <c r="CA62">
        <v>28689</v>
      </c>
      <c r="CB62">
        <v>14439</v>
      </c>
      <c r="CC62">
        <v>131642</v>
      </c>
      <c r="CD62">
        <v>291628</v>
      </c>
      <c r="CE62">
        <v>40190</v>
      </c>
      <c r="CF62">
        <v>65969</v>
      </c>
      <c r="CG62">
        <v>0</v>
      </c>
      <c r="CH62">
        <v>7</v>
      </c>
      <c r="CI62">
        <v>0</v>
      </c>
      <c r="CJ62">
        <v>91</v>
      </c>
      <c r="CK62">
        <v>57144</v>
      </c>
      <c r="CL62">
        <v>38660</v>
      </c>
      <c r="CM62">
        <v>139184</v>
      </c>
      <c r="CN62">
        <v>32566</v>
      </c>
      <c r="CO62">
        <v>637</v>
      </c>
      <c r="CP62">
        <v>2832</v>
      </c>
      <c r="CQ62">
        <v>1023</v>
      </c>
      <c r="CR62">
        <v>24</v>
      </c>
      <c r="CY62">
        <v>0</v>
      </c>
      <c r="CZ62">
        <v>0</v>
      </c>
      <c r="DA62">
        <v>0</v>
      </c>
      <c r="DB62">
        <v>13</v>
      </c>
      <c r="DC62">
        <v>0</v>
      </c>
      <c r="DD62">
        <v>23</v>
      </c>
      <c r="DF62" s="2"/>
      <c r="DG62" s="2">
        <f t="shared" si="36"/>
        <v>1010437</v>
      </c>
      <c r="DH62" s="2">
        <f t="shared" si="20"/>
        <v>286918</v>
      </c>
      <c r="DI62" s="2">
        <f t="shared" si="37"/>
        <v>1297355</v>
      </c>
      <c r="DK62" s="2">
        <f t="shared" si="21"/>
        <v>74314</v>
      </c>
      <c r="DL62" s="2">
        <f t="shared" si="22"/>
        <v>148291</v>
      </c>
      <c r="DM62" s="2">
        <f t="shared" si="23"/>
        <v>14215</v>
      </c>
      <c r="DN62" s="2">
        <f t="shared" si="24"/>
        <v>49038</v>
      </c>
      <c r="DO62" s="2">
        <f t="shared" si="25"/>
        <v>497865</v>
      </c>
      <c r="DP62" s="2">
        <f t="shared" si="38"/>
        <v>106342</v>
      </c>
      <c r="DQ62" s="2">
        <f t="shared" si="27"/>
        <v>1047</v>
      </c>
      <c r="DR62" s="2">
        <f t="shared" si="28"/>
        <v>14454</v>
      </c>
      <c r="DS62" s="2">
        <f t="shared" si="29"/>
        <v>41089</v>
      </c>
      <c r="DT62" s="2">
        <f t="shared" si="30"/>
        <v>13698</v>
      </c>
      <c r="DU62" s="2">
        <f t="shared" si="40"/>
        <v>95804</v>
      </c>
      <c r="DV62" s="2">
        <f t="shared" si="41"/>
        <v>172387</v>
      </c>
      <c r="DW62" s="2"/>
      <c r="DX62" s="2">
        <f t="shared" si="42"/>
        <v>1228544</v>
      </c>
      <c r="DZ62" s="2">
        <f t="shared" si="31"/>
        <v>647382</v>
      </c>
      <c r="EA62" s="2">
        <f t="shared" si="39"/>
        <v>73230</v>
      </c>
      <c r="EC62" s="2">
        <f t="shared" si="33"/>
        <v>1370585</v>
      </c>
    </row>
    <row r="63" spans="1:152" x14ac:dyDescent="0.25">
      <c r="A63" s="13">
        <v>43617</v>
      </c>
      <c r="B63">
        <v>0</v>
      </c>
      <c r="C63">
        <v>0</v>
      </c>
      <c r="D63">
        <v>0</v>
      </c>
      <c r="E63">
        <v>0</v>
      </c>
      <c r="F63">
        <v>1368</v>
      </c>
      <c r="G63">
        <v>18340</v>
      </c>
      <c r="H63">
        <v>48279</v>
      </c>
      <c r="I63">
        <v>927</v>
      </c>
      <c r="J63">
        <v>2307</v>
      </c>
      <c r="K63">
        <v>1298</v>
      </c>
      <c r="L63">
        <v>33482</v>
      </c>
      <c r="M63">
        <v>1382</v>
      </c>
      <c r="N63">
        <v>785</v>
      </c>
      <c r="O63">
        <v>1783</v>
      </c>
      <c r="P63">
        <v>11162</v>
      </c>
      <c r="Q63">
        <v>276</v>
      </c>
      <c r="R63">
        <v>7837</v>
      </c>
      <c r="S63">
        <v>14421</v>
      </c>
      <c r="T63">
        <v>56</v>
      </c>
      <c r="U63">
        <v>4544</v>
      </c>
      <c r="V63">
        <v>45</v>
      </c>
      <c r="W63">
        <v>14090</v>
      </c>
      <c r="X63">
        <v>446</v>
      </c>
      <c r="Y63">
        <v>4</v>
      </c>
      <c r="Z63">
        <v>10</v>
      </c>
      <c r="AA63">
        <v>1</v>
      </c>
      <c r="AB63">
        <v>74</v>
      </c>
      <c r="AC63">
        <v>30</v>
      </c>
      <c r="AD63">
        <v>23</v>
      </c>
      <c r="AE63">
        <v>17</v>
      </c>
      <c r="AF63">
        <v>40</v>
      </c>
      <c r="AG63">
        <v>128</v>
      </c>
      <c r="AH63">
        <v>2477</v>
      </c>
      <c r="AI63">
        <v>1</v>
      </c>
      <c r="AJ63">
        <v>11057</v>
      </c>
      <c r="AK63">
        <v>112624</v>
      </c>
      <c r="AL63">
        <v>2063</v>
      </c>
      <c r="AM63">
        <v>22064</v>
      </c>
      <c r="AN63">
        <v>20</v>
      </c>
      <c r="AO63">
        <v>116</v>
      </c>
      <c r="AP63">
        <v>12012</v>
      </c>
      <c r="AQ63">
        <v>0</v>
      </c>
      <c r="AR63">
        <v>521</v>
      </c>
      <c r="AS63">
        <v>40</v>
      </c>
      <c r="AT63">
        <v>11107</v>
      </c>
      <c r="AU63">
        <v>2354</v>
      </c>
      <c r="AV63">
        <v>4153</v>
      </c>
      <c r="AW63">
        <v>15187</v>
      </c>
      <c r="AX63" s="88">
        <v>52</v>
      </c>
      <c r="AY63" s="88">
        <v>7</v>
      </c>
      <c r="AZ63" s="88">
        <v>841</v>
      </c>
      <c r="BA63" s="88">
        <v>0</v>
      </c>
      <c r="BB63">
        <v>169</v>
      </c>
      <c r="BC63">
        <v>1269</v>
      </c>
      <c r="BD63">
        <v>0</v>
      </c>
      <c r="BE63">
        <v>0</v>
      </c>
      <c r="BF63">
        <v>8399</v>
      </c>
      <c r="BG63">
        <v>0</v>
      </c>
      <c r="BH63">
        <v>0</v>
      </c>
      <c r="BI63">
        <v>0</v>
      </c>
      <c r="BJ63">
        <v>37</v>
      </c>
      <c r="BK63">
        <v>5313</v>
      </c>
      <c r="BL63">
        <v>0</v>
      </c>
      <c r="BM63">
        <v>14</v>
      </c>
      <c r="BN63">
        <v>0</v>
      </c>
      <c r="BO63">
        <v>41289</v>
      </c>
      <c r="BP63">
        <v>78439</v>
      </c>
      <c r="BQ63">
        <v>3302</v>
      </c>
      <c r="BR63">
        <v>22</v>
      </c>
      <c r="BS63">
        <v>25934</v>
      </c>
      <c r="BT63">
        <v>1968</v>
      </c>
      <c r="BU63">
        <v>0</v>
      </c>
      <c r="BV63">
        <v>0</v>
      </c>
      <c r="BW63">
        <v>4</v>
      </c>
      <c r="BX63">
        <v>0</v>
      </c>
      <c r="BY63">
        <v>245</v>
      </c>
      <c r="BZ63">
        <v>0</v>
      </c>
      <c r="CA63">
        <v>28760</v>
      </c>
      <c r="CB63">
        <v>14458</v>
      </c>
      <c r="CC63">
        <v>132298</v>
      </c>
      <c r="CD63">
        <v>293134</v>
      </c>
      <c r="CE63">
        <v>40061</v>
      </c>
      <c r="CF63">
        <v>66297</v>
      </c>
      <c r="CG63">
        <v>0</v>
      </c>
      <c r="CH63">
        <v>6</v>
      </c>
      <c r="CI63">
        <v>0</v>
      </c>
      <c r="CJ63">
        <v>89</v>
      </c>
      <c r="CK63">
        <v>59432</v>
      </c>
      <c r="CL63">
        <v>39818</v>
      </c>
      <c r="CM63">
        <v>147106</v>
      </c>
      <c r="CN63">
        <v>33797</v>
      </c>
      <c r="CO63">
        <v>637</v>
      </c>
      <c r="CP63">
        <v>3676</v>
      </c>
      <c r="CQ63">
        <v>1032</v>
      </c>
      <c r="CR63">
        <v>29</v>
      </c>
      <c r="CY63">
        <v>0</v>
      </c>
      <c r="CZ63">
        <v>0</v>
      </c>
      <c r="DA63">
        <v>0</v>
      </c>
      <c r="DB63">
        <v>13</v>
      </c>
      <c r="DC63">
        <v>0</v>
      </c>
      <c r="DD63">
        <v>23</v>
      </c>
      <c r="DE63" s="2"/>
      <c r="DG63" s="2">
        <f t="shared" si="36"/>
        <v>1025863</v>
      </c>
      <c r="DH63" s="2">
        <f t="shared" si="20"/>
        <v>287719</v>
      </c>
      <c r="DI63" s="2">
        <f t="shared" ref="DI63:DI100" si="43">SUM(DG63:DH63)</f>
        <v>1313582</v>
      </c>
      <c r="DJ63" s="2"/>
      <c r="DK63" s="2">
        <f t="shared" si="21"/>
        <v>74657</v>
      </c>
      <c r="DL63" s="2">
        <f t="shared" si="22"/>
        <v>148150</v>
      </c>
      <c r="DM63" s="2">
        <f t="shared" si="23"/>
        <v>14421</v>
      </c>
      <c r="DN63" s="2">
        <f t="shared" si="24"/>
        <v>49419</v>
      </c>
      <c r="DO63" s="2">
        <f t="shared" si="25"/>
        <v>499968</v>
      </c>
      <c r="DP63" s="2">
        <f t="shared" si="38"/>
        <v>105663</v>
      </c>
      <c r="DQ63" s="2">
        <f t="shared" si="27"/>
        <v>1061</v>
      </c>
      <c r="DR63" s="2">
        <f t="shared" si="28"/>
        <v>14474</v>
      </c>
      <c r="DS63" s="2">
        <f t="shared" si="29"/>
        <v>41289</v>
      </c>
      <c r="DT63" s="2">
        <f t="shared" si="30"/>
        <v>13716</v>
      </c>
      <c r="DU63" s="2">
        <f t="shared" si="40"/>
        <v>99250</v>
      </c>
      <c r="DV63" s="2">
        <f t="shared" si="41"/>
        <v>181540</v>
      </c>
      <c r="DW63" s="2"/>
      <c r="DX63" s="2">
        <f t="shared" si="42"/>
        <v>1243608</v>
      </c>
      <c r="DY63" s="2"/>
      <c r="DZ63" s="2">
        <f t="shared" si="31"/>
        <v>649834</v>
      </c>
      <c r="EA63" s="2">
        <f t="shared" si="39"/>
        <v>73304</v>
      </c>
      <c r="EC63" s="2">
        <f t="shared" si="33"/>
        <v>1386886</v>
      </c>
    </row>
    <row r="64" spans="1:152" x14ac:dyDescent="0.25">
      <c r="A64" s="13">
        <v>43647</v>
      </c>
      <c r="B64">
        <v>0</v>
      </c>
      <c r="C64">
        <v>0</v>
      </c>
      <c r="D64">
        <v>0</v>
      </c>
      <c r="E64">
        <v>0</v>
      </c>
      <c r="F64">
        <v>1413</v>
      </c>
      <c r="G64">
        <v>18415</v>
      </c>
      <c r="H64">
        <v>48474</v>
      </c>
      <c r="I64">
        <v>917</v>
      </c>
      <c r="J64">
        <v>2297</v>
      </c>
      <c r="K64">
        <v>1282</v>
      </c>
      <c r="L64">
        <v>33487</v>
      </c>
      <c r="M64">
        <v>1379</v>
      </c>
      <c r="N64">
        <v>811</v>
      </c>
      <c r="O64">
        <v>1754</v>
      </c>
      <c r="P64">
        <v>11162</v>
      </c>
      <c r="Q64">
        <v>275</v>
      </c>
      <c r="R64">
        <v>7681</v>
      </c>
      <c r="S64">
        <v>14469</v>
      </c>
      <c r="T64">
        <v>61</v>
      </c>
      <c r="U64">
        <v>4567</v>
      </c>
      <c r="V64">
        <v>48</v>
      </c>
      <c r="W64">
        <v>14395</v>
      </c>
      <c r="X64">
        <v>448</v>
      </c>
      <c r="Y64">
        <v>4</v>
      </c>
      <c r="Z64">
        <v>4</v>
      </c>
      <c r="AA64">
        <v>0</v>
      </c>
      <c r="AB64">
        <v>73</v>
      </c>
      <c r="AC64">
        <v>28</v>
      </c>
      <c r="AD64">
        <v>22</v>
      </c>
      <c r="AE64">
        <v>18</v>
      </c>
      <c r="AF64">
        <v>41</v>
      </c>
      <c r="AG64">
        <v>133</v>
      </c>
      <c r="AH64">
        <v>2476</v>
      </c>
      <c r="AI64">
        <v>2</v>
      </c>
      <c r="AJ64">
        <v>10837</v>
      </c>
      <c r="AK64">
        <v>112626</v>
      </c>
      <c r="AL64">
        <v>2043</v>
      </c>
      <c r="AM64">
        <v>22065</v>
      </c>
      <c r="AN64">
        <v>18</v>
      </c>
      <c r="AO64">
        <v>98</v>
      </c>
      <c r="AP64">
        <v>12121</v>
      </c>
      <c r="AQ64">
        <v>0</v>
      </c>
      <c r="AR64">
        <v>510</v>
      </c>
      <c r="AS64">
        <v>41</v>
      </c>
      <c r="AT64">
        <v>10980</v>
      </c>
      <c r="AU64">
        <v>2361</v>
      </c>
      <c r="AV64">
        <v>4151</v>
      </c>
      <c r="AW64">
        <v>15223</v>
      </c>
      <c r="AX64" s="88">
        <v>40</v>
      </c>
      <c r="AY64" s="88">
        <v>2</v>
      </c>
      <c r="AZ64" s="88">
        <v>824</v>
      </c>
      <c r="BA64" s="88">
        <v>0</v>
      </c>
      <c r="BB64">
        <v>171</v>
      </c>
      <c r="BC64">
        <v>1271</v>
      </c>
      <c r="BD64">
        <v>0</v>
      </c>
      <c r="BE64">
        <v>0</v>
      </c>
      <c r="BF64">
        <v>8398</v>
      </c>
      <c r="BG64">
        <v>0</v>
      </c>
      <c r="BH64">
        <v>0</v>
      </c>
      <c r="BI64">
        <v>0</v>
      </c>
      <c r="BJ64">
        <v>36</v>
      </c>
      <c r="BK64">
        <v>5301</v>
      </c>
      <c r="BL64">
        <v>1</v>
      </c>
      <c r="BM64">
        <v>12</v>
      </c>
      <c r="BN64">
        <v>0</v>
      </c>
      <c r="BO64">
        <v>41514</v>
      </c>
      <c r="BP64">
        <v>77938</v>
      </c>
      <c r="BQ64">
        <v>2960</v>
      </c>
      <c r="BR64">
        <v>18</v>
      </c>
      <c r="BS64">
        <v>25832</v>
      </c>
      <c r="BT64">
        <v>1816</v>
      </c>
      <c r="BU64">
        <v>0</v>
      </c>
      <c r="BV64">
        <v>0</v>
      </c>
      <c r="BW64">
        <v>4</v>
      </c>
      <c r="BX64">
        <v>0</v>
      </c>
      <c r="BY64">
        <v>247</v>
      </c>
      <c r="BZ64">
        <v>0</v>
      </c>
      <c r="CA64">
        <v>28872</v>
      </c>
      <c r="CB64">
        <v>14262</v>
      </c>
      <c r="CC64">
        <v>132121</v>
      </c>
      <c r="CD64">
        <v>293739</v>
      </c>
      <c r="CE64">
        <v>39891</v>
      </c>
      <c r="CF64">
        <v>66477</v>
      </c>
      <c r="CG64">
        <v>0</v>
      </c>
      <c r="CH64">
        <v>4</v>
      </c>
      <c r="CI64">
        <v>0</v>
      </c>
      <c r="CJ64">
        <v>91</v>
      </c>
      <c r="CK64">
        <v>60381</v>
      </c>
      <c r="CL64">
        <v>40681</v>
      </c>
      <c r="CM64">
        <v>152885</v>
      </c>
      <c r="CN64">
        <v>34800</v>
      </c>
      <c r="CO64">
        <v>522</v>
      </c>
      <c r="CP64">
        <v>4296</v>
      </c>
      <c r="CQ64">
        <v>1069</v>
      </c>
      <c r="CR64">
        <v>30</v>
      </c>
      <c r="CY64">
        <v>0</v>
      </c>
      <c r="CZ64">
        <v>0</v>
      </c>
      <c r="DA64">
        <v>0</v>
      </c>
      <c r="DB64">
        <v>13</v>
      </c>
      <c r="DC64">
        <v>0</v>
      </c>
      <c r="DD64">
        <v>23</v>
      </c>
      <c r="DE64" s="2"/>
      <c r="DG64" s="2">
        <f t="shared" si="36"/>
        <v>1034412</v>
      </c>
      <c r="DH64" s="2">
        <f t="shared" si="20"/>
        <v>287692</v>
      </c>
      <c r="DI64" s="2">
        <f t="shared" si="43"/>
        <v>1322104</v>
      </c>
      <c r="DJ64" s="2"/>
      <c r="DK64" s="2">
        <f t="shared" si="21"/>
        <v>74809</v>
      </c>
      <c r="DL64" s="2">
        <f t="shared" si="22"/>
        <v>147766</v>
      </c>
      <c r="DM64" s="2">
        <f t="shared" si="23"/>
        <v>14469</v>
      </c>
      <c r="DN64" s="2">
        <f t="shared" si="24"/>
        <v>49548</v>
      </c>
      <c r="DO64" s="2">
        <f t="shared" si="25"/>
        <v>499831</v>
      </c>
      <c r="DP64" s="2">
        <f t="shared" si="38"/>
        <v>105055</v>
      </c>
      <c r="DQ64" s="2">
        <f t="shared" si="27"/>
        <v>1099</v>
      </c>
      <c r="DR64" s="2">
        <f t="shared" si="28"/>
        <v>14270</v>
      </c>
      <c r="DS64" s="2">
        <f t="shared" si="29"/>
        <v>41514</v>
      </c>
      <c r="DT64" s="2">
        <f t="shared" si="30"/>
        <v>13704</v>
      </c>
      <c r="DU64" s="2">
        <f t="shared" si="40"/>
        <v>101062</v>
      </c>
      <c r="DV64" s="2">
        <f t="shared" si="41"/>
        <v>188207</v>
      </c>
      <c r="DW64" s="2"/>
      <c r="DX64" s="2">
        <f t="shared" si="42"/>
        <v>1251334</v>
      </c>
      <c r="DY64" s="2"/>
      <c r="DZ64" s="2">
        <f t="shared" si="31"/>
        <v>650115</v>
      </c>
      <c r="EA64" s="2">
        <f t="shared" si="39"/>
        <v>73609</v>
      </c>
      <c r="EC64" s="2">
        <f t="shared" si="33"/>
        <v>1395713</v>
      </c>
    </row>
    <row r="65" spans="1:133" x14ac:dyDescent="0.25">
      <c r="A65" s="13">
        <v>43678</v>
      </c>
      <c r="B65">
        <v>0</v>
      </c>
      <c r="C65">
        <v>0</v>
      </c>
      <c r="D65">
        <v>0</v>
      </c>
      <c r="E65">
        <v>0</v>
      </c>
      <c r="F65">
        <v>1426</v>
      </c>
      <c r="G65">
        <v>18636</v>
      </c>
      <c r="H65">
        <v>48654</v>
      </c>
      <c r="I65">
        <v>915</v>
      </c>
      <c r="J65">
        <v>2279</v>
      </c>
      <c r="K65">
        <v>1320</v>
      </c>
      <c r="L65">
        <v>33447</v>
      </c>
      <c r="M65">
        <v>1366</v>
      </c>
      <c r="N65">
        <v>844</v>
      </c>
      <c r="O65">
        <v>1758</v>
      </c>
      <c r="P65">
        <v>11057</v>
      </c>
      <c r="Q65">
        <v>272</v>
      </c>
      <c r="R65">
        <v>7385</v>
      </c>
      <c r="S65">
        <v>14591</v>
      </c>
      <c r="T65">
        <v>55</v>
      </c>
      <c r="U65">
        <v>4578</v>
      </c>
      <c r="V65">
        <v>50</v>
      </c>
      <c r="W65">
        <v>14921</v>
      </c>
      <c r="X65">
        <v>452</v>
      </c>
      <c r="Y65">
        <v>4</v>
      </c>
      <c r="Z65">
        <v>5</v>
      </c>
      <c r="AA65">
        <v>0</v>
      </c>
      <c r="AB65">
        <v>74</v>
      </c>
      <c r="AC65">
        <v>24</v>
      </c>
      <c r="AD65">
        <v>23</v>
      </c>
      <c r="AE65">
        <v>19</v>
      </c>
      <c r="AF65">
        <v>42</v>
      </c>
      <c r="AG65">
        <v>149</v>
      </c>
      <c r="AH65">
        <v>2494</v>
      </c>
      <c r="AI65">
        <v>2</v>
      </c>
      <c r="AJ65">
        <v>10758</v>
      </c>
      <c r="AK65">
        <v>112507</v>
      </c>
      <c r="AL65">
        <v>2027</v>
      </c>
      <c r="AM65">
        <v>22173</v>
      </c>
      <c r="AN65">
        <v>16</v>
      </c>
      <c r="AO65">
        <v>66</v>
      </c>
      <c r="AP65">
        <v>12145</v>
      </c>
      <c r="AQ65">
        <v>0</v>
      </c>
      <c r="AR65">
        <v>521</v>
      </c>
      <c r="AS65">
        <v>40</v>
      </c>
      <c r="AT65">
        <v>10845</v>
      </c>
      <c r="AU65">
        <v>2370</v>
      </c>
      <c r="AV65">
        <v>4112</v>
      </c>
      <c r="AW65">
        <v>15218</v>
      </c>
      <c r="AX65" s="88">
        <v>57</v>
      </c>
      <c r="AY65" s="88">
        <v>6</v>
      </c>
      <c r="AZ65" s="88">
        <v>804</v>
      </c>
      <c r="BA65" s="88">
        <v>0</v>
      </c>
      <c r="BB65">
        <v>178</v>
      </c>
      <c r="BC65">
        <v>1294</v>
      </c>
      <c r="BD65">
        <v>0</v>
      </c>
      <c r="BE65">
        <v>0</v>
      </c>
      <c r="BF65">
        <v>8392</v>
      </c>
      <c r="BG65">
        <v>0</v>
      </c>
      <c r="BH65">
        <v>0</v>
      </c>
      <c r="BI65">
        <v>0</v>
      </c>
      <c r="BJ65">
        <v>33</v>
      </c>
      <c r="BK65">
        <v>5313</v>
      </c>
      <c r="BL65">
        <v>0</v>
      </c>
      <c r="BM65">
        <v>12</v>
      </c>
      <c r="BN65">
        <v>0</v>
      </c>
      <c r="BO65">
        <v>41557</v>
      </c>
      <c r="BP65">
        <v>77880</v>
      </c>
      <c r="BQ65">
        <v>2628</v>
      </c>
      <c r="BR65">
        <v>20</v>
      </c>
      <c r="BS65">
        <v>25918</v>
      </c>
      <c r="BT65">
        <v>1629</v>
      </c>
      <c r="BU65">
        <v>0</v>
      </c>
      <c r="BV65">
        <v>0</v>
      </c>
      <c r="BW65">
        <v>3</v>
      </c>
      <c r="BX65">
        <v>0</v>
      </c>
      <c r="BY65">
        <v>264</v>
      </c>
      <c r="BZ65">
        <v>0</v>
      </c>
      <c r="CA65">
        <v>28955</v>
      </c>
      <c r="CB65">
        <v>14167</v>
      </c>
      <c r="CC65">
        <v>131998</v>
      </c>
      <c r="CD65">
        <v>294254</v>
      </c>
      <c r="CE65">
        <v>39942</v>
      </c>
      <c r="CF65">
        <v>66531</v>
      </c>
      <c r="CG65">
        <v>0</v>
      </c>
      <c r="CH65">
        <v>4</v>
      </c>
      <c r="CI65">
        <v>0</v>
      </c>
      <c r="CJ65">
        <v>89</v>
      </c>
      <c r="CK65">
        <v>61351</v>
      </c>
      <c r="CL65">
        <v>41496</v>
      </c>
      <c r="CM65">
        <v>159102</v>
      </c>
      <c r="CN65">
        <v>35953</v>
      </c>
      <c r="CO65">
        <v>698</v>
      </c>
      <c r="CP65">
        <v>4558</v>
      </c>
      <c r="CQ65">
        <v>1092</v>
      </c>
      <c r="CR65">
        <v>27</v>
      </c>
      <c r="CY65">
        <v>0</v>
      </c>
      <c r="CZ65">
        <v>0</v>
      </c>
      <c r="DA65">
        <v>0</v>
      </c>
      <c r="DB65">
        <v>13</v>
      </c>
      <c r="DC65">
        <v>0</v>
      </c>
      <c r="DD65">
        <v>23</v>
      </c>
      <c r="DE65" s="2"/>
      <c r="DG65" s="2">
        <f t="shared" si="36"/>
        <v>1044104</v>
      </c>
      <c r="DH65" s="2">
        <f t="shared" si="20"/>
        <v>287673</v>
      </c>
      <c r="DI65" s="2">
        <f t="shared" si="43"/>
        <v>1331777</v>
      </c>
      <c r="DJ65" s="2"/>
      <c r="DK65" s="2">
        <f t="shared" si="21"/>
        <v>74889</v>
      </c>
      <c r="DL65" s="2">
        <f t="shared" si="22"/>
        <v>147419</v>
      </c>
      <c r="DM65" s="2">
        <f t="shared" si="23"/>
        <v>14591</v>
      </c>
      <c r="DN65" s="2">
        <f t="shared" si="24"/>
        <v>49644</v>
      </c>
      <c r="DO65" s="2">
        <f t="shared" si="25"/>
        <v>499869</v>
      </c>
      <c r="DP65" s="2">
        <f t="shared" si="38"/>
        <v>105110</v>
      </c>
      <c r="DQ65" s="2">
        <f t="shared" si="27"/>
        <v>1119</v>
      </c>
      <c r="DR65" s="2">
        <f t="shared" si="28"/>
        <v>14176</v>
      </c>
      <c r="DS65" s="2">
        <f t="shared" si="29"/>
        <v>41557</v>
      </c>
      <c r="DT65" s="2">
        <f t="shared" si="30"/>
        <v>13708</v>
      </c>
      <c r="DU65" s="2">
        <f t="shared" si="40"/>
        <v>102847</v>
      </c>
      <c r="DV65" s="2">
        <f t="shared" si="41"/>
        <v>195753</v>
      </c>
      <c r="DW65" s="2"/>
      <c r="DX65" s="2">
        <f t="shared" si="42"/>
        <v>1260682</v>
      </c>
      <c r="DY65" s="2"/>
      <c r="DZ65" s="2">
        <f t="shared" si="31"/>
        <v>650592</v>
      </c>
      <c r="EA65" s="2">
        <f t="shared" si="39"/>
        <v>74074</v>
      </c>
      <c r="EC65" s="2">
        <f t="shared" si="33"/>
        <v>1405851</v>
      </c>
    </row>
    <row r="66" spans="1:133" x14ac:dyDescent="0.25">
      <c r="A66" s="13">
        <v>43709</v>
      </c>
      <c r="B66">
        <v>0</v>
      </c>
      <c r="C66">
        <v>0</v>
      </c>
      <c r="D66">
        <v>0</v>
      </c>
      <c r="E66">
        <v>0</v>
      </c>
      <c r="F66">
        <v>1456</v>
      </c>
      <c r="G66">
        <v>19031</v>
      </c>
      <c r="H66">
        <v>49235</v>
      </c>
      <c r="I66">
        <v>904</v>
      </c>
      <c r="J66">
        <v>2343</v>
      </c>
      <c r="K66">
        <v>1350</v>
      </c>
      <c r="L66">
        <v>33497</v>
      </c>
      <c r="M66">
        <v>1370</v>
      </c>
      <c r="N66">
        <v>874</v>
      </c>
      <c r="O66">
        <v>1753</v>
      </c>
      <c r="P66">
        <v>11114</v>
      </c>
      <c r="Q66">
        <v>272</v>
      </c>
      <c r="R66">
        <v>7209</v>
      </c>
      <c r="S66">
        <v>14649</v>
      </c>
      <c r="T66">
        <v>53</v>
      </c>
      <c r="U66">
        <v>4617</v>
      </c>
      <c r="V66">
        <v>54</v>
      </c>
      <c r="W66">
        <v>15363</v>
      </c>
      <c r="X66">
        <v>457</v>
      </c>
      <c r="Y66">
        <v>4</v>
      </c>
      <c r="Z66">
        <v>3</v>
      </c>
      <c r="AA66">
        <v>0</v>
      </c>
      <c r="AB66">
        <v>72</v>
      </c>
      <c r="AC66">
        <v>24</v>
      </c>
      <c r="AD66">
        <v>24</v>
      </c>
      <c r="AE66">
        <v>19</v>
      </c>
      <c r="AF66">
        <v>42</v>
      </c>
      <c r="AG66">
        <v>160</v>
      </c>
      <c r="AH66">
        <v>2524</v>
      </c>
      <c r="AI66">
        <v>2</v>
      </c>
      <c r="AJ66">
        <v>10638</v>
      </c>
      <c r="AK66">
        <v>112543</v>
      </c>
      <c r="AL66">
        <v>2037</v>
      </c>
      <c r="AM66">
        <v>22320</v>
      </c>
      <c r="AN66">
        <v>14</v>
      </c>
      <c r="AO66">
        <v>61</v>
      </c>
      <c r="AP66">
        <v>12191</v>
      </c>
      <c r="AQ66">
        <v>0</v>
      </c>
      <c r="AR66">
        <v>520</v>
      </c>
      <c r="AS66">
        <v>39</v>
      </c>
      <c r="AT66">
        <v>10743</v>
      </c>
      <c r="AU66">
        <v>2366</v>
      </c>
      <c r="AV66">
        <v>4058</v>
      </c>
      <c r="AW66">
        <v>15196</v>
      </c>
      <c r="AX66" s="88">
        <v>58</v>
      </c>
      <c r="AY66" s="88">
        <v>2</v>
      </c>
      <c r="AZ66" s="88">
        <v>795</v>
      </c>
      <c r="BA66" s="88">
        <v>0</v>
      </c>
      <c r="BB66">
        <v>183</v>
      </c>
      <c r="BC66">
        <v>1398</v>
      </c>
      <c r="BD66">
        <v>0</v>
      </c>
      <c r="BE66">
        <v>0</v>
      </c>
      <c r="BF66">
        <v>8420</v>
      </c>
      <c r="BG66">
        <v>0</v>
      </c>
      <c r="BH66">
        <v>0</v>
      </c>
      <c r="BI66">
        <v>0</v>
      </c>
      <c r="BJ66">
        <v>27</v>
      </c>
      <c r="BK66">
        <v>5280</v>
      </c>
      <c r="BL66">
        <v>0</v>
      </c>
      <c r="BM66">
        <v>14</v>
      </c>
      <c r="BN66">
        <v>0</v>
      </c>
      <c r="BO66">
        <v>41635</v>
      </c>
      <c r="BP66">
        <v>78101</v>
      </c>
      <c r="BQ66">
        <v>2352</v>
      </c>
      <c r="BR66">
        <v>19</v>
      </c>
      <c r="BS66">
        <v>25981</v>
      </c>
      <c r="BT66">
        <v>1457</v>
      </c>
      <c r="BU66">
        <v>0</v>
      </c>
      <c r="BV66">
        <v>0</v>
      </c>
      <c r="BW66">
        <v>1</v>
      </c>
      <c r="BX66">
        <v>0</v>
      </c>
      <c r="BY66">
        <v>277</v>
      </c>
      <c r="BZ66">
        <v>0</v>
      </c>
      <c r="CA66">
        <v>29010</v>
      </c>
      <c r="CB66">
        <v>14576</v>
      </c>
      <c r="CC66">
        <v>132045</v>
      </c>
      <c r="CD66">
        <v>294621</v>
      </c>
      <c r="CE66">
        <v>39841</v>
      </c>
      <c r="CF66">
        <v>66658</v>
      </c>
      <c r="CG66">
        <v>0</v>
      </c>
      <c r="CH66">
        <v>9</v>
      </c>
      <c r="CI66">
        <v>0</v>
      </c>
      <c r="CJ66">
        <v>89</v>
      </c>
      <c r="CK66">
        <v>61997</v>
      </c>
      <c r="CL66">
        <v>42337</v>
      </c>
      <c r="CM66">
        <v>165236</v>
      </c>
      <c r="CN66">
        <v>37068</v>
      </c>
      <c r="CO66">
        <v>556</v>
      </c>
      <c r="CP66">
        <v>5432</v>
      </c>
      <c r="CQ66">
        <v>1015</v>
      </c>
      <c r="CR66">
        <v>33</v>
      </c>
      <c r="CY66">
        <v>0</v>
      </c>
      <c r="CZ66">
        <v>0</v>
      </c>
      <c r="DA66">
        <v>0</v>
      </c>
      <c r="DB66">
        <v>13</v>
      </c>
      <c r="DC66">
        <v>0</v>
      </c>
      <c r="DD66">
        <v>23</v>
      </c>
      <c r="DE66" s="2"/>
      <c r="DG66" s="2">
        <f t="shared" si="36"/>
        <v>1054497</v>
      </c>
      <c r="DH66" s="2">
        <f t="shared" si="20"/>
        <v>288034</v>
      </c>
      <c r="DI66" s="2">
        <f t="shared" si="43"/>
        <v>1342531</v>
      </c>
      <c r="DJ66" s="2"/>
      <c r="DK66" s="2">
        <f t="shared" si="21"/>
        <v>75302</v>
      </c>
      <c r="DL66" s="2">
        <f t="shared" si="22"/>
        <v>147222</v>
      </c>
      <c r="DM66" s="2">
        <f t="shared" si="23"/>
        <v>14649</v>
      </c>
      <c r="DN66" s="2">
        <f t="shared" si="24"/>
        <v>49810</v>
      </c>
      <c r="DO66" s="2">
        <f t="shared" si="25"/>
        <v>499796</v>
      </c>
      <c r="DP66" s="2">
        <f t="shared" si="38"/>
        <v>105496</v>
      </c>
      <c r="DQ66" s="2">
        <f t="shared" si="27"/>
        <v>1048</v>
      </c>
      <c r="DR66" s="2">
        <f t="shared" si="28"/>
        <v>14588</v>
      </c>
      <c r="DS66" s="2">
        <f t="shared" si="29"/>
        <v>41635</v>
      </c>
      <c r="DT66" s="2">
        <f t="shared" si="30"/>
        <v>13701</v>
      </c>
      <c r="DU66" s="2">
        <f t="shared" si="40"/>
        <v>104334</v>
      </c>
      <c r="DV66" s="2">
        <f t="shared" si="41"/>
        <v>202860</v>
      </c>
      <c r="DW66" s="2"/>
      <c r="DX66" s="2">
        <f t="shared" si="42"/>
        <v>1270441</v>
      </c>
      <c r="DY66" s="2"/>
      <c r="DZ66" s="2">
        <f t="shared" si="31"/>
        <v>651668</v>
      </c>
      <c r="EA66" s="2">
        <f t="shared" si="39"/>
        <v>75193</v>
      </c>
      <c r="EC66" s="2">
        <f t="shared" si="33"/>
        <v>1417724</v>
      </c>
    </row>
    <row r="67" spans="1:133" x14ac:dyDescent="0.25">
      <c r="A67" s="13">
        <v>43739</v>
      </c>
      <c r="B67">
        <v>0</v>
      </c>
      <c r="C67">
        <v>0</v>
      </c>
      <c r="D67">
        <v>0</v>
      </c>
      <c r="E67">
        <v>0</v>
      </c>
      <c r="F67">
        <v>1467</v>
      </c>
      <c r="G67">
        <v>19121</v>
      </c>
      <c r="H67">
        <v>49741</v>
      </c>
      <c r="I67">
        <v>911</v>
      </c>
      <c r="J67">
        <v>2382</v>
      </c>
      <c r="K67">
        <v>1350</v>
      </c>
      <c r="L67">
        <v>33578</v>
      </c>
      <c r="M67">
        <v>1378</v>
      </c>
      <c r="N67">
        <v>888</v>
      </c>
      <c r="O67">
        <v>1752</v>
      </c>
      <c r="P67">
        <v>11100</v>
      </c>
      <c r="Q67">
        <v>276</v>
      </c>
      <c r="R67">
        <v>7021</v>
      </c>
      <c r="S67">
        <v>14679</v>
      </c>
      <c r="T67">
        <v>56</v>
      </c>
      <c r="U67">
        <v>4674</v>
      </c>
      <c r="V67">
        <v>54</v>
      </c>
      <c r="W67">
        <v>15705</v>
      </c>
      <c r="X67">
        <v>457</v>
      </c>
      <c r="Y67">
        <v>3</v>
      </c>
      <c r="Z67">
        <v>2</v>
      </c>
      <c r="AA67">
        <v>0</v>
      </c>
      <c r="AB67">
        <v>74</v>
      </c>
      <c r="AC67">
        <v>24</v>
      </c>
      <c r="AD67">
        <v>24</v>
      </c>
      <c r="AE67">
        <v>18</v>
      </c>
      <c r="AF67">
        <v>43</v>
      </c>
      <c r="AG67">
        <v>167</v>
      </c>
      <c r="AH67">
        <v>2541</v>
      </c>
      <c r="AI67">
        <v>2</v>
      </c>
      <c r="AJ67">
        <v>10571</v>
      </c>
      <c r="AK67">
        <v>112552</v>
      </c>
      <c r="AL67">
        <v>2023</v>
      </c>
      <c r="AM67">
        <v>22313</v>
      </c>
      <c r="AN67">
        <v>12</v>
      </c>
      <c r="AO67">
        <v>50</v>
      </c>
      <c r="AP67">
        <v>12270</v>
      </c>
      <c r="AQ67">
        <v>0</v>
      </c>
      <c r="AR67">
        <v>502</v>
      </c>
      <c r="AS67">
        <v>40</v>
      </c>
      <c r="AT67">
        <v>10675</v>
      </c>
      <c r="AU67">
        <v>2372</v>
      </c>
      <c r="AV67">
        <v>4024</v>
      </c>
      <c r="AW67">
        <v>15138</v>
      </c>
      <c r="AX67" s="88">
        <v>63</v>
      </c>
      <c r="AY67" s="88">
        <v>1</v>
      </c>
      <c r="AZ67" s="88">
        <v>777</v>
      </c>
      <c r="BA67" s="88">
        <v>0</v>
      </c>
      <c r="BB67">
        <v>188</v>
      </c>
      <c r="BC67">
        <v>1422</v>
      </c>
      <c r="BD67">
        <v>0</v>
      </c>
      <c r="BE67">
        <v>0</v>
      </c>
      <c r="BF67">
        <v>8432</v>
      </c>
      <c r="BG67">
        <v>0</v>
      </c>
      <c r="BH67">
        <v>0</v>
      </c>
      <c r="BI67">
        <v>0</v>
      </c>
      <c r="BJ67">
        <v>23</v>
      </c>
      <c r="BK67">
        <v>5282</v>
      </c>
      <c r="BL67">
        <v>0</v>
      </c>
      <c r="BM67">
        <v>11</v>
      </c>
      <c r="BN67">
        <v>0</v>
      </c>
      <c r="BO67">
        <v>42114</v>
      </c>
      <c r="BP67">
        <v>78906</v>
      </c>
      <c r="BQ67">
        <v>2039</v>
      </c>
      <c r="BR67">
        <v>24</v>
      </c>
      <c r="BS67">
        <v>26202</v>
      </c>
      <c r="BT67">
        <v>1349</v>
      </c>
      <c r="BU67">
        <v>0</v>
      </c>
      <c r="BV67">
        <v>0</v>
      </c>
      <c r="BW67">
        <v>1</v>
      </c>
      <c r="BX67">
        <v>0</v>
      </c>
      <c r="BY67">
        <v>259</v>
      </c>
      <c r="BZ67">
        <v>0</v>
      </c>
      <c r="CA67">
        <v>29015</v>
      </c>
      <c r="CB67">
        <v>13924</v>
      </c>
      <c r="CC67">
        <v>132047</v>
      </c>
      <c r="CD67">
        <v>295629</v>
      </c>
      <c r="CE67">
        <v>40023</v>
      </c>
      <c r="CF67">
        <v>67165</v>
      </c>
      <c r="CG67">
        <v>0</v>
      </c>
      <c r="CH67">
        <v>7</v>
      </c>
      <c r="CI67">
        <v>0</v>
      </c>
      <c r="CJ67">
        <v>88</v>
      </c>
      <c r="CK67">
        <v>63246</v>
      </c>
      <c r="CL67">
        <v>43230</v>
      </c>
      <c r="CM67">
        <v>171170</v>
      </c>
      <c r="CN67">
        <v>37856</v>
      </c>
      <c r="CO67">
        <v>488</v>
      </c>
      <c r="CP67">
        <v>7030</v>
      </c>
      <c r="CQ67">
        <v>1104</v>
      </c>
      <c r="CR67">
        <v>33</v>
      </c>
      <c r="CY67">
        <v>0</v>
      </c>
      <c r="CZ67">
        <v>0</v>
      </c>
      <c r="DA67">
        <v>0</v>
      </c>
      <c r="DB67">
        <v>13</v>
      </c>
      <c r="DC67">
        <v>0</v>
      </c>
      <c r="DD67">
        <v>23</v>
      </c>
      <c r="DE67" s="2"/>
      <c r="DG67" s="2">
        <f t="shared" si="36"/>
        <v>1067046</v>
      </c>
      <c r="DH67" s="2">
        <f t="shared" si="20"/>
        <v>288280</v>
      </c>
      <c r="DI67" s="2">
        <f t="shared" si="43"/>
        <v>1355326</v>
      </c>
      <c r="DJ67" s="2"/>
      <c r="DK67" s="2">
        <f t="shared" si="21"/>
        <v>75594</v>
      </c>
      <c r="DL67" s="2">
        <f t="shared" si="22"/>
        <v>147046</v>
      </c>
      <c r="DM67" s="2">
        <f t="shared" si="23"/>
        <v>14679</v>
      </c>
      <c r="DN67" s="2">
        <f t="shared" si="24"/>
        <v>49814</v>
      </c>
      <c r="DO67" s="2">
        <f t="shared" si="25"/>
        <v>500559</v>
      </c>
      <c r="DP67" s="2">
        <f t="shared" si="38"/>
        <v>106542</v>
      </c>
      <c r="DQ67" s="2">
        <f t="shared" si="27"/>
        <v>1137</v>
      </c>
      <c r="DR67" s="2">
        <f t="shared" si="28"/>
        <v>13933</v>
      </c>
      <c r="DS67" s="2">
        <f t="shared" si="29"/>
        <v>42114</v>
      </c>
      <c r="DT67" s="2">
        <f t="shared" si="30"/>
        <v>13715</v>
      </c>
      <c r="DU67" s="2">
        <f t="shared" si="40"/>
        <v>106476</v>
      </c>
      <c r="DV67" s="2">
        <f t="shared" si="41"/>
        <v>209514</v>
      </c>
      <c r="DW67" s="2"/>
      <c r="DX67" s="2">
        <f t="shared" si="42"/>
        <v>1281123</v>
      </c>
      <c r="DY67" s="2"/>
      <c r="DZ67" s="2">
        <f t="shared" si="31"/>
        <v>653594</v>
      </c>
      <c r="EA67" s="2">
        <f t="shared" si="39"/>
        <v>75860</v>
      </c>
      <c r="EC67" s="2">
        <f t="shared" si="33"/>
        <v>1431186</v>
      </c>
    </row>
    <row r="68" spans="1:133" x14ac:dyDescent="0.25">
      <c r="A68" s="13">
        <v>43770</v>
      </c>
      <c r="B68">
        <v>0</v>
      </c>
      <c r="C68">
        <v>0</v>
      </c>
      <c r="D68">
        <v>0</v>
      </c>
      <c r="E68">
        <v>0</v>
      </c>
      <c r="F68">
        <v>1466</v>
      </c>
      <c r="G68">
        <v>19238</v>
      </c>
      <c r="H68">
        <v>49767</v>
      </c>
      <c r="I68">
        <v>930</v>
      </c>
      <c r="J68">
        <v>2362</v>
      </c>
      <c r="K68">
        <v>1375</v>
      </c>
      <c r="L68">
        <v>33555</v>
      </c>
      <c r="M68">
        <v>1380</v>
      </c>
      <c r="N68">
        <v>899</v>
      </c>
      <c r="O68">
        <v>1752</v>
      </c>
      <c r="P68">
        <v>11086</v>
      </c>
      <c r="Q68">
        <v>276</v>
      </c>
      <c r="R68">
        <v>6848</v>
      </c>
      <c r="S68">
        <v>14805</v>
      </c>
      <c r="T68">
        <v>47</v>
      </c>
      <c r="U68">
        <v>4652</v>
      </c>
      <c r="V68">
        <v>53</v>
      </c>
      <c r="W68">
        <v>16063</v>
      </c>
      <c r="X68">
        <v>456</v>
      </c>
      <c r="Y68">
        <v>3</v>
      </c>
      <c r="Z68">
        <v>3</v>
      </c>
      <c r="AA68">
        <v>0</v>
      </c>
      <c r="AB68">
        <v>73</v>
      </c>
      <c r="AC68">
        <v>24</v>
      </c>
      <c r="AD68">
        <v>23</v>
      </c>
      <c r="AE68">
        <v>17</v>
      </c>
      <c r="AF68">
        <v>38</v>
      </c>
      <c r="AG68">
        <v>169</v>
      </c>
      <c r="AH68">
        <v>2547</v>
      </c>
      <c r="AI68">
        <v>2</v>
      </c>
      <c r="AJ68">
        <v>10512</v>
      </c>
      <c r="AK68">
        <v>112527</v>
      </c>
      <c r="AL68">
        <v>2014</v>
      </c>
      <c r="AM68">
        <v>22439</v>
      </c>
      <c r="AN68">
        <v>10</v>
      </c>
      <c r="AO68">
        <v>38</v>
      </c>
      <c r="AP68">
        <v>12303</v>
      </c>
      <c r="AQ68">
        <v>0</v>
      </c>
      <c r="AR68">
        <v>470</v>
      </c>
      <c r="AS68">
        <v>40</v>
      </c>
      <c r="AT68">
        <v>10622</v>
      </c>
      <c r="AU68">
        <v>2382</v>
      </c>
      <c r="AV68">
        <v>3984</v>
      </c>
      <c r="AW68">
        <v>15180</v>
      </c>
      <c r="AX68" s="88">
        <v>75</v>
      </c>
      <c r="AY68" s="88">
        <v>3</v>
      </c>
      <c r="AZ68" s="88">
        <v>769</v>
      </c>
      <c r="BA68" s="88">
        <v>0</v>
      </c>
      <c r="BB68">
        <v>184</v>
      </c>
      <c r="BC68">
        <v>1470</v>
      </c>
      <c r="BD68">
        <v>0</v>
      </c>
      <c r="BE68">
        <v>0</v>
      </c>
      <c r="BF68">
        <v>8453</v>
      </c>
      <c r="BG68">
        <v>0</v>
      </c>
      <c r="BH68">
        <v>0</v>
      </c>
      <c r="BI68">
        <v>0</v>
      </c>
      <c r="BJ68">
        <v>21</v>
      </c>
      <c r="BK68">
        <v>5314</v>
      </c>
      <c r="BL68">
        <v>0</v>
      </c>
      <c r="BM68">
        <v>5</v>
      </c>
      <c r="BN68">
        <v>0</v>
      </c>
      <c r="BO68">
        <v>42963</v>
      </c>
      <c r="BP68">
        <v>79182</v>
      </c>
      <c r="BQ68">
        <v>1847</v>
      </c>
      <c r="BR68">
        <v>25</v>
      </c>
      <c r="BS68">
        <v>26489</v>
      </c>
      <c r="BT68">
        <v>1276</v>
      </c>
      <c r="BU68">
        <v>0</v>
      </c>
      <c r="BV68">
        <v>0</v>
      </c>
      <c r="BW68">
        <v>1</v>
      </c>
      <c r="BX68">
        <v>0</v>
      </c>
      <c r="BY68">
        <v>254</v>
      </c>
      <c r="BZ68">
        <v>0</v>
      </c>
      <c r="CA68">
        <v>29063</v>
      </c>
      <c r="CB68">
        <v>13662</v>
      </c>
      <c r="CC68">
        <v>132009</v>
      </c>
      <c r="CD68">
        <v>296256</v>
      </c>
      <c r="CE68">
        <v>40534</v>
      </c>
      <c r="CF68">
        <v>67404</v>
      </c>
      <c r="CG68">
        <v>0</v>
      </c>
      <c r="CH68">
        <v>6</v>
      </c>
      <c r="CI68">
        <v>0</v>
      </c>
      <c r="CJ68">
        <v>83</v>
      </c>
      <c r="CK68">
        <v>63838</v>
      </c>
      <c r="CL68">
        <v>43434</v>
      </c>
      <c r="CM68">
        <v>174133</v>
      </c>
      <c r="CN68">
        <v>35722</v>
      </c>
      <c r="CO68">
        <v>508</v>
      </c>
      <c r="CP68">
        <v>9235</v>
      </c>
      <c r="CQ68">
        <v>1243</v>
      </c>
      <c r="CR68">
        <v>41</v>
      </c>
      <c r="CY68">
        <v>0</v>
      </c>
      <c r="CZ68">
        <v>0</v>
      </c>
      <c r="DA68">
        <v>0</v>
      </c>
      <c r="DB68">
        <v>13</v>
      </c>
      <c r="DC68">
        <v>0</v>
      </c>
      <c r="DD68">
        <v>23</v>
      </c>
      <c r="DE68" s="2"/>
      <c r="DG68" s="2">
        <f t="shared" si="36"/>
        <v>1073265</v>
      </c>
      <c r="DH68" s="2">
        <f t="shared" ref="DH68:DH99" si="44">SUM(L68:M68,O68:AW68,AZ68:BB68,CQ68,CR69)</f>
        <v>288632</v>
      </c>
      <c r="DI68" s="2">
        <f t="shared" si="43"/>
        <v>1361897</v>
      </c>
      <c r="DJ68" s="2"/>
      <c r="DK68" s="2">
        <f t="shared" ref="DK68:DK99" si="45">SUM(L68:M68,O68:R68,T68:W68)</f>
        <v>75712</v>
      </c>
      <c r="DL68" s="2">
        <f t="shared" ref="DL68:DL99" si="46">SUM(X68:Y68,AA68:AE68,AG68:AL68,AN68,AR68:AV68,AZ68:BB68)</f>
        <v>146828</v>
      </c>
      <c r="DM68" s="2">
        <f t="shared" ref="DM68:DM99" si="47">S68</f>
        <v>14805</v>
      </c>
      <c r="DN68" s="2">
        <f t="shared" ref="DN68:DN99" si="48">AF68+AW68+AM68+AO68+AP68+AQ68</f>
        <v>49998</v>
      </c>
      <c r="DO68" s="2">
        <f t="shared" ref="DO68:DO99" si="49">SUM(AX68,BE68,BH68,BJ68,BN68,BQ68:BR68,BT68,BV68,BY68:CA68,CC68:CE68,CI68:CJ68)</f>
        <v>501443</v>
      </c>
      <c r="DP68" s="2">
        <f t="shared" si="38"/>
        <v>107149</v>
      </c>
      <c r="DQ68" s="2">
        <f t="shared" ref="DQ68:DQ99" si="50">SUM(CQ68+CR68+CW68+CX68)</f>
        <v>1284</v>
      </c>
      <c r="DR68" s="2">
        <f t="shared" ref="DR68:DR99" si="51">CB68+CH68+Z68</f>
        <v>13671</v>
      </c>
      <c r="DS68" s="2">
        <f t="shared" ref="DS68:DS99" si="52">BO68+BU68</f>
        <v>42963</v>
      </c>
      <c r="DT68" s="2">
        <f t="shared" ref="DT68:DT99" si="53">BF68+BI68+BK68+BL68+BW68</f>
        <v>13768</v>
      </c>
      <c r="DU68" s="2">
        <f t="shared" si="40"/>
        <v>107272</v>
      </c>
      <c r="DV68" s="2">
        <f t="shared" si="41"/>
        <v>210363</v>
      </c>
      <c r="DW68" s="2"/>
      <c r="DX68" s="2">
        <f t="shared" si="42"/>
        <v>1285256</v>
      </c>
      <c r="DY68" s="2"/>
      <c r="DZ68" s="2">
        <f t="shared" ref="DZ68:DZ99" si="54">DO68+DT68+G68+H68+I68+J68+CF68</f>
        <v>654912</v>
      </c>
      <c r="EA68" s="2">
        <f t="shared" si="39"/>
        <v>76037</v>
      </c>
      <c r="EC68" s="2">
        <f t="shared" ref="EC68:EC99" si="55">EA68+DI68</f>
        <v>1437934</v>
      </c>
    </row>
    <row r="69" spans="1:133" x14ac:dyDescent="0.25">
      <c r="A69" s="13">
        <v>43800</v>
      </c>
      <c r="B69">
        <v>0</v>
      </c>
      <c r="C69">
        <v>0</v>
      </c>
      <c r="D69">
        <v>0</v>
      </c>
      <c r="E69">
        <v>0</v>
      </c>
      <c r="F69">
        <v>1591</v>
      </c>
      <c r="G69">
        <v>19315</v>
      </c>
      <c r="H69">
        <v>49379</v>
      </c>
      <c r="I69">
        <v>948</v>
      </c>
      <c r="J69">
        <v>2375</v>
      </c>
      <c r="K69">
        <v>1409</v>
      </c>
      <c r="L69">
        <v>33646</v>
      </c>
      <c r="M69">
        <v>1371</v>
      </c>
      <c r="N69">
        <v>889</v>
      </c>
      <c r="O69">
        <v>1782</v>
      </c>
      <c r="P69">
        <v>11067</v>
      </c>
      <c r="Q69">
        <v>277</v>
      </c>
      <c r="R69">
        <v>6677</v>
      </c>
      <c r="S69">
        <v>14829</v>
      </c>
      <c r="T69">
        <v>51</v>
      </c>
      <c r="U69">
        <v>4691</v>
      </c>
      <c r="V69">
        <v>45</v>
      </c>
      <c r="W69">
        <v>16331</v>
      </c>
      <c r="X69">
        <v>464</v>
      </c>
      <c r="Y69">
        <v>3</v>
      </c>
      <c r="Z69">
        <v>3</v>
      </c>
      <c r="AA69">
        <v>0</v>
      </c>
      <c r="AB69">
        <v>76</v>
      </c>
      <c r="AC69">
        <v>24</v>
      </c>
      <c r="AD69">
        <v>24</v>
      </c>
      <c r="AE69">
        <v>17</v>
      </c>
      <c r="AF69">
        <v>40</v>
      </c>
      <c r="AG69">
        <v>153</v>
      </c>
      <c r="AH69">
        <v>2578</v>
      </c>
      <c r="AI69">
        <v>2</v>
      </c>
      <c r="AJ69">
        <v>10496</v>
      </c>
      <c r="AK69">
        <v>112466</v>
      </c>
      <c r="AL69">
        <v>2025</v>
      </c>
      <c r="AM69">
        <v>22487</v>
      </c>
      <c r="AN69">
        <v>9</v>
      </c>
      <c r="AO69">
        <v>31</v>
      </c>
      <c r="AP69">
        <v>12349</v>
      </c>
      <c r="AQ69">
        <v>0</v>
      </c>
      <c r="AR69">
        <v>455</v>
      </c>
      <c r="AS69">
        <v>38</v>
      </c>
      <c r="AT69">
        <v>10517</v>
      </c>
      <c r="AU69">
        <v>2395</v>
      </c>
      <c r="AV69">
        <v>3951</v>
      </c>
      <c r="AW69">
        <v>15228</v>
      </c>
      <c r="AX69" s="88">
        <v>44</v>
      </c>
      <c r="AY69" s="88">
        <v>3</v>
      </c>
      <c r="AZ69" s="88">
        <v>761</v>
      </c>
      <c r="BA69" s="88">
        <v>0</v>
      </c>
      <c r="BB69">
        <v>177</v>
      </c>
      <c r="BC69">
        <v>1493</v>
      </c>
      <c r="BD69">
        <v>0</v>
      </c>
      <c r="BE69">
        <v>0</v>
      </c>
      <c r="BF69">
        <v>8487</v>
      </c>
      <c r="BG69">
        <v>0</v>
      </c>
      <c r="BH69">
        <v>0</v>
      </c>
      <c r="BI69">
        <v>0</v>
      </c>
      <c r="BJ69">
        <v>16</v>
      </c>
      <c r="BK69">
        <v>5354</v>
      </c>
      <c r="BL69">
        <v>1</v>
      </c>
      <c r="BM69">
        <v>2</v>
      </c>
      <c r="BN69">
        <v>0</v>
      </c>
      <c r="BO69">
        <v>43647</v>
      </c>
      <c r="BP69">
        <v>79268</v>
      </c>
      <c r="BQ69">
        <v>1650</v>
      </c>
      <c r="BR69">
        <v>23</v>
      </c>
      <c r="BS69">
        <v>26559</v>
      </c>
      <c r="BT69">
        <v>1112</v>
      </c>
      <c r="BU69">
        <v>1</v>
      </c>
      <c r="BV69">
        <v>0</v>
      </c>
      <c r="BW69">
        <v>1</v>
      </c>
      <c r="BX69">
        <v>0</v>
      </c>
      <c r="BY69">
        <v>256</v>
      </c>
      <c r="BZ69">
        <v>0</v>
      </c>
      <c r="CA69">
        <v>30453</v>
      </c>
      <c r="CB69">
        <v>13351</v>
      </c>
      <c r="CC69">
        <v>131946</v>
      </c>
      <c r="CD69">
        <v>297302</v>
      </c>
      <c r="CE69">
        <v>40414</v>
      </c>
      <c r="CF69">
        <v>70767</v>
      </c>
      <c r="CG69">
        <v>0</v>
      </c>
      <c r="CH69">
        <v>6</v>
      </c>
      <c r="CI69">
        <v>0</v>
      </c>
      <c r="CJ69">
        <v>81</v>
      </c>
      <c r="CK69">
        <v>65386</v>
      </c>
      <c r="CL69">
        <v>45532</v>
      </c>
      <c r="CM69">
        <v>180728</v>
      </c>
      <c r="CN69">
        <v>39641</v>
      </c>
      <c r="CO69">
        <v>358</v>
      </c>
      <c r="CP69">
        <v>11402</v>
      </c>
      <c r="CQ69">
        <v>1333</v>
      </c>
      <c r="CR69">
        <v>43</v>
      </c>
      <c r="CY69">
        <v>0</v>
      </c>
      <c r="CZ69">
        <v>0</v>
      </c>
      <c r="DA69">
        <v>0</v>
      </c>
      <c r="DB69">
        <v>13</v>
      </c>
      <c r="DC69">
        <v>0</v>
      </c>
      <c r="DD69">
        <v>23</v>
      </c>
      <c r="DE69" s="2"/>
      <c r="DG69" s="2">
        <f t="shared" si="36"/>
        <v>1095284</v>
      </c>
      <c r="DH69" s="2">
        <f t="shared" si="44"/>
        <v>288905</v>
      </c>
      <c r="DI69" s="2">
        <f t="shared" si="43"/>
        <v>1384189</v>
      </c>
      <c r="DJ69" s="2"/>
      <c r="DK69" s="2">
        <f t="shared" si="45"/>
        <v>75938</v>
      </c>
      <c r="DL69" s="2">
        <f t="shared" si="46"/>
        <v>146631</v>
      </c>
      <c r="DM69" s="2">
        <f t="shared" si="47"/>
        <v>14829</v>
      </c>
      <c r="DN69" s="2">
        <f t="shared" si="48"/>
        <v>50135</v>
      </c>
      <c r="DO69" s="2">
        <f t="shared" si="49"/>
        <v>503297</v>
      </c>
      <c r="DP69" s="2">
        <f t="shared" si="38"/>
        <v>107325</v>
      </c>
      <c r="DQ69" s="2">
        <f t="shared" si="50"/>
        <v>1376</v>
      </c>
      <c r="DR69" s="2">
        <f t="shared" si="51"/>
        <v>13360</v>
      </c>
      <c r="DS69" s="2">
        <f t="shared" si="52"/>
        <v>43648</v>
      </c>
      <c r="DT69" s="2">
        <f t="shared" si="53"/>
        <v>13843</v>
      </c>
      <c r="DU69" s="2">
        <f t="shared" si="40"/>
        <v>110918</v>
      </c>
      <c r="DV69" s="2">
        <f t="shared" si="41"/>
        <v>220727</v>
      </c>
      <c r="DW69" s="2"/>
      <c r="DX69" s="2">
        <f t="shared" si="42"/>
        <v>1302027</v>
      </c>
      <c r="DY69" s="2"/>
      <c r="DZ69" s="2">
        <f t="shared" si="54"/>
        <v>659924</v>
      </c>
      <c r="EA69" s="2">
        <f t="shared" si="39"/>
        <v>75906</v>
      </c>
      <c r="EC69" s="2">
        <f t="shared" si="55"/>
        <v>1460095</v>
      </c>
    </row>
    <row r="70" spans="1:133" x14ac:dyDescent="0.25">
      <c r="A70" s="13">
        <v>43831</v>
      </c>
      <c r="B70">
        <v>0</v>
      </c>
      <c r="C70">
        <v>0</v>
      </c>
      <c r="D70">
        <v>0</v>
      </c>
      <c r="E70">
        <v>0</v>
      </c>
      <c r="F70">
        <v>1719</v>
      </c>
      <c r="G70">
        <v>19328</v>
      </c>
      <c r="H70">
        <v>49470</v>
      </c>
      <c r="I70">
        <v>915</v>
      </c>
      <c r="J70">
        <v>2336</v>
      </c>
      <c r="K70">
        <v>1406</v>
      </c>
      <c r="L70">
        <v>34177</v>
      </c>
      <c r="M70">
        <v>1383</v>
      </c>
      <c r="N70">
        <v>894</v>
      </c>
      <c r="O70">
        <v>1754</v>
      </c>
      <c r="P70">
        <v>11234</v>
      </c>
      <c r="Q70">
        <v>280</v>
      </c>
      <c r="R70">
        <v>5860</v>
      </c>
      <c r="S70">
        <v>14914</v>
      </c>
      <c r="T70">
        <v>45</v>
      </c>
      <c r="U70">
        <v>4762</v>
      </c>
      <c r="V70">
        <v>47</v>
      </c>
      <c r="W70">
        <v>16954</v>
      </c>
      <c r="X70">
        <v>459</v>
      </c>
      <c r="Y70">
        <v>4</v>
      </c>
      <c r="Z70">
        <v>3</v>
      </c>
      <c r="AA70">
        <v>0</v>
      </c>
      <c r="AB70">
        <v>72</v>
      </c>
      <c r="AC70">
        <v>22</v>
      </c>
      <c r="AD70">
        <v>24</v>
      </c>
      <c r="AE70">
        <v>18</v>
      </c>
      <c r="AF70">
        <v>42</v>
      </c>
      <c r="AG70">
        <v>155</v>
      </c>
      <c r="AH70">
        <v>2561</v>
      </c>
      <c r="AI70">
        <v>1</v>
      </c>
      <c r="AJ70">
        <v>10616</v>
      </c>
      <c r="AK70">
        <v>111729</v>
      </c>
      <c r="AL70">
        <v>1982</v>
      </c>
      <c r="AM70">
        <v>22505</v>
      </c>
      <c r="AN70">
        <v>8</v>
      </c>
      <c r="AO70">
        <v>26</v>
      </c>
      <c r="AP70">
        <v>12141</v>
      </c>
      <c r="AQ70">
        <v>0</v>
      </c>
      <c r="AR70">
        <v>472</v>
      </c>
      <c r="AS70">
        <v>35</v>
      </c>
      <c r="AT70">
        <v>10363</v>
      </c>
      <c r="AU70">
        <v>2404</v>
      </c>
      <c r="AV70">
        <v>3612</v>
      </c>
      <c r="AW70">
        <v>15192</v>
      </c>
      <c r="AX70" s="88">
        <v>34</v>
      </c>
      <c r="AY70" s="88">
        <v>0</v>
      </c>
      <c r="AZ70" s="88">
        <v>750</v>
      </c>
      <c r="BA70" s="88">
        <v>0</v>
      </c>
      <c r="BB70">
        <v>166</v>
      </c>
      <c r="BC70">
        <v>1505</v>
      </c>
      <c r="BD70">
        <v>0</v>
      </c>
      <c r="BE70">
        <v>0</v>
      </c>
      <c r="BF70">
        <v>8495</v>
      </c>
      <c r="BG70">
        <v>0</v>
      </c>
      <c r="BH70">
        <v>0</v>
      </c>
      <c r="BI70">
        <v>0</v>
      </c>
      <c r="BJ70">
        <v>15</v>
      </c>
      <c r="BK70">
        <v>5373</v>
      </c>
      <c r="BL70">
        <v>0</v>
      </c>
      <c r="BM70">
        <v>0</v>
      </c>
      <c r="BN70">
        <v>0</v>
      </c>
      <c r="BO70">
        <v>44139</v>
      </c>
      <c r="BP70">
        <v>79553</v>
      </c>
      <c r="BQ70">
        <v>1468</v>
      </c>
      <c r="BR70">
        <v>20</v>
      </c>
      <c r="BS70">
        <v>26944</v>
      </c>
      <c r="BT70">
        <v>1036</v>
      </c>
      <c r="BU70">
        <v>1</v>
      </c>
      <c r="BV70">
        <v>0</v>
      </c>
      <c r="BW70">
        <v>0</v>
      </c>
      <c r="BX70">
        <v>0</v>
      </c>
      <c r="BY70">
        <v>264</v>
      </c>
      <c r="BZ70">
        <v>0</v>
      </c>
      <c r="CA70">
        <v>32076</v>
      </c>
      <c r="CB70">
        <v>13148</v>
      </c>
      <c r="CC70">
        <v>132286</v>
      </c>
      <c r="CD70">
        <v>299338</v>
      </c>
      <c r="CE70">
        <v>40714</v>
      </c>
      <c r="CF70">
        <v>75187</v>
      </c>
      <c r="CG70">
        <v>0</v>
      </c>
      <c r="CH70">
        <v>7</v>
      </c>
      <c r="CI70">
        <v>0</v>
      </c>
      <c r="CJ70">
        <v>79</v>
      </c>
      <c r="CK70">
        <v>67536</v>
      </c>
      <c r="CL70">
        <v>48833</v>
      </c>
      <c r="CM70">
        <v>193704</v>
      </c>
      <c r="CN70">
        <v>46990</v>
      </c>
      <c r="CO70">
        <v>355</v>
      </c>
      <c r="CP70">
        <v>14680</v>
      </c>
      <c r="CQ70">
        <v>1448</v>
      </c>
      <c r="CR70">
        <v>36</v>
      </c>
      <c r="CY70">
        <v>0</v>
      </c>
      <c r="CZ70">
        <v>0</v>
      </c>
      <c r="DA70">
        <v>0</v>
      </c>
      <c r="DB70">
        <v>13</v>
      </c>
      <c r="DC70">
        <v>0</v>
      </c>
      <c r="DD70">
        <v>23</v>
      </c>
      <c r="DE70" s="2"/>
      <c r="DG70" s="2">
        <f t="shared" si="36"/>
        <v>1133780</v>
      </c>
      <c r="DH70" s="2">
        <f t="shared" si="44"/>
        <v>288260</v>
      </c>
      <c r="DI70" s="2">
        <f t="shared" si="43"/>
        <v>1422040</v>
      </c>
      <c r="DJ70" s="2"/>
      <c r="DK70" s="2">
        <f t="shared" si="45"/>
        <v>76496</v>
      </c>
      <c r="DL70" s="2">
        <f t="shared" si="46"/>
        <v>145453</v>
      </c>
      <c r="DM70" s="2">
        <f t="shared" si="47"/>
        <v>14914</v>
      </c>
      <c r="DN70" s="2">
        <f t="shared" si="48"/>
        <v>49906</v>
      </c>
      <c r="DO70" s="2">
        <f t="shared" si="49"/>
        <v>507330</v>
      </c>
      <c r="DP70" s="2">
        <f t="shared" si="38"/>
        <v>108002</v>
      </c>
      <c r="DQ70" s="2">
        <f t="shared" si="50"/>
        <v>1484</v>
      </c>
      <c r="DR70" s="2">
        <f t="shared" si="51"/>
        <v>13158</v>
      </c>
      <c r="DS70" s="2">
        <f t="shared" si="52"/>
        <v>44140</v>
      </c>
      <c r="DT70" s="2">
        <f t="shared" si="53"/>
        <v>13868</v>
      </c>
      <c r="DU70" s="2">
        <f t="shared" si="40"/>
        <v>116369</v>
      </c>
      <c r="DV70" s="2">
        <f t="shared" si="41"/>
        <v>241049</v>
      </c>
      <c r="DW70" s="2"/>
      <c r="DX70" s="2">
        <f t="shared" si="42"/>
        <v>1332169</v>
      </c>
      <c r="DY70" s="2"/>
      <c r="DZ70" s="2">
        <f t="shared" si="54"/>
        <v>668434</v>
      </c>
      <c r="EA70" s="2">
        <f t="shared" si="39"/>
        <v>76068</v>
      </c>
      <c r="EB70" s="2"/>
      <c r="EC70" s="2">
        <f t="shared" si="55"/>
        <v>1498108</v>
      </c>
    </row>
    <row r="71" spans="1:133" x14ac:dyDescent="0.25">
      <c r="A71" s="13">
        <v>43862</v>
      </c>
      <c r="B71">
        <v>0</v>
      </c>
      <c r="C71">
        <v>0</v>
      </c>
      <c r="D71">
        <v>0</v>
      </c>
      <c r="E71">
        <v>0</v>
      </c>
      <c r="F71">
        <v>1687</v>
      </c>
      <c r="G71">
        <v>19385</v>
      </c>
      <c r="H71">
        <v>49994</v>
      </c>
      <c r="I71">
        <v>920</v>
      </c>
      <c r="J71">
        <v>2322</v>
      </c>
      <c r="K71">
        <v>1409</v>
      </c>
      <c r="L71">
        <v>34006</v>
      </c>
      <c r="M71">
        <v>1364</v>
      </c>
      <c r="N71">
        <v>913</v>
      </c>
      <c r="O71">
        <v>1747</v>
      </c>
      <c r="P71">
        <v>11065</v>
      </c>
      <c r="Q71">
        <v>279</v>
      </c>
      <c r="R71">
        <v>5557</v>
      </c>
      <c r="S71">
        <v>14949</v>
      </c>
      <c r="T71">
        <v>54</v>
      </c>
      <c r="U71">
        <v>4726</v>
      </c>
      <c r="V71">
        <v>42</v>
      </c>
      <c r="W71">
        <v>17333</v>
      </c>
      <c r="X71">
        <v>466</v>
      </c>
      <c r="Y71">
        <v>5</v>
      </c>
      <c r="Z71">
        <v>4</v>
      </c>
      <c r="AA71">
        <v>2</v>
      </c>
      <c r="AB71">
        <v>69</v>
      </c>
      <c r="AC71">
        <v>19</v>
      </c>
      <c r="AD71">
        <v>26</v>
      </c>
      <c r="AE71">
        <v>16</v>
      </c>
      <c r="AF71">
        <v>43</v>
      </c>
      <c r="AG71">
        <v>140</v>
      </c>
      <c r="AH71">
        <v>2587</v>
      </c>
      <c r="AI71">
        <v>1</v>
      </c>
      <c r="AJ71">
        <v>10620</v>
      </c>
      <c r="AK71">
        <v>111657</v>
      </c>
      <c r="AL71">
        <v>1959</v>
      </c>
      <c r="AM71">
        <v>22430</v>
      </c>
      <c r="AN71">
        <v>5</v>
      </c>
      <c r="AO71">
        <v>13</v>
      </c>
      <c r="AP71">
        <v>12061</v>
      </c>
      <c r="AQ71">
        <v>0</v>
      </c>
      <c r="AR71">
        <v>482</v>
      </c>
      <c r="AS71">
        <v>38</v>
      </c>
      <c r="AT71">
        <v>10336</v>
      </c>
      <c r="AU71">
        <v>2395</v>
      </c>
      <c r="AV71">
        <v>3592</v>
      </c>
      <c r="AW71">
        <v>15155</v>
      </c>
      <c r="AX71" s="88">
        <v>44</v>
      </c>
      <c r="AY71" s="88">
        <v>1</v>
      </c>
      <c r="AZ71" s="88">
        <v>736</v>
      </c>
      <c r="BA71" s="88">
        <v>0</v>
      </c>
      <c r="BB71">
        <v>148</v>
      </c>
      <c r="BC71">
        <v>1543</v>
      </c>
      <c r="BD71">
        <v>0</v>
      </c>
      <c r="BE71">
        <v>0</v>
      </c>
      <c r="BF71">
        <v>8510</v>
      </c>
      <c r="BG71">
        <v>0</v>
      </c>
      <c r="BH71">
        <v>0</v>
      </c>
      <c r="BI71">
        <v>0</v>
      </c>
      <c r="BJ71">
        <v>15</v>
      </c>
      <c r="BK71">
        <v>5347</v>
      </c>
      <c r="BL71">
        <v>2</v>
      </c>
      <c r="BM71">
        <v>7</v>
      </c>
      <c r="BN71">
        <v>0</v>
      </c>
      <c r="BO71">
        <v>45213</v>
      </c>
      <c r="BP71">
        <v>79395</v>
      </c>
      <c r="BQ71">
        <v>1448</v>
      </c>
      <c r="BR71">
        <v>20</v>
      </c>
      <c r="BS71">
        <v>26963</v>
      </c>
      <c r="BT71">
        <v>1002</v>
      </c>
      <c r="BU71">
        <v>2</v>
      </c>
      <c r="BV71">
        <v>0</v>
      </c>
      <c r="BW71">
        <v>0</v>
      </c>
      <c r="BX71">
        <v>0</v>
      </c>
      <c r="BY71">
        <v>268</v>
      </c>
      <c r="BZ71">
        <v>0</v>
      </c>
      <c r="CA71">
        <v>32065</v>
      </c>
      <c r="CB71">
        <v>13263</v>
      </c>
      <c r="CC71">
        <v>132071</v>
      </c>
      <c r="CD71">
        <v>299281</v>
      </c>
      <c r="CE71">
        <v>40982</v>
      </c>
      <c r="CF71">
        <v>75211</v>
      </c>
      <c r="CG71">
        <v>0</v>
      </c>
      <c r="CH71">
        <v>8</v>
      </c>
      <c r="CI71">
        <v>0</v>
      </c>
      <c r="CJ71">
        <v>76</v>
      </c>
      <c r="CK71">
        <v>68004</v>
      </c>
      <c r="CL71">
        <v>49417</v>
      </c>
      <c r="CM71">
        <v>198071</v>
      </c>
      <c r="CN71">
        <v>47730</v>
      </c>
      <c r="CO71">
        <v>500</v>
      </c>
      <c r="CP71">
        <v>18205</v>
      </c>
      <c r="CQ71">
        <v>1563</v>
      </c>
      <c r="CR71">
        <v>40</v>
      </c>
      <c r="CY71">
        <v>0</v>
      </c>
      <c r="CZ71">
        <v>0</v>
      </c>
      <c r="DA71">
        <v>0</v>
      </c>
      <c r="DB71">
        <v>13</v>
      </c>
      <c r="DC71">
        <v>0</v>
      </c>
      <c r="DD71">
        <v>23</v>
      </c>
      <c r="DE71" s="2"/>
      <c r="DG71" s="2">
        <f t="shared" si="36"/>
        <v>1144664</v>
      </c>
      <c r="DH71" s="2">
        <f t="shared" si="44"/>
        <v>287737</v>
      </c>
      <c r="DI71" s="2">
        <f t="shared" si="43"/>
        <v>1432401</v>
      </c>
      <c r="DJ71" s="2"/>
      <c r="DK71" s="2">
        <f t="shared" si="45"/>
        <v>76173</v>
      </c>
      <c r="DL71" s="2">
        <f t="shared" si="46"/>
        <v>145299</v>
      </c>
      <c r="DM71" s="2">
        <f t="shared" si="47"/>
        <v>14949</v>
      </c>
      <c r="DN71" s="2">
        <f t="shared" si="48"/>
        <v>49702</v>
      </c>
      <c r="DO71" s="2">
        <f t="shared" si="49"/>
        <v>507272</v>
      </c>
      <c r="DP71" s="2">
        <f t="shared" si="38"/>
        <v>107909</v>
      </c>
      <c r="DQ71" s="2">
        <f t="shared" si="50"/>
        <v>1603</v>
      </c>
      <c r="DR71" s="2">
        <f t="shared" si="51"/>
        <v>13275</v>
      </c>
      <c r="DS71" s="2">
        <f t="shared" si="52"/>
        <v>45215</v>
      </c>
      <c r="DT71" s="2">
        <f t="shared" si="53"/>
        <v>13859</v>
      </c>
      <c r="DU71" s="2">
        <f t="shared" si="40"/>
        <v>117421</v>
      </c>
      <c r="DV71" s="2">
        <f t="shared" si="41"/>
        <v>246301</v>
      </c>
      <c r="DW71" s="2"/>
      <c r="DX71" s="2">
        <f t="shared" si="42"/>
        <v>1338978</v>
      </c>
      <c r="DY71" s="2"/>
      <c r="DZ71" s="2">
        <f t="shared" si="54"/>
        <v>668963</v>
      </c>
      <c r="EA71" s="2">
        <f t="shared" si="39"/>
        <v>76630</v>
      </c>
      <c r="EB71" s="2"/>
      <c r="EC71" s="2">
        <f t="shared" si="55"/>
        <v>1509031</v>
      </c>
    </row>
    <row r="72" spans="1:133" x14ac:dyDescent="0.25">
      <c r="A72" s="13">
        <v>43891</v>
      </c>
      <c r="B72">
        <v>0</v>
      </c>
      <c r="C72">
        <v>0</v>
      </c>
      <c r="D72">
        <v>0</v>
      </c>
      <c r="E72">
        <v>0</v>
      </c>
      <c r="F72">
        <v>1563</v>
      </c>
      <c r="G72">
        <v>19477</v>
      </c>
      <c r="H72">
        <v>50179</v>
      </c>
      <c r="I72">
        <v>934</v>
      </c>
      <c r="J72">
        <v>2337</v>
      </c>
      <c r="K72">
        <v>1457</v>
      </c>
      <c r="L72">
        <v>33945</v>
      </c>
      <c r="M72">
        <v>1358</v>
      </c>
      <c r="N72">
        <v>912</v>
      </c>
      <c r="O72">
        <v>1735</v>
      </c>
      <c r="P72">
        <v>10958</v>
      </c>
      <c r="Q72">
        <v>281</v>
      </c>
      <c r="R72">
        <v>5386</v>
      </c>
      <c r="S72">
        <v>14911</v>
      </c>
      <c r="T72">
        <v>47</v>
      </c>
      <c r="U72">
        <v>4693</v>
      </c>
      <c r="V72">
        <v>35</v>
      </c>
      <c r="W72">
        <v>17668</v>
      </c>
      <c r="X72">
        <v>461</v>
      </c>
      <c r="Y72">
        <v>4</v>
      </c>
      <c r="Z72">
        <v>2</v>
      </c>
      <c r="AA72">
        <v>1</v>
      </c>
      <c r="AB72">
        <v>68</v>
      </c>
      <c r="AC72">
        <v>19</v>
      </c>
      <c r="AD72">
        <v>27</v>
      </c>
      <c r="AE72">
        <v>17</v>
      </c>
      <c r="AF72">
        <v>44</v>
      </c>
      <c r="AG72">
        <v>137</v>
      </c>
      <c r="AH72">
        <v>2597</v>
      </c>
      <c r="AI72">
        <v>1</v>
      </c>
      <c r="AJ72">
        <v>10826</v>
      </c>
      <c r="AK72">
        <v>111695</v>
      </c>
      <c r="AL72">
        <v>1938</v>
      </c>
      <c r="AM72">
        <v>22349</v>
      </c>
      <c r="AN72">
        <v>4</v>
      </c>
      <c r="AO72">
        <v>8</v>
      </c>
      <c r="AP72">
        <v>11976</v>
      </c>
      <c r="AQ72">
        <v>0</v>
      </c>
      <c r="AR72">
        <v>478</v>
      </c>
      <c r="AS72">
        <v>39</v>
      </c>
      <c r="AT72">
        <v>10225</v>
      </c>
      <c r="AU72">
        <v>2399</v>
      </c>
      <c r="AV72">
        <v>3501</v>
      </c>
      <c r="AW72">
        <v>15128</v>
      </c>
      <c r="AX72" s="88">
        <v>38</v>
      </c>
      <c r="AY72" s="88">
        <v>3</v>
      </c>
      <c r="AZ72" s="88">
        <v>731</v>
      </c>
      <c r="BA72" s="88">
        <v>0</v>
      </c>
      <c r="BB72">
        <v>167</v>
      </c>
      <c r="BC72">
        <v>1549</v>
      </c>
      <c r="BD72">
        <v>0</v>
      </c>
      <c r="BE72">
        <v>0</v>
      </c>
      <c r="BF72">
        <v>8512</v>
      </c>
      <c r="BG72">
        <v>0</v>
      </c>
      <c r="BH72">
        <v>0</v>
      </c>
      <c r="BI72">
        <v>0</v>
      </c>
      <c r="BJ72">
        <v>14</v>
      </c>
      <c r="BK72">
        <v>5334</v>
      </c>
      <c r="BL72">
        <v>1</v>
      </c>
      <c r="BM72">
        <v>6</v>
      </c>
      <c r="BN72">
        <v>0</v>
      </c>
      <c r="BO72">
        <v>45893</v>
      </c>
      <c r="BP72">
        <v>79748</v>
      </c>
      <c r="BQ72">
        <v>1410</v>
      </c>
      <c r="BR72">
        <v>20</v>
      </c>
      <c r="BS72">
        <v>27063</v>
      </c>
      <c r="BT72">
        <v>949</v>
      </c>
      <c r="BU72">
        <v>0</v>
      </c>
      <c r="BV72">
        <v>0</v>
      </c>
      <c r="BW72">
        <v>1</v>
      </c>
      <c r="BX72">
        <v>0</v>
      </c>
      <c r="BY72">
        <v>265</v>
      </c>
      <c r="BZ72">
        <v>0</v>
      </c>
      <c r="CA72">
        <v>32019</v>
      </c>
      <c r="CB72">
        <v>13155</v>
      </c>
      <c r="CC72">
        <v>132271</v>
      </c>
      <c r="CD72">
        <v>299678</v>
      </c>
      <c r="CE72">
        <v>41312</v>
      </c>
      <c r="CF72">
        <v>75329</v>
      </c>
      <c r="CG72">
        <v>0</v>
      </c>
      <c r="CH72">
        <v>11</v>
      </c>
      <c r="CI72">
        <v>0</v>
      </c>
      <c r="CJ72">
        <v>75</v>
      </c>
      <c r="CK72">
        <v>68303</v>
      </c>
      <c r="CL72">
        <v>49637</v>
      </c>
      <c r="CM72">
        <v>202112</v>
      </c>
      <c r="CN72">
        <v>48188</v>
      </c>
      <c r="CO72">
        <v>329</v>
      </c>
      <c r="CP72">
        <v>18420</v>
      </c>
      <c r="CQ72">
        <v>1585</v>
      </c>
      <c r="CR72">
        <v>47</v>
      </c>
      <c r="CY72">
        <v>0</v>
      </c>
      <c r="CZ72">
        <v>0</v>
      </c>
      <c r="DA72">
        <v>0</v>
      </c>
      <c r="DB72">
        <v>13</v>
      </c>
      <c r="DC72">
        <v>0</v>
      </c>
      <c r="DD72">
        <v>23</v>
      </c>
      <c r="DE72" s="2"/>
      <c r="DG72" s="2">
        <f t="shared" si="36"/>
        <v>1151645</v>
      </c>
      <c r="DH72" s="2">
        <f t="shared" si="44"/>
        <v>287495</v>
      </c>
      <c r="DI72" s="2">
        <f t="shared" si="43"/>
        <v>1439140</v>
      </c>
      <c r="DJ72" s="2"/>
      <c r="DK72" s="2">
        <f t="shared" si="45"/>
        <v>76106</v>
      </c>
      <c r="DL72" s="2">
        <f t="shared" si="46"/>
        <v>145335</v>
      </c>
      <c r="DM72" s="2">
        <f t="shared" si="47"/>
        <v>14911</v>
      </c>
      <c r="DN72" s="2">
        <f t="shared" si="48"/>
        <v>49505</v>
      </c>
      <c r="DO72" s="2">
        <f t="shared" si="49"/>
        <v>508051</v>
      </c>
      <c r="DP72" s="2">
        <f t="shared" si="38"/>
        <v>108369</v>
      </c>
      <c r="DQ72" s="2">
        <f t="shared" si="50"/>
        <v>1632</v>
      </c>
      <c r="DR72" s="2">
        <f t="shared" si="51"/>
        <v>13168</v>
      </c>
      <c r="DS72" s="2">
        <f t="shared" si="52"/>
        <v>45893</v>
      </c>
      <c r="DT72" s="2">
        <f t="shared" si="53"/>
        <v>13848</v>
      </c>
      <c r="DU72" s="2">
        <f t="shared" si="40"/>
        <v>117940</v>
      </c>
      <c r="DV72" s="2">
        <f t="shared" si="41"/>
        <v>250629</v>
      </c>
      <c r="DW72" s="2"/>
      <c r="DX72" s="2">
        <f t="shared" si="42"/>
        <v>1345387</v>
      </c>
      <c r="DY72" s="2"/>
      <c r="DZ72" s="2">
        <f t="shared" si="54"/>
        <v>670155</v>
      </c>
      <c r="EA72" s="2">
        <f t="shared" si="39"/>
        <v>76859</v>
      </c>
      <c r="EB72" s="2"/>
      <c r="EC72" s="2">
        <f t="shared" si="55"/>
        <v>1515999</v>
      </c>
    </row>
    <row r="73" spans="1:133" x14ac:dyDescent="0.25">
      <c r="A73" s="13">
        <v>43922</v>
      </c>
      <c r="B73">
        <v>0</v>
      </c>
      <c r="C73">
        <v>0</v>
      </c>
      <c r="D73">
        <v>0</v>
      </c>
      <c r="E73">
        <v>0</v>
      </c>
      <c r="F73">
        <v>1642</v>
      </c>
      <c r="G73">
        <v>19631</v>
      </c>
      <c r="H73">
        <v>50836</v>
      </c>
      <c r="I73">
        <v>894</v>
      </c>
      <c r="J73">
        <v>2343</v>
      </c>
      <c r="K73">
        <v>1443</v>
      </c>
      <c r="L73">
        <v>33910</v>
      </c>
      <c r="M73">
        <v>1341</v>
      </c>
      <c r="N73">
        <v>927</v>
      </c>
      <c r="O73">
        <v>1747</v>
      </c>
      <c r="P73">
        <v>11093</v>
      </c>
      <c r="Q73">
        <v>281</v>
      </c>
      <c r="R73">
        <v>5265</v>
      </c>
      <c r="S73">
        <v>15036</v>
      </c>
      <c r="T73">
        <v>51</v>
      </c>
      <c r="U73">
        <v>4678</v>
      </c>
      <c r="V73">
        <v>38</v>
      </c>
      <c r="W73">
        <v>18238</v>
      </c>
      <c r="X73">
        <v>459</v>
      </c>
      <c r="Y73">
        <v>4</v>
      </c>
      <c r="Z73">
        <v>1</v>
      </c>
      <c r="AA73">
        <v>1</v>
      </c>
      <c r="AB73">
        <v>70</v>
      </c>
      <c r="AC73">
        <v>21</v>
      </c>
      <c r="AD73">
        <v>26</v>
      </c>
      <c r="AE73">
        <v>15</v>
      </c>
      <c r="AF73">
        <v>43</v>
      </c>
      <c r="AG73">
        <v>149</v>
      </c>
      <c r="AH73">
        <v>2610</v>
      </c>
      <c r="AI73">
        <v>1</v>
      </c>
      <c r="AJ73">
        <v>11129</v>
      </c>
      <c r="AK73">
        <v>111889</v>
      </c>
      <c r="AL73">
        <v>1944</v>
      </c>
      <c r="AM73">
        <v>22474</v>
      </c>
      <c r="AN73">
        <v>7</v>
      </c>
      <c r="AO73">
        <v>8</v>
      </c>
      <c r="AP73">
        <v>12009</v>
      </c>
      <c r="AQ73">
        <v>0</v>
      </c>
      <c r="AR73">
        <v>464</v>
      </c>
      <c r="AS73">
        <v>39</v>
      </c>
      <c r="AT73">
        <v>10242</v>
      </c>
      <c r="AU73">
        <v>2415</v>
      </c>
      <c r="AV73">
        <v>3462</v>
      </c>
      <c r="AW73">
        <v>15220</v>
      </c>
      <c r="AX73" s="88">
        <v>13</v>
      </c>
      <c r="AY73" s="88">
        <v>1</v>
      </c>
      <c r="AZ73" s="88">
        <v>734</v>
      </c>
      <c r="BA73" s="88">
        <v>0</v>
      </c>
      <c r="BB73">
        <v>173</v>
      </c>
      <c r="BC73">
        <v>1588</v>
      </c>
      <c r="BD73">
        <v>0</v>
      </c>
      <c r="BE73">
        <v>0</v>
      </c>
      <c r="BF73">
        <v>8514</v>
      </c>
      <c r="BG73">
        <v>0</v>
      </c>
      <c r="BH73">
        <v>0</v>
      </c>
      <c r="BI73">
        <v>0</v>
      </c>
      <c r="BJ73">
        <v>13</v>
      </c>
      <c r="BK73">
        <v>5431</v>
      </c>
      <c r="BL73">
        <v>0</v>
      </c>
      <c r="BM73">
        <v>6</v>
      </c>
      <c r="BN73">
        <v>0</v>
      </c>
      <c r="BO73">
        <v>46520</v>
      </c>
      <c r="BP73">
        <v>80503</v>
      </c>
      <c r="BQ73">
        <v>1405</v>
      </c>
      <c r="BR73">
        <v>19</v>
      </c>
      <c r="BS73">
        <v>27314</v>
      </c>
      <c r="BT73">
        <v>933</v>
      </c>
      <c r="BU73">
        <v>1</v>
      </c>
      <c r="BV73">
        <v>0</v>
      </c>
      <c r="BW73">
        <v>1</v>
      </c>
      <c r="BX73">
        <v>0</v>
      </c>
      <c r="BY73">
        <v>283</v>
      </c>
      <c r="BZ73">
        <v>0</v>
      </c>
      <c r="CA73">
        <v>31927</v>
      </c>
      <c r="CB73">
        <v>13727</v>
      </c>
      <c r="CC73">
        <v>132893</v>
      </c>
      <c r="CD73">
        <v>302504</v>
      </c>
      <c r="CE73">
        <v>41729</v>
      </c>
      <c r="CF73">
        <v>75899</v>
      </c>
      <c r="CG73">
        <v>0</v>
      </c>
      <c r="CH73">
        <v>13</v>
      </c>
      <c r="CI73">
        <v>0</v>
      </c>
      <c r="CJ73">
        <v>70</v>
      </c>
      <c r="CK73">
        <v>68913</v>
      </c>
      <c r="CL73">
        <v>49908</v>
      </c>
      <c r="CM73">
        <v>208585</v>
      </c>
      <c r="CN73">
        <v>49122</v>
      </c>
      <c r="CO73">
        <v>315</v>
      </c>
      <c r="CP73">
        <v>19780</v>
      </c>
      <c r="CQ73">
        <v>1686</v>
      </c>
      <c r="CR73">
        <v>51</v>
      </c>
      <c r="CY73">
        <v>0</v>
      </c>
      <c r="CZ73">
        <v>0</v>
      </c>
      <c r="DA73">
        <v>0</v>
      </c>
      <c r="DB73">
        <v>13</v>
      </c>
      <c r="DC73">
        <v>0</v>
      </c>
      <c r="DD73">
        <v>23</v>
      </c>
      <c r="DE73" s="2"/>
      <c r="DG73" s="2">
        <f t="shared" si="36"/>
        <v>1167930</v>
      </c>
      <c r="DH73" s="2">
        <f t="shared" si="44"/>
        <v>289018</v>
      </c>
      <c r="DI73" s="2">
        <f t="shared" si="43"/>
        <v>1456948</v>
      </c>
      <c r="DJ73" s="2"/>
      <c r="DK73" s="2">
        <f t="shared" si="45"/>
        <v>76642</v>
      </c>
      <c r="DL73" s="2">
        <f t="shared" si="46"/>
        <v>145854</v>
      </c>
      <c r="DM73" s="2">
        <f t="shared" si="47"/>
        <v>15036</v>
      </c>
      <c r="DN73" s="2">
        <f t="shared" si="48"/>
        <v>49754</v>
      </c>
      <c r="DO73" s="2">
        <f t="shared" si="49"/>
        <v>511789</v>
      </c>
      <c r="DP73" s="2">
        <f t="shared" si="38"/>
        <v>109412</v>
      </c>
      <c r="DQ73" s="2">
        <f t="shared" si="50"/>
        <v>1737</v>
      </c>
      <c r="DR73" s="2">
        <f t="shared" si="51"/>
        <v>13741</v>
      </c>
      <c r="DS73" s="2">
        <f t="shared" si="52"/>
        <v>46521</v>
      </c>
      <c r="DT73" s="2">
        <f t="shared" si="53"/>
        <v>13946</v>
      </c>
      <c r="DU73" s="2">
        <f t="shared" si="40"/>
        <v>118821</v>
      </c>
      <c r="DV73" s="2">
        <f t="shared" si="41"/>
        <v>258022</v>
      </c>
      <c r="DW73" s="2"/>
      <c r="DX73" s="2">
        <f t="shared" si="42"/>
        <v>1361275</v>
      </c>
      <c r="DY73" s="2"/>
      <c r="DZ73" s="2">
        <f t="shared" si="54"/>
        <v>675338</v>
      </c>
      <c r="EA73" s="2">
        <f t="shared" si="39"/>
        <v>77716</v>
      </c>
      <c r="EB73" s="2"/>
      <c r="EC73" s="2">
        <f t="shared" si="55"/>
        <v>1534664</v>
      </c>
    </row>
    <row r="74" spans="1:133" x14ac:dyDescent="0.25">
      <c r="A74" s="13">
        <v>43952</v>
      </c>
      <c r="B74">
        <v>0</v>
      </c>
      <c r="C74">
        <v>0</v>
      </c>
      <c r="D74">
        <v>0</v>
      </c>
      <c r="E74">
        <v>0</v>
      </c>
      <c r="F74">
        <v>1772</v>
      </c>
      <c r="G74">
        <v>19559</v>
      </c>
      <c r="H74">
        <v>51471</v>
      </c>
      <c r="I74">
        <v>933</v>
      </c>
      <c r="J74">
        <v>2397</v>
      </c>
      <c r="K74">
        <v>1496</v>
      </c>
      <c r="L74">
        <v>34175</v>
      </c>
      <c r="M74">
        <v>1337</v>
      </c>
      <c r="N74">
        <v>981</v>
      </c>
      <c r="O74">
        <v>1841</v>
      </c>
      <c r="P74">
        <v>11524</v>
      </c>
      <c r="Q74">
        <v>290</v>
      </c>
      <c r="R74">
        <v>5273</v>
      </c>
      <c r="S74">
        <v>15429</v>
      </c>
      <c r="T74">
        <v>44</v>
      </c>
      <c r="U74">
        <v>4794</v>
      </c>
      <c r="V74">
        <v>47</v>
      </c>
      <c r="W74">
        <v>19207</v>
      </c>
      <c r="X74">
        <v>468</v>
      </c>
      <c r="Y74">
        <v>3</v>
      </c>
      <c r="Z74">
        <v>3</v>
      </c>
      <c r="AA74">
        <v>2</v>
      </c>
      <c r="AB74">
        <v>73</v>
      </c>
      <c r="AC74">
        <v>21</v>
      </c>
      <c r="AD74">
        <v>26</v>
      </c>
      <c r="AE74">
        <v>16</v>
      </c>
      <c r="AF74">
        <v>48</v>
      </c>
      <c r="AG74">
        <v>167</v>
      </c>
      <c r="AH74">
        <v>2636</v>
      </c>
      <c r="AI74">
        <v>1</v>
      </c>
      <c r="AJ74">
        <v>11751</v>
      </c>
      <c r="AK74">
        <v>113005</v>
      </c>
      <c r="AL74">
        <v>1919</v>
      </c>
      <c r="AM74">
        <v>22997</v>
      </c>
      <c r="AN74">
        <v>7</v>
      </c>
      <c r="AO74">
        <v>8</v>
      </c>
      <c r="AP74">
        <v>12272</v>
      </c>
      <c r="AQ74">
        <v>0</v>
      </c>
      <c r="AR74">
        <v>498</v>
      </c>
      <c r="AS74">
        <v>40</v>
      </c>
      <c r="AT74">
        <v>10432</v>
      </c>
      <c r="AU74">
        <v>2464</v>
      </c>
      <c r="AV74">
        <v>3481</v>
      </c>
      <c r="AW74">
        <v>15566</v>
      </c>
      <c r="AX74" s="88">
        <v>15</v>
      </c>
      <c r="AY74" s="88">
        <v>1</v>
      </c>
      <c r="AZ74" s="88">
        <v>756</v>
      </c>
      <c r="BA74" s="88">
        <v>0</v>
      </c>
      <c r="BB74">
        <v>193</v>
      </c>
      <c r="BC74">
        <v>1649</v>
      </c>
      <c r="BD74">
        <v>0</v>
      </c>
      <c r="BE74">
        <v>0</v>
      </c>
      <c r="BF74">
        <v>8575</v>
      </c>
      <c r="BG74">
        <v>0</v>
      </c>
      <c r="BH74">
        <v>0</v>
      </c>
      <c r="BI74">
        <v>0</v>
      </c>
      <c r="BJ74">
        <v>14</v>
      </c>
      <c r="BK74">
        <v>5513</v>
      </c>
      <c r="BL74">
        <v>0</v>
      </c>
      <c r="BM74">
        <v>10</v>
      </c>
      <c r="BN74">
        <v>0</v>
      </c>
      <c r="BO74">
        <v>45220</v>
      </c>
      <c r="BP74">
        <v>84437</v>
      </c>
      <c r="BQ74">
        <v>1487</v>
      </c>
      <c r="BR74">
        <v>22</v>
      </c>
      <c r="BS74">
        <v>29677</v>
      </c>
      <c r="BT74">
        <v>1048</v>
      </c>
      <c r="BU74">
        <v>4</v>
      </c>
      <c r="BV74">
        <v>0</v>
      </c>
      <c r="BW74">
        <v>1</v>
      </c>
      <c r="BX74">
        <v>0</v>
      </c>
      <c r="BY74">
        <v>272</v>
      </c>
      <c r="BZ74">
        <v>0</v>
      </c>
      <c r="CA74">
        <v>32003</v>
      </c>
      <c r="CB74">
        <v>15752</v>
      </c>
      <c r="CC74">
        <v>136909</v>
      </c>
      <c r="CD74">
        <v>313174</v>
      </c>
      <c r="CE74">
        <v>43500</v>
      </c>
      <c r="CF74">
        <v>76873</v>
      </c>
      <c r="CG74">
        <v>0</v>
      </c>
      <c r="CH74">
        <v>15</v>
      </c>
      <c r="CI74">
        <v>0</v>
      </c>
      <c r="CJ74">
        <v>75</v>
      </c>
      <c r="CK74">
        <v>71044</v>
      </c>
      <c r="CL74">
        <v>51496</v>
      </c>
      <c r="CM74">
        <v>222745</v>
      </c>
      <c r="CN74">
        <v>51403</v>
      </c>
      <c r="CO74">
        <v>189</v>
      </c>
      <c r="CP74">
        <v>19614</v>
      </c>
      <c r="CQ74">
        <v>1665</v>
      </c>
      <c r="CR74">
        <v>45</v>
      </c>
      <c r="CY74">
        <v>0</v>
      </c>
      <c r="CZ74">
        <v>0</v>
      </c>
      <c r="DA74">
        <v>0</v>
      </c>
      <c r="DB74">
        <v>13</v>
      </c>
      <c r="DC74">
        <v>0</v>
      </c>
      <c r="DD74">
        <v>23</v>
      </c>
      <c r="DE74" s="2"/>
      <c r="DG74" s="2">
        <f t="shared" si="36"/>
        <v>1212737</v>
      </c>
      <c r="DH74" s="2">
        <f t="shared" si="44"/>
        <v>294523</v>
      </c>
      <c r="DI74" s="2">
        <f t="shared" si="43"/>
        <v>1507260</v>
      </c>
      <c r="DJ74" s="2"/>
      <c r="DK74" s="2">
        <f t="shared" si="45"/>
        <v>78532</v>
      </c>
      <c r="DL74" s="2">
        <f t="shared" si="46"/>
        <v>147959</v>
      </c>
      <c r="DM74" s="2">
        <f t="shared" si="47"/>
        <v>15429</v>
      </c>
      <c r="DN74" s="2">
        <f t="shared" si="48"/>
        <v>50891</v>
      </c>
      <c r="DO74" s="2">
        <f t="shared" si="49"/>
        <v>528519</v>
      </c>
      <c r="DP74" s="2">
        <f t="shared" si="38"/>
        <v>115774</v>
      </c>
      <c r="DQ74" s="2">
        <f t="shared" si="50"/>
        <v>1710</v>
      </c>
      <c r="DR74" s="2">
        <f t="shared" si="51"/>
        <v>15770</v>
      </c>
      <c r="DS74" s="2">
        <f t="shared" si="52"/>
        <v>45224</v>
      </c>
      <c r="DT74" s="2">
        <f t="shared" si="53"/>
        <v>14089</v>
      </c>
      <c r="DU74" s="2">
        <f t="shared" si="40"/>
        <v>122540</v>
      </c>
      <c r="DV74" s="2">
        <f t="shared" si="41"/>
        <v>274337</v>
      </c>
      <c r="DW74" s="2"/>
      <c r="DX74" s="2">
        <f t="shared" si="42"/>
        <v>1410774</v>
      </c>
      <c r="DY74" s="2"/>
      <c r="DZ74" s="2">
        <f t="shared" si="54"/>
        <v>693841</v>
      </c>
      <c r="EA74" s="2">
        <f t="shared" si="39"/>
        <v>78609</v>
      </c>
      <c r="EB74" s="2"/>
      <c r="EC74" s="2">
        <f t="shared" si="55"/>
        <v>1585869</v>
      </c>
    </row>
    <row r="75" spans="1:133" x14ac:dyDescent="0.25">
      <c r="A75" s="13">
        <v>43983</v>
      </c>
      <c r="B75">
        <v>0</v>
      </c>
      <c r="C75">
        <v>0</v>
      </c>
      <c r="D75">
        <v>0</v>
      </c>
      <c r="E75">
        <v>0</v>
      </c>
      <c r="F75">
        <v>1841</v>
      </c>
      <c r="G75">
        <v>19254</v>
      </c>
      <c r="H75">
        <v>51500</v>
      </c>
      <c r="I75">
        <v>925</v>
      </c>
      <c r="J75">
        <v>2425</v>
      </c>
      <c r="K75">
        <v>1540</v>
      </c>
      <c r="L75">
        <v>34130</v>
      </c>
      <c r="M75">
        <v>1332</v>
      </c>
      <c r="N75">
        <v>1027</v>
      </c>
      <c r="O75">
        <v>1874</v>
      </c>
      <c r="P75">
        <v>11562</v>
      </c>
      <c r="Q75">
        <v>288</v>
      </c>
      <c r="R75">
        <v>5204</v>
      </c>
      <c r="S75">
        <v>15530</v>
      </c>
      <c r="T75">
        <v>57</v>
      </c>
      <c r="U75">
        <v>4773</v>
      </c>
      <c r="V75">
        <v>53</v>
      </c>
      <c r="W75">
        <v>19581</v>
      </c>
      <c r="X75">
        <v>472</v>
      </c>
      <c r="Y75">
        <v>3</v>
      </c>
      <c r="Z75">
        <v>2</v>
      </c>
      <c r="AA75">
        <v>2</v>
      </c>
      <c r="AB75">
        <v>78</v>
      </c>
      <c r="AC75">
        <v>21</v>
      </c>
      <c r="AD75">
        <v>26</v>
      </c>
      <c r="AE75">
        <v>16</v>
      </c>
      <c r="AF75">
        <v>48</v>
      </c>
      <c r="AG75">
        <v>186</v>
      </c>
      <c r="AH75">
        <v>2634</v>
      </c>
      <c r="AI75">
        <v>1</v>
      </c>
      <c r="AJ75">
        <v>11968</v>
      </c>
      <c r="AK75">
        <v>113287</v>
      </c>
      <c r="AL75">
        <v>1901</v>
      </c>
      <c r="AM75">
        <v>23077</v>
      </c>
      <c r="AN75">
        <v>5</v>
      </c>
      <c r="AO75">
        <v>8</v>
      </c>
      <c r="AP75">
        <v>12287</v>
      </c>
      <c r="AQ75">
        <v>0</v>
      </c>
      <c r="AR75">
        <v>549</v>
      </c>
      <c r="AS75">
        <v>40</v>
      </c>
      <c r="AT75">
        <v>10460</v>
      </c>
      <c r="AU75">
        <v>2480</v>
      </c>
      <c r="AV75">
        <v>3472</v>
      </c>
      <c r="AW75">
        <v>15645</v>
      </c>
      <c r="AX75" s="88">
        <v>9</v>
      </c>
      <c r="AY75" s="88">
        <v>0</v>
      </c>
      <c r="AZ75" s="88">
        <v>768</v>
      </c>
      <c r="BA75" s="88">
        <v>0</v>
      </c>
      <c r="BB75">
        <v>210</v>
      </c>
      <c r="BC75">
        <v>1668</v>
      </c>
      <c r="BD75">
        <v>0</v>
      </c>
      <c r="BE75">
        <v>0</v>
      </c>
      <c r="BF75">
        <v>8633</v>
      </c>
      <c r="BG75">
        <v>0</v>
      </c>
      <c r="BH75">
        <v>0</v>
      </c>
      <c r="BI75">
        <v>0</v>
      </c>
      <c r="BJ75">
        <v>13</v>
      </c>
      <c r="BK75">
        <v>5510</v>
      </c>
      <c r="BL75">
        <v>0</v>
      </c>
      <c r="BM75">
        <v>6</v>
      </c>
      <c r="BN75">
        <v>0</v>
      </c>
      <c r="BO75">
        <v>45024</v>
      </c>
      <c r="BP75">
        <v>85908</v>
      </c>
      <c r="BQ75">
        <v>1500</v>
      </c>
      <c r="BR75">
        <v>21</v>
      </c>
      <c r="BS75">
        <v>30729</v>
      </c>
      <c r="BT75">
        <v>1059</v>
      </c>
      <c r="BU75">
        <v>2</v>
      </c>
      <c r="BV75">
        <v>0</v>
      </c>
      <c r="BW75">
        <v>1</v>
      </c>
      <c r="BX75">
        <v>0</v>
      </c>
      <c r="BY75">
        <v>269</v>
      </c>
      <c r="BZ75">
        <v>0</v>
      </c>
      <c r="CA75">
        <v>31732</v>
      </c>
      <c r="CB75">
        <v>16921</v>
      </c>
      <c r="CC75">
        <v>137609</v>
      </c>
      <c r="CD75">
        <v>318579</v>
      </c>
      <c r="CE75">
        <v>44689</v>
      </c>
      <c r="CF75">
        <v>77419</v>
      </c>
      <c r="CG75">
        <v>0</v>
      </c>
      <c r="CH75">
        <v>16</v>
      </c>
      <c r="CI75">
        <v>0</v>
      </c>
      <c r="CJ75">
        <v>71</v>
      </c>
      <c r="CK75">
        <v>72133</v>
      </c>
      <c r="CL75">
        <v>52027</v>
      </c>
      <c r="CM75">
        <v>229862</v>
      </c>
      <c r="CN75">
        <v>52500</v>
      </c>
      <c r="CO75">
        <v>226</v>
      </c>
      <c r="CP75">
        <v>19352</v>
      </c>
      <c r="CQ75">
        <v>1629</v>
      </c>
      <c r="CR75">
        <v>44</v>
      </c>
      <c r="CY75">
        <v>0</v>
      </c>
      <c r="CZ75">
        <v>0</v>
      </c>
      <c r="DA75">
        <v>0</v>
      </c>
      <c r="DB75">
        <v>13</v>
      </c>
      <c r="DC75">
        <v>0</v>
      </c>
      <c r="DD75">
        <v>23</v>
      </c>
      <c r="DE75" s="2"/>
      <c r="DG75" s="2">
        <f t="shared" si="36"/>
        <v>1233488</v>
      </c>
      <c r="DH75" s="2">
        <f t="shared" si="44"/>
        <v>295691</v>
      </c>
      <c r="DI75" s="2">
        <f t="shared" si="43"/>
        <v>1529179</v>
      </c>
      <c r="DJ75" s="2"/>
      <c r="DK75" s="2">
        <f t="shared" si="45"/>
        <v>78854</v>
      </c>
      <c r="DL75" s="2">
        <f t="shared" si="46"/>
        <v>148579</v>
      </c>
      <c r="DM75" s="2">
        <f t="shared" si="47"/>
        <v>15530</v>
      </c>
      <c r="DN75" s="2">
        <f t="shared" si="48"/>
        <v>51065</v>
      </c>
      <c r="DO75" s="2">
        <f t="shared" si="49"/>
        <v>535551</v>
      </c>
      <c r="DP75" s="2">
        <f t="shared" si="38"/>
        <v>118311</v>
      </c>
      <c r="DQ75" s="2">
        <f t="shared" si="50"/>
        <v>1673</v>
      </c>
      <c r="DR75" s="2">
        <f t="shared" si="51"/>
        <v>16939</v>
      </c>
      <c r="DS75" s="2">
        <f t="shared" si="52"/>
        <v>45026</v>
      </c>
      <c r="DT75" s="2">
        <f t="shared" si="53"/>
        <v>14144</v>
      </c>
      <c r="DU75" s="2">
        <f t="shared" si="40"/>
        <v>124160</v>
      </c>
      <c r="DV75" s="2">
        <f t="shared" si="41"/>
        <v>282588</v>
      </c>
      <c r="DW75" s="2"/>
      <c r="DX75" s="2">
        <f t="shared" si="42"/>
        <v>1432420</v>
      </c>
      <c r="DY75" s="2"/>
      <c r="DZ75" s="2">
        <f t="shared" si="54"/>
        <v>701218</v>
      </c>
      <c r="EA75" s="2">
        <f t="shared" si="39"/>
        <v>78512</v>
      </c>
      <c r="EB75" s="2"/>
      <c r="EC75" s="2">
        <f t="shared" si="55"/>
        <v>1607691</v>
      </c>
    </row>
    <row r="76" spans="1:133" x14ac:dyDescent="0.25">
      <c r="A76" s="13">
        <v>44013</v>
      </c>
      <c r="B76">
        <v>0</v>
      </c>
      <c r="C76">
        <v>0</v>
      </c>
      <c r="D76">
        <v>0</v>
      </c>
      <c r="E76">
        <v>0</v>
      </c>
      <c r="F76">
        <v>1936</v>
      </c>
      <c r="G76">
        <v>18931</v>
      </c>
      <c r="H76">
        <v>51553</v>
      </c>
      <c r="I76">
        <v>935</v>
      </c>
      <c r="J76">
        <v>2465</v>
      </c>
      <c r="K76">
        <v>1616</v>
      </c>
      <c r="L76">
        <v>34116</v>
      </c>
      <c r="M76">
        <v>1338</v>
      </c>
      <c r="N76">
        <v>1074</v>
      </c>
      <c r="O76">
        <v>1868</v>
      </c>
      <c r="P76">
        <v>11560</v>
      </c>
      <c r="Q76">
        <v>290</v>
      </c>
      <c r="R76">
        <v>5165</v>
      </c>
      <c r="S76">
        <v>15629</v>
      </c>
      <c r="T76">
        <v>62</v>
      </c>
      <c r="U76">
        <v>4761</v>
      </c>
      <c r="V76">
        <v>51</v>
      </c>
      <c r="W76">
        <v>19884</v>
      </c>
      <c r="X76">
        <v>474</v>
      </c>
      <c r="Y76">
        <v>3</v>
      </c>
      <c r="Z76">
        <v>10</v>
      </c>
      <c r="AA76">
        <v>2</v>
      </c>
      <c r="AB76">
        <v>78</v>
      </c>
      <c r="AC76">
        <v>20</v>
      </c>
      <c r="AD76">
        <v>26</v>
      </c>
      <c r="AE76">
        <v>15</v>
      </c>
      <c r="AF76">
        <v>48</v>
      </c>
      <c r="AG76">
        <v>191</v>
      </c>
      <c r="AH76">
        <v>2630</v>
      </c>
      <c r="AI76">
        <v>1</v>
      </c>
      <c r="AJ76">
        <v>12158</v>
      </c>
      <c r="AK76">
        <v>113624</v>
      </c>
      <c r="AL76">
        <v>1880</v>
      </c>
      <c r="AM76">
        <v>23159</v>
      </c>
      <c r="AN76">
        <v>4</v>
      </c>
      <c r="AO76">
        <v>8</v>
      </c>
      <c r="AP76">
        <v>12297</v>
      </c>
      <c r="AQ76">
        <v>0</v>
      </c>
      <c r="AR76">
        <v>542</v>
      </c>
      <c r="AS76">
        <v>40</v>
      </c>
      <c r="AT76">
        <v>10494</v>
      </c>
      <c r="AU76">
        <v>2492</v>
      </c>
      <c r="AV76">
        <v>3460</v>
      </c>
      <c r="AW76">
        <v>15655</v>
      </c>
      <c r="AX76" s="88">
        <v>10</v>
      </c>
      <c r="AY76" s="88">
        <v>0</v>
      </c>
      <c r="AZ76" s="88">
        <v>777</v>
      </c>
      <c r="BA76" s="88">
        <v>0</v>
      </c>
      <c r="BB76">
        <v>220</v>
      </c>
      <c r="BC76">
        <v>1698</v>
      </c>
      <c r="BD76">
        <v>0</v>
      </c>
      <c r="BE76">
        <v>0</v>
      </c>
      <c r="BF76">
        <v>8682</v>
      </c>
      <c r="BG76">
        <v>0</v>
      </c>
      <c r="BH76">
        <v>0</v>
      </c>
      <c r="BI76">
        <v>0</v>
      </c>
      <c r="BJ76">
        <v>12</v>
      </c>
      <c r="BK76">
        <v>5520</v>
      </c>
      <c r="BL76">
        <v>0</v>
      </c>
      <c r="BM76">
        <v>4</v>
      </c>
      <c r="BN76">
        <v>0</v>
      </c>
      <c r="BO76">
        <v>44943</v>
      </c>
      <c r="BP76">
        <v>87295</v>
      </c>
      <c r="BQ76">
        <v>1515</v>
      </c>
      <c r="BR76">
        <v>24</v>
      </c>
      <c r="BS76">
        <v>31538</v>
      </c>
      <c r="BT76">
        <v>1054</v>
      </c>
      <c r="BU76">
        <v>3</v>
      </c>
      <c r="BV76">
        <v>0</v>
      </c>
      <c r="BW76">
        <v>1</v>
      </c>
      <c r="BX76">
        <v>0</v>
      </c>
      <c r="BY76">
        <v>272</v>
      </c>
      <c r="BZ76">
        <v>0</v>
      </c>
      <c r="CA76">
        <v>31357</v>
      </c>
      <c r="CB76">
        <v>17983</v>
      </c>
      <c r="CC76">
        <v>138264</v>
      </c>
      <c r="CD76">
        <v>323677</v>
      </c>
      <c r="CE76">
        <v>46533</v>
      </c>
      <c r="CF76">
        <v>77996</v>
      </c>
      <c r="CG76">
        <v>0</v>
      </c>
      <c r="CH76">
        <v>18</v>
      </c>
      <c r="CI76">
        <v>0</v>
      </c>
      <c r="CJ76">
        <v>70</v>
      </c>
      <c r="CK76">
        <v>73235</v>
      </c>
      <c r="CL76">
        <v>52501</v>
      </c>
      <c r="CM76">
        <v>237433</v>
      </c>
      <c r="CN76">
        <v>53558</v>
      </c>
      <c r="CO76">
        <v>276</v>
      </c>
      <c r="CP76">
        <v>19178</v>
      </c>
      <c r="CQ76">
        <v>1598</v>
      </c>
      <c r="CR76">
        <v>32</v>
      </c>
      <c r="CY76">
        <v>0</v>
      </c>
      <c r="CZ76">
        <v>0</v>
      </c>
      <c r="DA76">
        <v>0</v>
      </c>
      <c r="DB76">
        <v>13</v>
      </c>
      <c r="DC76">
        <v>0</v>
      </c>
      <c r="DD76">
        <v>23</v>
      </c>
      <c r="DE76" s="2"/>
      <c r="DG76" s="2">
        <f t="shared" si="36"/>
        <v>1254650</v>
      </c>
      <c r="DH76" s="2">
        <f t="shared" si="44"/>
        <v>296660</v>
      </c>
      <c r="DI76" s="2">
        <f t="shared" si="43"/>
        <v>1551310</v>
      </c>
      <c r="DJ76" s="2"/>
      <c r="DK76" s="2">
        <f t="shared" si="45"/>
        <v>79095</v>
      </c>
      <c r="DL76" s="2">
        <f t="shared" si="46"/>
        <v>149131</v>
      </c>
      <c r="DM76" s="2">
        <f t="shared" si="47"/>
        <v>15629</v>
      </c>
      <c r="DN76" s="2">
        <f t="shared" si="48"/>
        <v>51167</v>
      </c>
      <c r="DO76" s="2">
        <f t="shared" si="49"/>
        <v>542788</v>
      </c>
      <c r="DP76" s="2">
        <f t="shared" si="38"/>
        <v>120535</v>
      </c>
      <c r="DQ76" s="2">
        <f t="shared" si="50"/>
        <v>1630</v>
      </c>
      <c r="DR76" s="2">
        <f t="shared" si="51"/>
        <v>18011</v>
      </c>
      <c r="DS76" s="2">
        <f t="shared" si="52"/>
        <v>44946</v>
      </c>
      <c r="DT76" s="2">
        <f t="shared" si="53"/>
        <v>14203</v>
      </c>
      <c r="DU76" s="2">
        <f t="shared" si="40"/>
        <v>125736</v>
      </c>
      <c r="DV76" s="2">
        <f t="shared" si="41"/>
        <v>291267</v>
      </c>
      <c r="DW76" s="2"/>
      <c r="DX76" s="2">
        <f t="shared" si="42"/>
        <v>1454138</v>
      </c>
      <c r="DY76" s="2"/>
      <c r="DZ76" s="2">
        <f t="shared" si="54"/>
        <v>708871</v>
      </c>
      <c r="EA76" s="2">
        <f t="shared" si="39"/>
        <v>78510</v>
      </c>
      <c r="EB76" s="2"/>
      <c r="EC76" s="2">
        <f t="shared" si="55"/>
        <v>1629820</v>
      </c>
    </row>
    <row r="77" spans="1:133" x14ac:dyDescent="0.25">
      <c r="A77" s="13">
        <v>44044</v>
      </c>
      <c r="B77">
        <v>0</v>
      </c>
      <c r="C77">
        <v>0</v>
      </c>
      <c r="D77">
        <v>0</v>
      </c>
      <c r="E77">
        <v>0</v>
      </c>
      <c r="F77">
        <v>1739</v>
      </c>
      <c r="G77">
        <v>18752</v>
      </c>
      <c r="H77">
        <v>51631</v>
      </c>
      <c r="I77">
        <v>1137</v>
      </c>
      <c r="J77">
        <v>2822</v>
      </c>
      <c r="K77">
        <v>1644</v>
      </c>
      <c r="L77">
        <v>34102</v>
      </c>
      <c r="M77">
        <v>1327</v>
      </c>
      <c r="N77">
        <v>1126</v>
      </c>
      <c r="O77">
        <v>1889</v>
      </c>
      <c r="P77">
        <v>11605</v>
      </c>
      <c r="Q77">
        <v>290</v>
      </c>
      <c r="R77">
        <v>5161</v>
      </c>
      <c r="S77">
        <v>15702</v>
      </c>
      <c r="T77">
        <v>61</v>
      </c>
      <c r="U77">
        <v>4780</v>
      </c>
      <c r="V77">
        <v>58</v>
      </c>
      <c r="W77">
        <v>20159</v>
      </c>
      <c r="X77">
        <v>478</v>
      </c>
      <c r="Y77">
        <v>4</v>
      </c>
      <c r="Z77">
        <v>1</v>
      </c>
      <c r="AA77">
        <v>2</v>
      </c>
      <c r="AB77">
        <v>78</v>
      </c>
      <c r="AC77">
        <v>20</v>
      </c>
      <c r="AD77">
        <v>26</v>
      </c>
      <c r="AE77">
        <v>15</v>
      </c>
      <c r="AF77">
        <v>49</v>
      </c>
      <c r="AG77">
        <v>217</v>
      </c>
      <c r="AH77">
        <v>2613</v>
      </c>
      <c r="AI77">
        <v>1</v>
      </c>
      <c r="AJ77">
        <v>12324</v>
      </c>
      <c r="AK77">
        <v>114025</v>
      </c>
      <c r="AL77">
        <v>1863</v>
      </c>
      <c r="AM77">
        <v>23274</v>
      </c>
      <c r="AN77">
        <v>5</v>
      </c>
      <c r="AO77">
        <v>8</v>
      </c>
      <c r="AP77">
        <v>12293</v>
      </c>
      <c r="AQ77">
        <v>0</v>
      </c>
      <c r="AR77">
        <v>575</v>
      </c>
      <c r="AS77">
        <v>40</v>
      </c>
      <c r="AT77">
        <v>10528</v>
      </c>
      <c r="AU77">
        <v>2499</v>
      </c>
      <c r="AV77">
        <v>3464</v>
      </c>
      <c r="AW77">
        <v>15685</v>
      </c>
      <c r="AX77" s="88">
        <v>12</v>
      </c>
      <c r="AY77" s="88">
        <v>0</v>
      </c>
      <c r="AZ77" s="88">
        <v>786</v>
      </c>
      <c r="BA77" s="88">
        <v>0</v>
      </c>
      <c r="BB77">
        <v>229</v>
      </c>
      <c r="BC77">
        <v>1737</v>
      </c>
      <c r="BD77">
        <v>0</v>
      </c>
      <c r="BE77">
        <v>0</v>
      </c>
      <c r="BF77">
        <v>8748</v>
      </c>
      <c r="BG77">
        <v>0</v>
      </c>
      <c r="BH77">
        <v>0</v>
      </c>
      <c r="BI77">
        <v>0</v>
      </c>
      <c r="BJ77">
        <v>12</v>
      </c>
      <c r="BK77">
        <v>5528</v>
      </c>
      <c r="BL77">
        <v>0</v>
      </c>
      <c r="BM77">
        <v>4</v>
      </c>
      <c r="BN77">
        <v>0</v>
      </c>
      <c r="BO77">
        <v>45360</v>
      </c>
      <c r="BP77">
        <v>88623</v>
      </c>
      <c r="BQ77">
        <v>1560</v>
      </c>
      <c r="BR77">
        <v>24</v>
      </c>
      <c r="BS77">
        <v>32347</v>
      </c>
      <c r="BT77">
        <v>1075</v>
      </c>
      <c r="BU77">
        <v>11</v>
      </c>
      <c r="BV77">
        <v>0</v>
      </c>
      <c r="BW77">
        <v>1</v>
      </c>
      <c r="BX77">
        <v>0</v>
      </c>
      <c r="BY77">
        <v>278</v>
      </c>
      <c r="BZ77">
        <v>0</v>
      </c>
      <c r="CA77">
        <v>31082</v>
      </c>
      <c r="CB77">
        <v>18722</v>
      </c>
      <c r="CC77">
        <v>138352</v>
      </c>
      <c r="CD77">
        <v>325764</v>
      </c>
      <c r="CE77">
        <v>48491</v>
      </c>
      <c r="CF77">
        <v>78089</v>
      </c>
      <c r="CG77">
        <v>0</v>
      </c>
      <c r="CH77">
        <v>14</v>
      </c>
      <c r="CI77">
        <v>0</v>
      </c>
      <c r="CJ77">
        <v>71</v>
      </c>
      <c r="CK77">
        <v>74121</v>
      </c>
      <c r="CL77">
        <v>53077</v>
      </c>
      <c r="CM77">
        <v>246579</v>
      </c>
      <c r="CN77">
        <v>55213</v>
      </c>
      <c r="CO77">
        <v>293</v>
      </c>
      <c r="CP77">
        <v>18956</v>
      </c>
      <c r="CQ77">
        <v>1591</v>
      </c>
      <c r="CR77">
        <v>30</v>
      </c>
      <c r="CY77">
        <v>0</v>
      </c>
      <c r="CZ77">
        <v>0</v>
      </c>
      <c r="DA77">
        <v>0</v>
      </c>
      <c r="DB77">
        <v>13</v>
      </c>
      <c r="DC77">
        <v>0</v>
      </c>
      <c r="DD77">
        <v>23</v>
      </c>
      <c r="DE77" s="2"/>
      <c r="DG77" s="2">
        <f t="shared" si="36"/>
        <v>1274144</v>
      </c>
      <c r="DH77" s="2">
        <f t="shared" si="44"/>
        <v>297857</v>
      </c>
      <c r="DI77" s="2">
        <f t="shared" si="43"/>
        <v>1572001</v>
      </c>
      <c r="DJ77" s="2"/>
      <c r="DK77" s="2">
        <f t="shared" si="45"/>
        <v>79432</v>
      </c>
      <c r="DL77" s="2">
        <f t="shared" si="46"/>
        <v>149792</v>
      </c>
      <c r="DM77" s="2">
        <f t="shared" si="47"/>
        <v>15702</v>
      </c>
      <c r="DN77" s="2">
        <f t="shared" si="48"/>
        <v>51309</v>
      </c>
      <c r="DO77" s="2">
        <f t="shared" si="49"/>
        <v>546721</v>
      </c>
      <c r="DP77" s="2">
        <f t="shared" si="38"/>
        <v>122711</v>
      </c>
      <c r="DQ77" s="2">
        <f t="shared" si="50"/>
        <v>1621</v>
      </c>
      <c r="DR77" s="2">
        <f t="shared" si="51"/>
        <v>18737</v>
      </c>
      <c r="DS77" s="2">
        <f t="shared" si="52"/>
        <v>45371</v>
      </c>
      <c r="DT77" s="2">
        <f t="shared" si="53"/>
        <v>14277</v>
      </c>
      <c r="DU77" s="2">
        <f t="shared" si="40"/>
        <v>127198</v>
      </c>
      <c r="DV77" s="2">
        <f t="shared" si="41"/>
        <v>302085</v>
      </c>
      <c r="DW77" s="2"/>
      <c r="DX77" s="2">
        <f t="shared" si="42"/>
        <v>1474956</v>
      </c>
      <c r="DY77" s="2"/>
      <c r="DZ77" s="2">
        <f t="shared" si="54"/>
        <v>713429</v>
      </c>
      <c r="EA77" s="2">
        <f t="shared" si="39"/>
        <v>78851</v>
      </c>
      <c r="EB77" s="2"/>
      <c r="EC77" s="2">
        <f t="shared" si="55"/>
        <v>1650852</v>
      </c>
    </row>
    <row r="78" spans="1:133" x14ac:dyDescent="0.25">
      <c r="A78" s="13">
        <v>44075</v>
      </c>
      <c r="B78">
        <v>0</v>
      </c>
      <c r="C78">
        <v>0</v>
      </c>
      <c r="D78">
        <v>0</v>
      </c>
      <c r="E78">
        <v>0</v>
      </c>
      <c r="F78">
        <v>1567</v>
      </c>
      <c r="G78">
        <v>18466</v>
      </c>
      <c r="H78">
        <v>51166</v>
      </c>
      <c r="I78">
        <v>1340</v>
      </c>
      <c r="J78">
        <v>3305</v>
      </c>
      <c r="K78">
        <v>1648</v>
      </c>
      <c r="L78">
        <v>34205</v>
      </c>
      <c r="M78">
        <v>1317</v>
      </c>
      <c r="N78">
        <v>1138</v>
      </c>
      <c r="O78">
        <v>1896</v>
      </c>
      <c r="P78">
        <v>11533</v>
      </c>
      <c r="Q78">
        <v>288</v>
      </c>
      <c r="R78">
        <v>5130</v>
      </c>
      <c r="S78">
        <v>15708</v>
      </c>
      <c r="T78">
        <v>58</v>
      </c>
      <c r="U78">
        <v>4739</v>
      </c>
      <c r="V78">
        <v>64</v>
      </c>
      <c r="W78">
        <v>20366</v>
      </c>
      <c r="X78">
        <v>481</v>
      </c>
      <c r="Y78">
        <v>4</v>
      </c>
      <c r="Z78">
        <v>2</v>
      </c>
      <c r="AA78">
        <v>2</v>
      </c>
      <c r="AB78">
        <v>79</v>
      </c>
      <c r="AC78">
        <v>19</v>
      </c>
      <c r="AD78">
        <v>26</v>
      </c>
      <c r="AE78">
        <v>14</v>
      </c>
      <c r="AF78">
        <v>50</v>
      </c>
      <c r="AG78">
        <v>219</v>
      </c>
      <c r="AH78">
        <v>2608</v>
      </c>
      <c r="AI78">
        <v>1</v>
      </c>
      <c r="AJ78">
        <v>12410</v>
      </c>
      <c r="AK78">
        <v>114101</v>
      </c>
      <c r="AL78">
        <v>1848</v>
      </c>
      <c r="AM78">
        <v>23267</v>
      </c>
      <c r="AN78">
        <v>6</v>
      </c>
      <c r="AO78">
        <v>8</v>
      </c>
      <c r="AP78">
        <v>12304</v>
      </c>
      <c r="AQ78">
        <v>0</v>
      </c>
      <c r="AR78">
        <v>592</v>
      </c>
      <c r="AS78">
        <v>40</v>
      </c>
      <c r="AT78">
        <v>10546</v>
      </c>
      <c r="AU78">
        <v>2497</v>
      </c>
      <c r="AV78">
        <v>3443</v>
      </c>
      <c r="AW78">
        <v>15683</v>
      </c>
      <c r="AX78" s="88">
        <v>19</v>
      </c>
      <c r="AY78" s="88">
        <v>0</v>
      </c>
      <c r="AZ78" s="88">
        <v>796</v>
      </c>
      <c r="BA78" s="88">
        <v>0</v>
      </c>
      <c r="BB78">
        <v>224</v>
      </c>
      <c r="BC78">
        <v>1773</v>
      </c>
      <c r="BD78">
        <v>0</v>
      </c>
      <c r="BE78">
        <v>0</v>
      </c>
      <c r="BF78">
        <v>8784</v>
      </c>
      <c r="BG78">
        <v>0</v>
      </c>
      <c r="BH78">
        <v>0</v>
      </c>
      <c r="BI78">
        <v>0</v>
      </c>
      <c r="BJ78">
        <v>12</v>
      </c>
      <c r="BK78">
        <v>5542</v>
      </c>
      <c r="BL78">
        <v>0</v>
      </c>
      <c r="BM78">
        <v>3</v>
      </c>
      <c r="BN78">
        <v>0</v>
      </c>
      <c r="BO78">
        <v>45725</v>
      </c>
      <c r="BP78">
        <v>89741</v>
      </c>
      <c r="BQ78">
        <v>1596</v>
      </c>
      <c r="BR78">
        <v>24</v>
      </c>
      <c r="BS78">
        <v>33079</v>
      </c>
      <c r="BT78">
        <v>1095</v>
      </c>
      <c r="BU78">
        <v>6</v>
      </c>
      <c r="BV78">
        <v>0</v>
      </c>
      <c r="BW78">
        <v>1</v>
      </c>
      <c r="BX78">
        <v>0</v>
      </c>
      <c r="BY78">
        <v>283</v>
      </c>
      <c r="BZ78">
        <v>0</v>
      </c>
      <c r="CA78">
        <v>30850</v>
      </c>
      <c r="CB78">
        <v>18901</v>
      </c>
      <c r="CC78">
        <v>139372</v>
      </c>
      <c r="CD78">
        <v>329892</v>
      </c>
      <c r="CE78">
        <v>49090</v>
      </c>
      <c r="CF78">
        <v>78262</v>
      </c>
      <c r="CG78">
        <v>0</v>
      </c>
      <c r="CH78">
        <v>15</v>
      </c>
      <c r="CI78">
        <v>0</v>
      </c>
      <c r="CJ78">
        <v>75</v>
      </c>
      <c r="CK78">
        <v>75241</v>
      </c>
      <c r="CL78">
        <v>53603</v>
      </c>
      <c r="CM78">
        <v>254238</v>
      </c>
      <c r="CN78">
        <v>56401</v>
      </c>
      <c r="CO78">
        <v>265</v>
      </c>
      <c r="CP78">
        <v>18816</v>
      </c>
      <c r="CQ78">
        <v>1605</v>
      </c>
      <c r="CR78">
        <v>30</v>
      </c>
      <c r="CY78">
        <v>0</v>
      </c>
      <c r="CZ78">
        <v>0</v>
      </c>
      <c r="DA78">
        <v>0</v>
      </c>
      <c r="DB78">
        <v>13</v>
      </c>
      <c r="DC78">
        <v>0</v>
      </c>
      <c r="DD78">
        <v>23</v>
      </c>
      <c r="DE78" s="2"/>
      <c r="DG78" s="2">
        <f t="shared" si="36"/>
        <v>1292704</v>
      </c>
      <c r="DH78" s="2">
        <f t="shared" si="44"/>
        <v>298205</v>
      </c>
      <c r="DI78" s="2">
        <f t="shared" si="43"/>
        <v>1590909</v>
      </c>
      <c r="DJ78" s="2"/>
      <c r="DK78" s="2">
        <f t="shared" si="45"/>
        <v>79596</v>
      </c>
      <c r="DL78" s="2">
        <f t="shared" si="46"/>
        <v>149956</v>
      </c>
      <c r="DM78" s="2">
        <f t="shared" si="47"/>
        <v>15708</v>
      </c>
      <c r="DN78" s="2">
        <f t="shared" si="48"/>
        <v>51312</v>
      </c>
      <c r="DO78" s="2">
        <f t="shared" si="49"/>
        <v>552308</v>
      </c>
      <c r="DP78" s="2">
        <f t="shared" si="38"/>
        <v>124596</v>
      </c>
      <c r="DQ78" s="2">
        <f t="shared" si="50"/>
        <v>1635</v>
      </c>
      <c r="DR78" s="2">
        <f t="shared" si="51"/>
        <v>18918</v>
      </c>
      <c r="DS78" s="2">
        <f t="shared" si="52"/>
        <v>45731</v>
      </c>
      <c r="DT78" s="2">
        <f t="shared" si="53"/>
        <v>14327</v>
      </c>
      <c r="DU78" s="2">
        <f t="shared" si="40"/>
        <v>128844</v>
      </c>
      <c r="DV78" s="2">
        <f t="shared" si="41"/>
        <v>310904</v>
      </c>
      <c r="DW78" s="2"/>
      <c r="DX78" s="2">
        <f t="shared" si="42"/>
        <v>1493835</v>
      </c>
      <c r="DY78" s="2"/>
      <c r="DZ78" s="2">
        <f t="shared" si="54"/>
        <v>719174</v>
      </c>
      <c r="EA78" s="2">
        <f t="shared" si="39"/>
        <v>78630</v>
      </c>
      <c r="EB78" s="2"/>
      <c r="EC78" s="2">
        <f t="shared" si="55"/>
        <v>1669539</v>
      </c>
    </row>
    <row r="79" spans="1:133" x14ac:dyDescent="0.25">
      <c r="A79" s="13">
        <v>44105</v>
      </c>
      <c r="B79">
        <v>0</v>
      </c>
      <c r="C79">
        <v>0</v>
      </c>
      <c r="D79">
        <v>0</v>
      </c>
      <c r="E79">
        <v>0</v>
      </c>
      <c r="F79">
        <v>1505</v>
      </c>
      <c r="G79">
        <v>18203</v>
      </c>
      <c r="H79">
        <v>50592</v>
      </c>
      <c r="I79">
        <v>1679</v>
      </c>
      <c r="J79">
        <v>4100</v>
      </c>
      <c r="K79">
        <v>1664</v>
      </c>
      <c r="L79">
        <v>34348</v>
      </c>
      <c r="M79">
        <v>1310</v>
      </c>
      <c r="N79">
        <v>1137</v>
      </c>
      <c r="O79">
        <v>1881</v>
      </c>
      <c r="P79">
        <v>11508</v>
      </c>
      <c r="Q79">
        <v>294</v>
      </c>
      <c r="R79">
        <v>5062</v>
      </c>
      <c r="S79">
        <v>15769</v>
      </c>
      <c r="T79">
        <v>66</v>
      </c>
      <c r="U79">
        <v>4724</v>
      </c>
      <c r="V79">
        <v>70</v>
      </c>
      <c r="W79">
        <v>20643</v>
      </c>
      <c r="X79">
        <v>486</v>
      </c>
      <c r="Y79">
        <v>4</v>
      </c>
      <c r="Z79">
        <v>0</v>
      </c>
      <c r="AA79">
        <v>3</v>
      </c>
      <c r="AB79">
        <v>77</v>
      </c>
      <c r="AC79">
        <v>19</v>
      </c>
      <c r="AD79">
        <v>26</v>
      </c>
      <c r="AE79">
        <v>16</v>
      </c>
      <c r="AF79">
        <v>49</v>
      </c>
      <c r="AG79">
        <v>224</v>
      </c>
      <c r="AH79">
        <v>2586</v>
      </c>
      <c r="AI79">
        <v>1</v>
      </c>
      <c r="AJ79">
        <v>12530</v>
      </c>
      <c r="AK79">
        <v>114211</v>
      </c>
      <c r="AL79">
        <v>1830</v>
      </c>
      <c r="AM79">
        <v>23203</v>
      </c>
      <c r="AN79">
        <v>7</v>
      </c>
      <c r="AO79">
        <v>7</v>
      </c>
      <c r="AP79">
        <v>12346</v>
      </c>
      <c r="AQ79">
        <v>0</v>
      </c>
      <c r="AR79">
        <v>607</v>
      </c>
      <c r="AS79">
        <v>40</v>
      </c>
      <c r="AT79">
        <v>10568</v>
      </c>
      <c r="AU79">
        <v>2494</v>
      </c>
      <c r="AV79">
        <v>3438</v>
      </c>
      <c r="AW79">
        <v>15656</v>
      </c>
      <c r="AX79" s="88">
        <v>12</v>
      </c>
      <c r="AY79" s="88">
        <v>0</v>
      </c>
      <c r="AZ79" s="88">
        <v>800</v>
      </c>
      <c r="BA79" s="88">
        <v>0</v>
      </c>
      <c r="BB79">
        <v>248</v>
      </c>
      <c r="BC79">
        <v>1804</v>
      </c>
      <c r="BD79">
        <v>0</v>
      </c>
      <c r="BE79">
        <v>0</v>
      </c>
      <c r="BF79">
        <v>8816</v>
      </c>
      <c r="BG79">
        <v>0</v>
      </c>
      <c r="BH79">
        <v>0</v>
      </c>
      <c r="BI79">
        <v>0</v>
      </c>
      <c r="BJ79">
        <v>12</v>
      </c>
      <c r="BK79">
        <v>5524</v>
      </c>
      <c r="BL79">
        <v>0</v>
      </c>
      <c r="BM79">
        <v>3</v>
      </c>
      <c r="BN79">
        <v>0</v>
      </c>
      <c r="BO79">
        <v>45391</v>
      </c>
      <c r="BP79">
        <v>90982</v>
      </c>
      <c r="BQ79">
        <v>1634</v>
      </c>
      <c r="BR79">
        <v>24</v>
      </c>
      <c r="BS79">
        <v>34058</v>
      </c>
      <c r="BT79">
        <v>1110</v>
      </c>
      <c r="BU79">
        <v>16</v>
      </c>
      <c r="BV79">
        <v>0</v>
      </c>
      <c r="BW79">
        <v>1</v>
      </c>
      <c r="BX79">
        <v>0</v>
      </c>
      <c r="BY79">
        <v>287</v>
      </c>
      <c r="BZ79">
        <v>0</v>
      </c>
      <c r="CA79">
        <v>30484</v>
      </c>
      <c r="CB79">
        <v>19491</v>
      </c>
      <c r="CC79">
        <v>140879</v>
      </c>
      <c r="CD79">
        <v>334588</v>
      </c>
      <c r="CE79">
        <v>49592</v>
      </c>
      <c r="CF79">
        <v>78176</v>
      </c>
      <c r="CG79">
        <v>0</v>
      </c>
      <c r="CH79">
        <v>13</v>
      </c>
      <c r="CI79">
        <v>0</v>
      </c>
      <c r="CJ79">
        <v>76</v>
      </c>
      <c r="CK79">
        <v>76308</v>
      </c>
      <c r="CL79">
        <v>54073</v>
      </c>
      <c r="CM79">
        <v>263155</v>
      </c>
      <c r="CN79">
        <v>57227</v>
      </c>
      <c r="CO79">
        <v>219</v>
      </c>
      <c r="CP79">
        <v>18711</v>
      </c>
      <c r="CQ79">
        <v>1607</v>
      </c>
      <c r="CR79">
        <v>26</v>
      </c>
      <c r="CY79">
        <v>0</v>
      </c>
      <c r="CZ79">
        <v>0</v>
      </c>
      <c r="DA79">
        <v>0</v>
      </c>
      <c r="DB79">
        <v>13</v>
      </c>
      <c r="DC79">
        <v>0</v>
      </c>
      <c r="DD79">
        <v>23</v>
      </c>
      <c r="DE79" s="2"/>
      <c r="DG79" s="2">
        <f t="shared" si="36"/>
        <v>1312666</v>
      </c>
      <c r="DH79" s="2">
        <f t="shared" si="44"/>
        <v>298780</v>
      </c>
      <c r="DI79" s="2">
        <f t="shared" si="43"/>
        <v>1611446</v>
      </c>
      <c r="DJ79" s="2"/>
      <c r="DK79" s="2">
        <f t="shared" si="45"/>
        <v>79906</v>
      </c>
      <c r="DL79" s="2">
        <f t="shared" si="46"/>
        <v>150215</v>
      </c>
      <c r="DM79" s="2">
        <f t="shared" si="47"/>
        <v>15769</v>
      </c>
      <c r="DN79" s="2">
        <f t="shared" si="48"/>
        <v>51261</v>
      </c>
      <c r="DO79" s="2">
        <f t="shared" si="49"/>
        <v>558698</v>
      </c>
      <c r="DP79" s="2">
        <f t="shared" si="38"/>
        <v>126847</v>
      </c>
      <c r="DQ79" s="2">
        <f t="shared" si="50"/>
        <v>1633</v>
      </c>
      <c r="DR79" s="2">
        <f t="shared" si="51"/>
        <v>19504</v>
      </c>
      <c r="DS79" s="2">
        <f t="shared" si="52"/>
        <v>45407</v>
      </c>
      <c r="DT79" s="2">
        <f t="shared" si="53"/>
        <v>14341</v>
      </c>
      <c r="DU79" s="2">
        <f t="shared" si="40"/>
        <v>130381</v>
      </c>
      <c r="DV79" s="2">
        <f t="shared" si="41"/>
        <v>320601</v>
      </c>
      <c r="DW79" s="2"/>
      <c r="DX79" s="2">
        <f t="shared" si="42"/>
        <v>1514563</v>
      </c>
      <c r="DY79" s="2"/>
      <c r="DZ79" s="2">
        <f t="shared" si="54"/>
        <v>725789</v>
      </c>
      <c r="EA79" s="2">
        <f t="shared" si="39"/>
        <v>78880</v>
      </c>
      <c r="EB79" s="2"/>
      <c r="EC79" s="2">
        <f t="shared" si="55"/>
        <v>1690326</v>
      </c>
    </row>
    <row r="80" spans="1:133" x14ac:dyDescent="0.25">
      <c r="A80" s="13">
        <v>44136</v>
      </c>
      <c r="B80">
        <v>0</v>
      </c>
      <c r="C80">
        <v>0</v>
      </c>
      <c r="D80">
        <v>0</v>
      </c>
      <c r="E80">
        <v>0</v>
      </c>
      <c r="F80">
        <v>1495</v>
      </c>
      <c r="G80">
        <v>18056</v>
      </c>
      <c r="H80">
        <v>50510</v>
      </c>
      <c r="I80">
        <v>1927</v>
      </c>
      <c r="J80">
        <v>4665</v>
      </c>
      <c r="K80">
        <v>1693</v>
      </c>
      <c r="L80">
        <v>34511</v>
      </c>
      <c r="M80">
        <v>1309</v>
      </c>
      <c r="N80">
        <v>1136</v>
      </c>
      <c r="O80">
        <v>1866</v>
      </c>
      <c r="P80">
        <v>11452</v>
      </c>
      <c r="Q80">
        <v>301</v>
      </c>
      <c r="R80">
        <v>5052</v>
      </c>
      <c r="S80">
        <v>15821</v>
      </c>
      <c r="T80">
        <v>67</v>
      </c>
      <c r="U80">
        <v>4676</v>
      </c>
      <c r="V80">
        <v>69</v>
      </c>
      <c r="W80">
        <v>20886</v>
      </c>
      <c r="X80">
        <v>490</v>
      </c>
      <c r="Y80">
        <v>4</v>
      </c>
      <c r="Z80">
        <v>2</v>
      </c>
      <c r="AA80">
        <v>3</v>
      </c>
      <c r="AB80">
        <v>77</v>
      </c>
      <c r="AC80">
        <v>19</v>
      </c>
      <c r="AD80">
        <v>26</v>
      </c>
      <c r="AE80">
        <v>15</v>
      </c>
      <c r="AF80">
        <v>48</v>
      </c>
      <c r="AG80">
        <v>229</v>
      </c>
      <c r="AH80">
        <v>2571</v>
      </c>
      <c r="AI80">
        <v>2</v>
      </c>
      <c r="AJ80">
        <v>12725</v>
      </c>
      <c r="AK80">
        <v>114304</v>
      </c>
      <c r="AL80">
        <v>1813</v>
      </c>
      <c r="AM80">
        <v>23227</v>
      </c>
      <c r="AN80">
        <v>8</v>
      </c>
      <c r="AO80">
        <v>7</v>
      </c>
      <c r="AP80">
        <v>12368</v>
      </c>
      <c r="AQ80">
        <v>0</v>
      </c>
      <c r="AR80">
        <v>629</v>
      </c>
      <c r="AS80">
        <v>40</v>
      </c>
      <c r="AT80">
        <v>10603</v>
      </c>
      <c r="AU80">
        <v>2500</v>
      </c>
      <c r="AV80">
        <v>3424</v>
      </c>
      <c r="AW80">
        <v>15621</v>
      </c>
      <c r="AX80" s="88">
        <v>10</v>
      </c>
      <c r="AY80" s="88">
        <v>2</v>
      </c>
      <c r="AZ80" s="88">
        <v>804</v>
      </c>
      <c r="BA80" s="88">
        <v>0</v>
      </c>
      <c r="BB80">
        <v>242</v>
      </c>
      <c r="BC80">
        <v>1816</v>
      </c>
      <c r="BD80">
        <v>0</v>
      </c>
      <c r="BE80">
        <v>0</v>
      </c>
      <c r="BF80">
        <v>8862</v>
      </c>
      <c r="BG80">
        <v>0</v>
      </c>
      <c r="BH80">
        <v>0</v>
      </c>
      <c r="BI80">
        <v>0</v>
      </c>
      <c r="BJ80">
        <v>12</v>
      </c>
      <c r="BK80">
        <v>5546</v>
      </c>
      <c r="BL80">
        <v>0</v>
      </c>
      <c r="BM80">
        <v>1</v>
      </c>
      <c r="BN80">
        <v>0</v>
      </c>
      <c r="BO80">
        <v>45183</v>
      </c>
      <c r="BP80">
        <v>91955</v>
      </c>
      <c r="BQ80">
        <v>1643</v>
      </c>
      <c r="BR80">
        <v>25</v>
      </c>
      <c r="BS80">
        <v>34710</v>
      </c>
      <c r="BT80">
        <v>1152</v>
      </c>
      <c r="BU80">
        <v>12</v>
      </c>
      <c r="BV80">
        <v>0</v>
      </c>
      <c r="BW80">
        <v>1</v>
      </c>
      <c r="BX80">
        <v>0</v>
      </c>
      <c r="BY80">
        <v>284</v>
      </c>
      <c r="BZ80">
        <v>0</v>
      </c>
      <c r="CA80">
        <v>30109</v>
      </c>
      <c r="CB80">
        <v>20203</v>
      </c>
      <c r="CC80">
        <v>142063</v>
      </c>
      <c r="CD80">
        <v>338794</v>
      </c>
      <c r="CE80">
        <v>49892</v>
      </c>
      <c r="CF80">
        <v>78244</v>
      </c>
      <c r="CG80">
        <v>0</v>
      </c>
      <c r="CH80">
        <v>10</v>
      </c>
      <c r="CI80">
        <v>0</v>
      </c>
      <c r="CJ80">
        <v>75</v>
      </c>
      <c r="CK80">
        <v>77455</v>
      </c>
      <c r="CL80">
        <v>54655</v>
      </c>
      <c r="CM80">
        <v>271295</v>
      </c>
      <c r="CN80">
        <v>57707</v>
      </c>
      <c r="CO80">
        <v>213</v>
      </c>
      <c r="CP80">
        <v>18505</v>
      </c>
      <c r="CQ80">
        <v>1630</v>
      </c>
      <c r="CR80">
        <v>22</v>
      </c>
      <c r="CY80">
        <v>0</v>
      </c>
      <c r="CZ80">
        <v>0</v>
      </c>
      <c r="DA80">
        <v>0</v>
      </c>
      <c r="DB80">
        <v>13</v>
      </c>
      <c r="DC80">
        <v>0</v>
      </c>
      <c r="DD80">
        <v>23</v>
      </c>
      <c r="DE80" s="2"/>
      <c r="DG80" s="2">
        <f t="shared" si="36"/>
        <v>1330434</v>
      </c>
      <c r="DH80" s="2">
        <f t="shared" si="44"/>
        <v>299461</v>
      </c>
      <c r="DI80" s="2">
        <f t="shared" si="43"/>
        <v>1629895</v>
      </c>
      <c r="DJ80" s="2"/>
      <c r="DK80" s="2">
        <f t="shared" si="45"/>
        <v>80189</v>
      </c>
      <c r="DL80" s="2">
        <f t="shared" si="46"/>
        <v>150528</v>
      </c>
      <c r="DM80" s="2">
        <f t="shared" si="47"/>
        <v>15821</v>
      </c>
      <c r="DN80" s="2">
        <f t="shared" si="48"/>
        <v>51271</v>
      </c>
      <c r="DO80" s="2">
        <f t="shared" si="49"/>
        <v>564059</v>
      </c>
      <c r="DP80" s="2">
        <f t="shared" si="38"/>
        <v>128484</v>
      </c>
      <c r="DQ80" s="2">
        <f t="shared" si="50"/>
        <v>1652</v>
      </c>
      <c r="DR80" s="2">
        <f t="shared" si="51"/>
        <v>20215</v>
      </c>
      <c r="DS80" s="2">
        <f t="shared" si="52"/>
        <v>45195</v>
      </c>
      <c r="DT80" s="2">
        <f t="shared" si="53"/>
        <v>14409</v>
      </c>
      <c r="DU80" s="2">
        <f t="shared" si="40"/>
        <v>132110</v>
      </c>
      <c r="DV80" s="2">
        <f t="shared" si="41"/>
        <v>329215</v>
      </c>
      <c r="DW80" s="2"/>
      <c r="DX80" s="2">
        <f t="shared" si="42"/>
        <v>1533148</v>
      </c>
      <c r="DY80" s="2"/>
      <c r="DZ80" s="2">
        <f t="shared" si="54"/>
        <v>731870</v>
      </c>
      <c r="EA80" s="2">
        <f t="shared" si="39"/>
        <v>79482</v>
      </c>
      <c r="EB80" s="2"/>
      <c r="EC80" s="2">
        <f t="shared" si="55"/>
        <v>1709377</v>
      </c>
    </row>
    <row r="81" spans="1:133" x14ac:dyDescent="0.25">
      <c r="A81" s="13">
        <v>44166</v>
      </c>
      <c r="B81">
        <v>0</v>
      </c>
      <c r="C81">
        <v>0</v>
      </c>
      <c r="D81">
        <v>0</v>
      </c>
      <c r="E81">
        <v>0</v>
      </c>
      <c r="F81">
        <v>1529</v>
      </c>
      <c r="G81">
        <v>17951</v>
      </c>
      <c r="H81">
        <v>50626</v>
      </c>
      <c r="I81">
        <v>2132</v>
      </c>
      <c r="J81">
        <v>5199</v>
      </c>
      <c r="K81">
        <v>1739</v>
      </c>
      <c r="L81">
        <v>34594</v>
      </c>
      <c r="M81">
        <v>1306</v>
      </c>
      <c r="N81">
        <v>1122</v>
      </c>
      <c r="O81">
        <v>1865</v>
      </c>
      <c r="P81">
        <v>11382</v>
      </c>
      <c r="Q81">
        <v>303</v>
      </c>
      <c r="R81">
        <v>5031</v>
      </c>
      <c r="S81">
        <v>15864</v>
      </c>
      <c r="T81">
        <v>81</v>
      </c>
      <c r="U81">
        <v>4629</v>
      </c>
      <c r="V81">
        <v>73</v>
      </c>
      <c r="W81">
        <v>21173</v>
      </c>
      <c r="X81">
        <v>489</v>
      </c>
      <c r="Y81">
        <v>4</v>
      </c>
      <c r="Z81">
        <v>0</v>
      </c>
      <c r="AA81">
        <v>3</v>
      </c>
      <c r="AB81">
        <v>79</v>
      </c>
      <c r="AC81">
        <v>19</v>
      </c>
      <c r="AD81">
        <v>26</v>
      </c>
      <c r="AE81">
        <v>15</v>
      </c>
      <c r="AF81">
        <v>48</v>
      </c>
      <c r="AG81">
        <v>235</v>
      </c>
      <c r="AH81">
        <v>2544</v>
      </c>
      <c r="AI81">
        <v>3</v>
      </c>
      <c r="AJ81">
        <v>12885</v>
      </c>
      <c r="AK81">
        <v>114466</v>
      </c>
      <c r="AL81">
        <v>1801</v>
      </c>
      <c r="AM81">
        <v>23205</v>
      </c>
      <c r="AN81">
        <v>8</v>
      </c>
      <c r="AO81">
        <v>7</v>
      </c>
      <c r="AP81">
        <v>12365</v>
      </c>
      <c r="AQ81">
        <v>0</v>
      </c>
      <c r="AR81">
        <v>688</v>
      </c>
      <c r="AS81">
        <v>40</v>
      </c>
      <c r="AT81">
        <v>10621</v>
      </c>
      <c r="AU81">
        <v>2510</v>
      </c>
      <c r="AV81">
        <v>3416</v>
      </c>
      <c r="AW81">
        <v>15633</v>
      </c>
      <c r="AX81" s="88">
        <v>16</v>
      </c>
      <c r="AY81" s="88">
        <v>0</v>
      </c>
      <c r="AZ81" s="88">
        <v>806</v>
      </c>
      <c r="BA81" s="88">
        <v>0</v>
      </c>
      <c r="BB81">
        <v>267</v>
      </c>
      <c r="BC81">
        <v>1852</v>
      </c>
      <c r="BD81">
        <v>0</v>
      </c>
      <c r="BE81">
        <v>0</v>
      </c>
      <c r="BF81">
        <v>8912</v>
      </c>
      <c r="BG81">
        <v>0</v>
      </c>
      <c r="BH81">
        <v>0</v>
      </c>
      <c r="BI81">
        <v>0</v>
      </c>
      <c r="BJ81">
        <v>12</v>
      </c>
      <c r="BK81">
        <v>5480</v>
      </c>
      <c r="BL81">
        <v>0</v>
      </c>
      <c r="BM81">
        <v>3</v>
      </c>
      <c r="BN81">
        <v>0</v>
      </c>
      <c r="BO81">
        <v>45408</v>
      </c>
      <c r="BP81">
        <v>93021</v>
      </c>
      <c r="BQ81">
        <v>1678</v>
      </c>
      <c r="BR81">
        <v>24</v>
      </c>
      <c r="BS81">
        <v>35514</v>
      </c>
      <c r="BT81">
        <v>1157</v>
      </c>
      <c r="BU81">
        <v>13</v>
      </c>
      <c r="BV81">
        <v>0</v>
      </c>
      <c r="BW81">
        <v>1</v>
      </c>
      <c r="BX81">
        <v>0</v>
      </c>
      <c r="BY81">
        <v>287</v>
      </c>
      <c r="BZ81">
        <v>0</v>
      </c>
      <c r="CA81">
        <v>30186</v>
      </c>
      <c r="CB81">
        <v>20554</v>
      </c>
      <c r="CC81">
        <v>142615</v>
      </c>
      <c r="CD81">
        <v>342549</v>
      </c>
      <c r="CE81">
        <v>50365</v>
      </c>
      <c r="CF81">
        <v>78999</v>
      </c>
      <c r="CG81">
        <v>0</v>
      </c>
      <c r="CH81">
        <v>9</v>
      </c>
      <c r="CI81">
        <v>0</v>
      </c>
      <c r="CJ81">
        <v>79</v>
      </c>
      <c r="CK81">
        <v>78612</v>
      </c>
      <c r="CL81">
        <v>55454</v>
      </c>
      <c r="CM81">
        <v>280981</v>
      </c>
      <c r="CN81">
        <v>60625</v>
      </c>
      <c r="CO81">
        <v>175</v>
      </c>
      <c r="CP81">
        <v>18393</v>
      </c>
      <c r="CQ81">
        <v>1629</v>
      </c>
      <c r="CR81">
        <v>20</v>
      </c>
      <c r="CY81">
        <v>0</v>
      </c>
      <c r="CZ81">
        <v>0</v>
      </c>
      <c r="DA81">
        <v>0</v>
      </c>
      <c r="DB81">
        <v>13</v>
      </c>
      <c r="DC81">
        <v>0</v>
      </c>
      <c r="DD81">
        <v>23</v>
      </c>
      <c r="DE81" s="2"/>
      <c r="DG81" s="2">
        <f t="shared" si="36"/>
        <v>1352974</v>
      </c>
      <c r="DH81" s="2">
        <f t="shared" si="44"/>
        <v>300130</v>
      </c>
      <c r="DI81" s="2">
        <f t="shared" si="43"/>
        <v>1653104</v>
      </c>
      <c r="DJ81" s="2"/>
      <c r="DK81" s="2">
        <f t="shared" si="45"/>
        <v>80437</v>
      </c>
      <c r="DL81" s="2">
        <f t="shared" si="46"/>
        <v>150925</v>
      </c>
      <c r="DM81" s="2">
        <f t="shared" si="47"/>
        <v>15864</v>
      </c>
      <c r="DN81" s="2">
        <f t="shared" si="48"/>
        <v>51258</v>
      </c>
      <c r="DO81" s="2">
        <f t="shared" si="49"/>
        <v>568968</v>
      </c>
      <c r="DP81" s="2">
        <f t="shared" si="38"/>
        <v>130390</v>
      </c>
      <c r="DQ81" s="2">
        <f t="shared" si="50"/>
        <v>1649</v>
      </c>
      <c r="DR81" s="2">
        <f t="shared" si="51"/>
        <v>20563</v>
      </c>
      <c r="DS81" s="2">
        <f t="shared" si="52"/>
        <v>45421</v>
      </c>
      <c r="DT81" s="2">
        <f t="shared" si="53"/>
        <v>14393</v>
      </c>
      <c r="DU81" s="2">
        <f t="shared" si="40"/>
        <v>134066</v>
      </c>
      <c r="DV81" s="2">
        <f t="shared" si="41"/>
        <v>341781</v>
      </c>
      <c r="DW81" s="2"/>
      <c r="DX81" s="2">
        <f t="shared" si="42"/>
        <v>1555715</v>
      </c>
      <c r="DY81" s="2"/>
      <c r="DZ81" s="2">
        <f t="shared" si="54"/>
        <v>738268</v>
      </c>
      <c r="EA81" s="2">
        <f t="shared" si="39"/>
        <v>80298</v>
      </c>
      <c r="EB81" s="2"/>
      <c r="EC81" s="2">
        <f t="shared" si="55"/>
        <v>1733402</v>
      </c>
    </row>
    <row r="82" spans="1:133" x14ac:dyDescent="0.25">
      <c r="A82" s="13">
        <v>44197</v>
      </c>
      <c r="B82">
        <v>0</v>
      </c>
      <c r="C82">
        <v>0</v>
      </c>
      <c r="D82">
        <v>0</v>
      </c>
      <c r="E82">
        <v>0</v>
      </c>
      <c r="F82">
        <v>1572</v>
      </c>
      <c r="G82">
        <v>17791</v>
      </c>
      <c r="H82">
        <v>50872</v>
      </c>
      <c r="I82">
        <v>2314</v>
      </c>
      <c r="J82">
        <v>5702</v>
      </c>
      <c r="K82">
        <v>1786</v>
      </c>
      <c r="L82">
        <v>34612</v>
      </c>
      <c r="M82">
        <v>1304</v>
      </c>
      <c r="N82">
        <v>1133</v>
      </c>
      <c r="O82">
        <v>1845</v>
      </c>
      <c r="P82">
        <v>11211</v>
      </c>
      <c r="Q82">
        <v>311</v>
      </c>
      <c r="R82">
        <v>4992</v>
      </c>
      <c r="S82">
        <v>15890</v>
      </c>
      <c r="T82">
        <v>86</v>
      </c>
      <c r="U82">
        <v>4525</v>
      </c>
      <c r="V82">
        <v>80</v>
      </c>
      <c r="W82">
        <v>21418</v>
      </c>
      <c r="X82">
        <v>495</v>
      </c>
      <c r="Y82">
        <v>4</v>
      </c>
      <c r="Z82">
        <v>1</v>
      </c>
      <c r="AA82">
        <v>3</v>
      </c>
      <c r="AB82">
        <v>82</v>
      </c>
      <c r="AC82">
        <v>20</v>
      </c>
      <c r="AD82">
        <v>26</v>
      </c>
      <c r="AE82">
        <v>17</v>
      </c>
      <c r="AF82">
        <v>45</v>
      </c>
      <c r="AG82">
        <v>246</v>
      </c>
      <c r="AH82">
        <v>2542</v>
      </c>
      <c r="AI82">
        <v>2</v>
      </c>
      <c r="AJ82">
        <v>13021</v>
      </c>
      <c r="AK82">
        <v>114600</v>
      </c>
      <c r="AL82">
        <v>1785</v>
      </c>
      <c r="AM82">
        <v>23118</v>
      </c>
      <c r="AN82">
        <v>8</v>
      </c>
      <c r="AO82">
        <v>7</v>
      </c>
      <c r="AP82">
        <v>12369</v>
      </c>
      <c r="AQ82">
        <v>0</v>
      </c>
      <c r="AR82">
        <v>688</v>
      </c>
      <c r="AS82">
        <v>41</v>
      </c>
      <c r="AT82">
        <v>10631</v>
      </c>
      <c r="AU82">
        <v>2514</v>
      </c>
      <c r="AV82">
        <v>3402</v>
      </c>
      <c r="AW82">
        <v>15584</v>
      </c>
      <c r="AX82" s="88">
        <v>7</v>
      </c>
      <c r="AY82" s="88">
        <v>0</v>
      </c>
      <c r="AZ82" s="88">
        <v>813</v>
      </c>
      <c r="BA82" s="88">
        <v>0</v>
      </c>
      <c r="BB82">
        <v>266</v>
      </c>
      <c r="BC82">
        <v>1883</v>
      </c>
      <c r="BD82">
        <v>0</v>
      </c>
      <c r="BE82">
        <v>0</v>
      </c>
      <c r="BF82">
        <v>8942</v>
      </c>
      <c r="BG82">
        <v>0</v>
      </c>
      <c r="BH82">
        <v>0</v>
      </c>
      <c r="BI82">
        <v>0</v>
      </c>
      <c r="BJ82">
        <v>12</v>
      </c>
      <c r="BK82">
        <v>5483</v>
      </c>
      <c r="BL82">
        <v>0</v>
      </c>
      <c r="BM82">
        <v>3</v>
      </c>
      <c r="BN82">
        <v>0</v>
      </c>
      <c r="BO82">
        <v>45739</v>
      </c>
      <c r="BP82">
        <v>94284</v>
      </c>
      <c r="BQ82">
        <v>1676</v>
      </c>
      <c r="BR82">
        <v>25</v>
      </c>
      <c r="BS82">
        <v>36247</v>
      </c>
      <c r="BT82">
        <v>1170</v>
      </c>
      <c r="BU82">
        <v>4</v>
      </c>
      <c r="BV82">
        <v>0</v>
      </c>
      <c r="BW82">
        <v>1</v>
      </c>
      <c r="BX82">
        <v>0</v>
      </c>
      <c r="BY82">
        <v>283</v>
      </c>
      <c r="BZ82">
        <v>0</v>
      </c>
      <c r="CA82">
        <v>30327</v>
      </c>
      <c r="CB82">
        <v>20947</v>
      </c>
      <c r="CC82">
        <v>142899</v>
      </c>
      <c r="CD82">
        <v>346472</v>
      </c>
      <c r="CE82">
        <v>51511</v>
      </c>
      <c r="CF82">
        <v>79937</v>
      </c>
      <c r="CG82">
        <v>0</v>
      </c>
      <c r="CH82">
        <v>13</v>
      </c>
      <c r="CI82">
        <v>0</v>
      </c>
      <c r="CJ82">
        <v>78</v>
      </c>
      <c r="CK82">
        <v>79816</v>
      </c>
      <c r="CL82">
        <v>56404</v>
      </c>
      <c r="CM82">
        <v>292696</v>
      </c>
      <c r="CN82">
        <v>63811</v>
      </c>
      <c r="CO82">
        <v>179</v>
      </c>
      <c r="CP82">
        <v>18213</v>
      </c>
      <c r="CQ82">
        <v>1601</v>
      </c>
      <c r="CR82">
        <v>17</v>
      </c>
      <c r="CY82">
        <v>0</v>
      </c>
      <c r="CZ82">
        <v>0</v>
      </c>
      <c r="DA82">
        <v>0</v>
      </c>
      <c r="DB82">
        <v>12</v>
      </c>
      <c r="DC82">
        <v>0</v>
      </c>
      <c r="DD82">
        <v>23</v>
      </c>
      <c r="DE82" s="2"/>
      <c r="DG82" s="2">
        <f t="shared" si="36"/>
        <v>1379062</v>
      </c>
      <c r="DH82" s="2">
        <f t="shared" si="44"/>
        <v>300224</v>
      </c>
      <c r="DI82" s="2">
        <f t="shared" si="43"/>
        <v>1679286</v>
      </c>
      <c r="DJ82" s="2"/>
      <c r="DK82" s="2">
        <f t="shared" si="45"/>
        <v>80384</v>
      </c>
      <c r="DL82" s="2">
        <f t="shared" si="46"/>
        <v>151206</v>
      </c>
      <c r="DM82" s="2">
        <f t="shared" si="47"/>
        <v>15890</v>
      </c>
      <c r="DN82" s="2">
        <f t="shared" si="48"/>
        <v>51123</v>
      </c>
      <c r="DO82" s="2">
        <f t="shared" si="49"/>
        <v>574460</v>
      </c>
      <c r="DP82" s="2">
        <f t="shared" si="38"/>
        <v>132417</v>
      </c>
      <c r="DQ82" s="2">
        <f t="shared" si="50"/>
        <v>1618</v>
      </c>
      <c r="DR82" s="2">
        <f t="shared" si="51"/>
        <v>20961</v>
      </c>
      <c r="DS82" s="2">
        <f t="shared" si="52"/>
        <v>45743</v>
      </c>
      <c r="DT82" s="2">
        <f t="shared" si="53"/>
        <v>14426</v>
      </c>
      <c r="DU82" s="2">
        <f t="shared" si="40"/>
        <v>136220</v>
      </c>
      <c r="DV82" s="2">
        <f t="shared" si="41"/>
        <v>356686</v>
      </c>
      <c r="DW82" s="2"/>
      <c r="DX82" s="2">
        <f t="shared" si="42"/>
        <v>1581134</v>
      </c>
      <c r="DY82" s="2"/>
      <c r="DZ82" s="2">
        <f t="shared" si="54"/>
        <v>745502</v>
      </c>
      <c r="EA82" s="2">
        <f t="shared" si="39"/>
        <v>81170</v>
      </c>
      <c r="EB82" s="2"/>
      <c r="EC82" s="2">
        <f t="shared" si="55"/>
        <v>1760456</v>
      </c>
    </row>
    <row r="83" spans="1:133" x14ac:dyDescent="0.25">
      <c r="A83" s="13">
        <v>44228</v>
      </c>
      <c r="B83">
        <v>0</v>
      </c>
      <c r="C83">
        <v>0</v>
      </c>
      <c r="D83">
        <v>0</v>
      </c>
      <c r="E83">
        <v>0</v>
      </c>
      <c r="F83">
        <v>1629</v>
      </c>
      <c r="G83">
        <v>17674</v>
      </c>
      <c r="H83">
        <v>50949</v>
      </c>
      <c r="I83">
        <v>2486</v>
      </c>
      <c r="J83">
        <v>6021</v>
      </c>
      <c r="K83">
        <v>1834</v>
      </c>
      <c r="L83">
        <v>34577</v>
      </c>
      <c r="M83">
        <v>1292</v>
      </c>
      <c r="N83">
        <v>1123</v>
      </c>
      <c r="O83">
        <v>1808</v>
      </c>
      <c r="P83">
        <v>11080</v>
      </c>
      <c r="Q83">
        <v>313</v>
      </c>
      <c r="R83">
        <v>4911</v>
      </c>
      <c r="S83">
        <v>15894</v>
      </c>
      <c r="T83">
        <v>87</v>
      </c>
      <c r="U83">
        <v>4438</v>
      </c>
      <c r="V83">
        <v>82</v>
      </c>
      <c r="W83">
        <v>21573</v>
      </c>
      <c r="X83">
        <v>491</v>
      </c>
      <c r="Y83">
        <v>4</v>
      </c>
      <c r="Z83">
        <v>2</v>
      </c>
      <c r="AA83">
        <v>3</v>
      </c>
      <c r="AB83">
        <v>84</v>
      </c>
      <c r="AC83">
        <v>20</v>
      </c>
      <c r="AD83">
        <v>26</v>
      </c>
      <c r="AE83">
        <v>17</v>
      </c>
      <c r="AF83">
        <v>45</v>
      </c>
      <c r="AG83">
        <v>245</v>
      </c>
      <c r="AH83">
        <v>2557</v>
      </c>
      <c r="AI83">
        <v>2</v>
      </c>
      <c r="AJ83">
        <v>13091</v>
      </c>
      <c r="AK83">
        <v>114704</v>
      </c>
      <c r="AL83">
        <v>1768</v>
      </c>
      <c r="AM83">
        <v>23085</v>
      </c>
      <c r="AN83">
        <v>6</v>
      </c>
      <c r="AO83">
        <v>7</v>
      </c>
      <c r="AP83">
        <v>12421</v>
      </c>
      <c r="AQ83">
        <v>0</v>
      </c>
      <c r="AR83">
        <v>690</v>
      </c>
      <c r="AS83">
        <v>42</v>
      </c>
      <c r="AT83">
        <v>10635</v>
      </c>
      <c r="AU83">
        <v>2519</v>
      </c>
      <c r="AV83">
        <v>3402</v>
      </c>
      <c r="AW83">
        <v>15524</v>
      </c>
      <c r="AX83" s="88">
        <v>9</v>
      </c>
      <c r="AY83" s="88">
        <v>0</v>
      </c>
      <c r="AZ83" s="88">
        <v>814</v>
      </c>
      <c r="BA83" s="88">
        <v>0</v>
      </c>
      <c r="BB83">
        <v>277</v>
      </c>
      <c r="BC83">
        <v>1911</v>
      </c>
      <c r="BD83">
        <v>0</v>
      </c>
      <c r="BE83">
        <v>0</v>
      </c>
      <c r="BF83">
        <v>8966</v>
      </c>
      <c r="BG83">
        <v>0</v>
      </c>
      <c r="BH83">
        <v>0</v>
      </c>
      <c r="BI83">
        <v>0</v>
      </c>
      <c r="BJ83">
        <v>11</v>
      </c>
      <c r="BK83">
        <v>5504</v>
      </c>
      <c r="BL83">
        <v>0</v>
      </c>
      <c r="BM83">
        <v>2</v>
      </c>
      <c r="BN83">
        <v>0</v>
      </c>
      <c r="BO83">
        <v>45852</v>
      </c>
      <c r="BP83">
        <v>95234</v>
      </c>
      <c r="BQ83">
        <v>1687</v>
      </c>
      <c r="BR83">
        <v>25</v>
      </c>
      <c r="BS83">
        <v>36801</v>
      </c>
      <c r="BT83">
        <v>1168</v>
      </c>
      <c r="BU83">
        <v>1</v>
      </c>
      <c r="BV83">
        <v>0</v>
      </c>
      <c r="BW83">
        <v>1</v>
      </c>
      <c r="BX83">
        <v>0</v>
      </c>
      <c r="BY83">
        <v>289</v>
      </c>
      <c r="BZ83">
        <v>0</v>
      </c>
      <c r="CA83">
        <v>30104</v>
      </c>
      <c r="CB83">
        <v>21329</v>
      </c>
      <c r="CC83">
        <v>142781</v>
      </c>
      <c r="CD83">
        <v>349770</v>
      </c>
      <c r="CE83">
        <v>52445</v>
      </c>
      <c r="CF83">
        <v>80362</v>
      </c>
      <c r="CG83">
        <v>0</v>
      </c>
      <c r="CH83">
        <v>13</v>
      </c>
      <c r="CI83">
        <v>0</v>
      </c>
      <c r="CJ83">
        <v>79</v>
      </c>
      <c r="CK83">
        <v>80442</v>
      </c>
      <c r="CL83">
        <v>57229</v>
      </c>
      <c r="CM83">
        <v>299806</v>
      </c>
      <c r="CN83">
        <v>65032</v>
      </c>
      <c r="CO83">
        <v>175</v>
      </c>
      <c r="CP83">
        <v>18027</v>
      </c>
      <c r="CQ83">
        <v>1591</v>
      </c>
      <c r="CR83">
        <v>19</v>
      </c>
      <c r="CY83">
        <v>0</v>
      </c>
      <c r="CZ83">
        <v>0</v>
      </c>
      <c r="DA83">
        <v>0</v>
      </c>
      <c r="DB83">
        <v>12</v>
      </c>
      <c r="DC83">
        <v>0</v>
      </c>
      <c r="DD83">
        <v>23</v>
      </c>
      <c r="DE83" s="2"/>
      <c r="DG83" s="2">
        <f t="shared" si="36"/>
        <v>1395055</v>
      </c>
      <c r="DH83" s="2">
        <f t="shared" si="44"/>
        <v>300146</v>
      </c>
      <c r="DI83" s="2">
        <f t="shared" si="43"/>
        <v>1695201</v>
      </c>
      <c r="DJ83" s="2"/>
      <c r="DK83" s="2">
        <f t="shared" si="45"/>
        <v>80161</v>
      </c>
      <c r="DL83" s="2">
        <f t="shared" si="46"/>
        <v>151397</v>
      </c>
      <c r="DM83" s="2">
        <f t="shared" si="47"/>
        <v>15894</v>
      </c>
      <c r="DN83" s="2">
        <f t="shared" si="48"/>
        <v>51082</v>
      </c>
      <c r="DO83" s="2">
        <f t="shared" si="49"/>
        <v>578368</v>
      </c>
      <c r="DP83" s="2">
        <f t="shared" si="38"/>
        <v>133948</v>
      </c>
      <c r="DQ83" s="2">
        <f t="shared" si="50"/>
        <v>1610</v>
      </c>
      <c r="DR83" s="2">
        <f t="shared" si="51"/>
        <v>21344</v>
      </c>
      <c r="DS83" s="2">
        <f t="shared" si="52"/>
        <v>45853</v>
      </c>
      <c r="DT83" s="2">
        <f t="shared" si="53"/>
        <v>14471</v>
      </c>
      <c r="DU83" s="2">
        <f t="shared" si="40"/>
        <v>137671</v>
      </c>
      <c r="DV83" s="2">
        <f t="shared" si="41"/>
        <v>365013</v>
      </c>
      <c r="DW83" s="2"/>
      <c r="DX83" s="2">
        <f t="shared" si="42"/>
        <v>1596812</v>
      </c>
      <c r="DY83" s="2"/>
      <c r="DZ83" s="2">
        <f t="shared" si="54"/>
        <v>750331</v>
      </c>
      <c r="EA83" s="2">
        <f t="shared" si="39"/>
        <v>81716</v>
      </c>
      <c r="EB83" s="2"/>
      <c r="EC83" s="2">
        <f t="shared" si="55"/>
        <v>1776917</v>
      </c>
    </row>
    <row r="84" spans="1:133" x14ac:dyDescent="0.25">
      <c r="A84" s="13">
        <v>44256</v>
      </c>
      <c r="B84">
        <v>0</v>
      </c>
      <c r="C84">
        <v>0</v>
      </c>
      <c r="D84">
        <v>0</v>
      </c>
      <c r="E84">
        <v>0</v>
      </c>
      <c r="F84">
        <v>1624</v>
      </c>
      <c r="G84">
        <v>17600</v>
      </c>
      <c r="H84">
        <v>50928</v>
      </c>
      <c r="I84">
        <v>2630</v>
      </c>
      <c r="J84">
        <v>6374</v>
      </c>
      <c r="K84">
        <v>1838</v>
      </c>
      <c r="L84">
        <v>34636</v>
      </c>
      <c r="M84">
        <v>1281</v>
      </c>
      <c r="N84">
        <v>1135</v>
      </c>
      <c r="O84">
        <v>1782</v>
      </c>
      <c r="P84">
        <v>10955</v>
      </c>
      <c r="Q84">
        <v>316</v>
      </c>
      <c r="R84">
        <v>4864</v>
      </c>
      <c r="S84">
        <v>15872</v>
      </c>
      <c r="T84">
        <v>95</v>
      </c>
      <c r="U84">
        <v>4404</v>
      </c>
      <c r="V84">
        <v>87</v>
      </c>
      <c r="W84">
        <v>21774</v>
      </c>
      <c r="X84">
        <v>495</v>
      </c>
      <c r="Y84">
        <v>4</v>
      </c>
      <c r="Z84">
        <v>4</v>
      </c>
      <c r="AA84">
        <v>3</v>
      </c>
      <c r="AB84">
        <v>82</v>
      </c>
      <c r="AC84">
        <v>22</v>
      </c>
      <c r="AD84">
        <v>25</v>
      </c>
      <c r="AE84">
        <v>17</v>
      </c>
      <c r="AF84">
        <v>46</v>
      </c>
      <c r="AG84">
        <v>237</v>
      </c>
      <c r="AH84">
        <v>2545</v>
      </c>
      <c r="AI84">
        <v>2</v>
      </c>
      <c r="AJ84">
        <v>13195</v>
      </c>
      <c r="AK84">
        <v>114828</v>
      </c>
      <c r="AL84">
        <v>1743</v>
      </c>
      <c r="AM84">
        <v>23050</v>
      </c>
      <c r="AN84">
        <v>7</v>
      </c>
      <c r="AO84">
        <v>7</v>
      </c>
      <c r="AP84">
        <v>12466</v>
      </c>
      <c r="AQ84">
        <v>0</v>
      </c>
      <c r="AR84">
        <v>699</v>
      </c>
      <c r="AS84">
        <v>41</v>
      </c>
      <c r="AT84">
        <v>10699</v>
      </c>
      <c r="AU84">
        <v>2523</v>
      </c>
      <c r="AV84">
        <v>3403</v>
      </c>
      <c r="AW84">
        <v>15467</v>
      </c>
      <c r="AX84" s="88">
        <v>11</v>
      </c>
      <c r="AY84" s="88">
        <v>1</v>
      </c>
      <c r="AZ84" s="88">
        <v>814</v>
      </c>
      <c r="BA84" s="88">
        <v>0</v>
      </c>
      <c r="BB84">
        <v>286</v>
      </c>
      <c r="BC84">
        <v>1925</v>
      </c>
      <c r="BD84">
        <v>0</v>
      </c>
      <c r="BE84">
        <v>0</v>
      </c>
      <c r="BF84">
        <v>8996</v>
      </c>
      <c r="BG84">
        <v>0</v>
      </c>
      <c r="BH84">
        <v>0</v>
      </c>
      <c r="BI84">
        <v>0</v>
      </c>
      <c r="BJ84">
        <v>11</v>
      </c>
      <c r="BK84">
        <v>5488</v>
      </c>
      <c r="BL84">
        <v>0</v>
      </c>
      <c r="BM84">
        <v>2</v>
      </c>
      <c r="BN84">
        <v>0</v>
      </c>
      <c r="BO84">
        <v>45928</v>
      </c>
      <c r="BP84">
        <v>96313</v>
      </c>
      <c r="BQ84">
        <v>1695</v>
      </c>
      <c r="BR84">
        <v>26</v>
      </c>
      <c r="BS84">
        <v>37419</v>
      </c>
      <c r="BT84">
        <v>1161</v>
      </c>
      <c r="BU84">
        <v>0</v>
      </c>
      <c r="BV84">
        <v>0</v>
      </c>
      <c r="BW84">
        <v>1</v>
      </c>
      <c r="BX84">
        <v>0</v>
      </c>
      <c r="BY84">
        <v>289</v>
      </c>
      <c r="BZ84">
        <v>0</v>
      </c>
      <c r="CA84">
        <v>29951</v>
      </c>
      <c r="CB84">
        <v>21475</v>
      </c>
      <c r="CC84">
        <v>142968</v>
      </c>
      <c r="CD84">
        <v>352662</v>
      </c>
      <c r="CE84">
        <v>52811</v>
      </c>
      <c r="CF84">
        <v>80762</v>
      </c>
      <c r="CG84">
        <v>0</v>
      </c>
      <c r="CH84">
        <v>14</v>
      </c>
      <c r="CI84">
        <v>0</v>
      </c>
      <c r="CJ84">
        <v>83</v>
      </c>
      <c r="CK84">
        <v>80993</v>
      </c>
      <c r="CL84">
        <v>57866</v>
      </c>
      <c r="CM84">
        <v>306094</v>
      </c>
      <c r="CN84">
        <v>65962</v>
      </c>
      <c r="CO84">
        <v>158</v>
      </c>
      <c r="CP84">
        <v>17928</v>
      </c>
      <c r="CQ84">
        <v>1585</v>
      </c>
      <c r="CR84">
        <v>19</v>
      </c>
      <c r="CY84">
        <v>0</v>
      </c>
      <c r="CZ84">
        <v>0</v>
      </c>
      <c r="DA84">
        <v>0</v>
      </c>
      <c r="DB84">
        <v>12</v>
      </c>
      <c r="DC84">
        <v>0</v>
      </c>
      <c r="DD84">
        <v>23</v>
      </c>
      <c r="DE84" s="2"/>
      <c r="DG84" s="2">
        <f t="shared" si="36"/>
        <v>1408993</v>
      </c>
      <c r="DH84" s="2">
        <f t="shared" si="44"/>
        <v>300372</v>
      </c>
      <c r="DI84" s="2">
        <f t="shared" si="43"/>
        <v>1709365</v>
      </c>
      <c r="DJ84" s="2"/>
      <c r="DK84" s="2">
        <f t="shared" si="45"/>
        <v>80194</v>
      </c>
      <c r="DL84" s="2">
        <f t="shared" si="46"/>
        <v>151670</v>
      </c>
      <c r="DM84" s="2">
        <f t="shared" si="47"/>
        <v>15872</v>
      </c>
      <c r="DN84" s="2">
        <f t="shared" si="48"/>
        <v>51036</v>
      </c>
      <c r="DO84" s="2">
        <f t="shared" si="49"/>
        <v>581668</v>
      </c>
      <c r="DP84" s="2">
        <f t="shared" si="38"/>
        <v>135660</v>
      </c>
      <c r="DQ84" s="2">
        <f t="shared" si="50"/>
        <v>1604</v>
      </c>
      <c r="DR84" s="2">
        <f t="shared" si="51"/>
        <v>21493</v>
      </c>
      <c r="DS84" s="2">
        <f t="shared" si="52"/>
        <v>45928</v>
      </c>
      <c r="DT84" s="2">
        <f t="shared" si="53"/>
        <v>14485</v>
      </c>
      <c r="DU84" s="2">
        <f t="shared" si="40"/>
        <v>138859</v>
      </c>
      <c r="DV84" s="2">
        <f t="shared" si="41"/>
        <v>372214</v>
      </c>
      <c r="DW84" s="2"/>
      <c r="DX84" s="2">
        <f t="shared" si="42"/>
        <v>1610683</v>
      </c>
      <c r="DY84" s="2"/>
      <c r="DZ84" s="2">
        <f t="shared" si="54"/>
        <v>754447</v>
      </c>
      <c r="EA84" s="2">
        <f t="shared" si="39"/>
        <v>82129</v>
      </c>
      <c r="EB84" s="2"/>
      <c r="EC84" s="2">
        <f t="shared" si="55"/>
        <v>1791494</v>
      </c>
    </row>
    <row r="85" spans="1:133" x14ac:dyDescent="0.25">
      <c r="A85" s="13">
        <v>44287</v>
      </c>
      <c r="B85">
        <v>0</v>
      </c>
      <c r="C85">
        <v>0</v>
      </c>
      <c r="D85">
        <v>0</v>
      </c>
      <c r="E85">
        <v>0</v>
      </c>
      <c r="F85">
        <v>1636</v>
      </c>
      <c r="G85">
        <v>17412</v>
      </c>
      <c r="H85">
        <v>51044</v>
      </c>
      <c r="I85">
        <v>2717</v>
      </c>
      <c r="J85">
        <v>6649</v>
      </c>
      <c r="K85">
        <v>1847</v>
      </c>
      <c r="L85">
        <v>34695</v>
      </c>
      <c r="M85">
        <v>1268</v>
      </c>
      <c r="N85">
        <v>1142</v>
      </c>
      <c r="O85">
        <v>1799</v>
      </c>
      <c r="P85">
        <v>11000</v>
      </c>
      <c r="Q85">
        <v>323</v>
      </c>
      <c r="R85">
        <v>4904</v>
      </c>
      <c r="S85">
        <v>15909</v>
      </c>
      <c r="T85">
        <v>97</v>
      </c>
      <c r="U85">
        <v>4390</v>
      </c>
      <c r="V85">
        <v>87</v>
      </c>
      <c r="W85">
        <v>22079</v>
      </c>
      <c r="X85">
        <v>498</v>
      </c>
      <c r="Y85">
        <v>4</v>
      </c>
      <c r="Z85">
        <v>2</v>
      </c>
      <c r="AA85">
        <v>3</v>
      </c>
      <c r="AB85">
        <v>86</v>
      </c>
      <c r="AC85">
        <v>21</v>
      </c>
      <c r="AD85">
        <v>26</v>
      </c>
      <c r="AE85">
        <v>17</v>
      </c>
      <c r="AF85">
        <v>45</v>
      </c>
      <c r="AG85">
        <v>255</v>
      </c>
      <c r="AH85">
        <v>2544</v>
      </c>
      <c r="AI85">
        <v>2</v>
      </c>
      <c r="AJ85">
        <v>13300</v>
      </c>
      <c r="AK85">
        <v>115016</v>
      </c>
      <c r="AL85">
        <v>1725</v>
      </c>
      <c r="AM85">
        <v>23095</v>
      </c>
      <c r="AN85">
        <v>8</v>
      </c>
      <c r="AO85">
        <v>7</v>
      </c>
      <c r="AP85">
        <v>12516</v>
      </c>
      <c r="AQ85">
        <v>0</v>
      </c>
      <c r="AR85">
        <v>720</v>
      </c>
      <c r="AS85">
        <v>42</v>
      </c>
      <c r="AT85">
        <v>10736</v>
      </c>
      <c r="AU85">
        <v>2525</v>
      </c>
      <c r="AV85">
        <v>3433</v>
      </c>
      <c r="AW85">
        <v>15390</v>
      </c>
      <c r="AX85" s="88">
        <v>6</v>
      </c>
      <c r="AY85" s="88">
        <v>1</v>
      </c>
      <c r="AZ85" s="88">
        <v>821</v>
      </c>
      <c r="BA85" s="88">
        <v>0</v>
      </c>
      <c r="BB85">
        <v>288</v>
      </c>
      <c r="BC85">
        <v>1937</v>
      </c>
      <c r="BD85">
        <v>0</v>
      </c>
      <c r="BE85">
        <v>0</v>
      </c>
      <c r="BF85">
        <v>9037</v>
      </c>
      <c r="BG85">
        <v>0</v>
      </c>
      <c r="BH85">
        <v>0</v>
      </c>
      <c r="BI85">
        <v>0</v>
      </c>
      <c r="BJ85">
        <v>11</v>
      </c>
      <c r="BK85">
        <v>5533</v>
      </c>
      <c r="BL85">
        <v>0</v>
      </c>
      <c r="BM85">
        <v>1</v>
      </c>
      <c r="BN85">
        <v>0</v>
      </c>
      <c r="BO85">
        <v>46179</v>
      </c>
      <c r="BP85">
        <v>97177</v>
      </c>
      <c r="BQ85">
        <v>1679</v>
      </c>
      <c r="BR85">
        <v>29</v>
      </c>
      <c r="BS85">
        <v>37870</v>
      </c>
      <c r="BT85">
        <v>1186</v>
      </c>
      <c r="BU85">
        <v>0</v>
      </c>
      <c r="BV85">
        <v>0</v>
      </c>
      <c r="BW85">
        <v>1</v>
      </c>
      <c r="BX85">
        <v>0</v>
      </c>
      <c r="BY85">
        <v>287</v>
      </c>
      <c r="BZ85">
        <v>0</v>
      </c>
      <c r="CA85">
        <v>29840</v>
      </c>
      <c r="CB85">
        <v>21879</v>
      </c>
      <c r="CC85">
        <v>142922</v>
      </c>
      <c r="CD85">
        <v>355839</v>
      </c>
      <c r="CE85">
        <v>53820</v>
      </c>
      <c r="CF85">
        <v>81284</v>
      </c>
      <c r="CG85">
        <v>0</v>
      </c>
      <c r="CH85">
        <v>14</v>
      </c>
      <c r="CI85">
        <v>0</v>
      </c>
      <c r="CJ85">
        <v>87</v>
      </c>
      <c r="CK85">
        <v>81773</v>
      </c>
      <c r="CL85">
        <v>58669</v>
      </c>
      <c r="CM85">
        <v>313127</v>
      </c>
      <c r="CN85">
        <v>67221</v>
      </c>
      <c r="CO85">
        <v>128</v>
      </c>
      <c r="CP85">
        <v>17742</v>
      </c>
      <c r="CQ85">
        <v>1569</v>
      </c>
      <c r="CR85">
        <v>11</v>
      </c>
      <c r="CY85">
        <v>0</v>
      </c>
      <c r="CZ85">
        <v>0</v>
      </c>
      <c r="DA85">
        <v>0</v>
      </c>
      <c r="DB85">
        <v>12</v>
      </c>
      <c r="DC85">
        <v>0</v>
      </c>
      <c r="DD85">
        <v>23</v>
      </c>
      <c r="DE85" s="2"/>
      <c r="DG85" s="2">
        <f t="shared" si="36"/>
        <v>1425279</v>
      </c>
      <c r="DH85" s="2">
        <f t="shared" si="44"/>
        <v>301257</v>
      </c>
      <c r="DI85" s="2">
        <f t="shared" si="43"/>
        <v>1726536</v>
      </c>
      <c r="DJ85" s="2"/>
      <c r="DK85" s="2">
        <f t="shared" si="45"/>
        <v>80642</v>
      </c>
      <c r="DL85" s="2">
        <f t="shared" si="46"/>
        <v>152070</v>
      </c>
      <c r="DM85" s="2">
        <f t="shared" si="47"/>
        <v>15909</v>
      </c>
      <c r="DN85" s="2">
        <f t="shared" si="48"/>
        <v>51053</v>
      </c>
      <c r="DO85" s="2">
        <f t="shared" si="49"/>
        <v>585706</v>
      </c>
      <c r="DP85" s="2">
        <f t="shared" si="38"/>
        <v>136986</v>
      </c>
      <c r="DQ85" s="2">
        <f t="shared" si="50"/>
        <v>1580</v>
      </c>
      <c r="DR85" s="2">
        <f t="shared" si="51"/>
        <v>21895</v>
      </c>
      <c r="DS85" s="2">
        <f t="shared" si="52"/>
        <v>46179</v>
      </c>
      <c r="DT85" s="2">
        <f t="shared" si="53"/>
        <v>14571</v>
      </c>
      <c r="DU85" s="2">
        <f t="shared" si="40"/>
        <v>140442</v>
      </c>
      <c r="DV85" s="2">
        <f t="shared" si="41"/>
        <v>380476</v>
      </c>
      <c r="DW85" s="2"/>
      <c r="DX85" s="2">
        <f t="shared" si="42"/>
        <v>1627509</v>
      </c>
      <c r="DY85" s="2"/>
      <c r="DZ85" s="2">
        <f t="shared" si="54"/>
        <v>759383</v>
      </c>
      <c r="EA85" s="2">
        <f t="shared" si="39"/>
        <v>82447</v>
      </c>
      <c r="EB85" s="2"/>
      <c r="EC85" s="2">
        <f t="shared" si="55"/>
        <v>1808983</v>
      </c>
    </row>
    <row r="86" spans="1:133" x14ac:dyDescent="0.25">
      <c r="A86" s="13">
        <v>44317</v>
      </c>
      <c r="B86">
        <v>0</v>
      </c>
      <c r="C86">
        <v>0</v>
      </c>
      <c r="D86">
        <v>0</v>
      </c>
      <c r="E86">
        <v>0</v>
      </c>
      <c r="F86">
        <v>1682</v>
      </c>
      <c r="G86">
        <v>17178</v>
      </c>
      <c r="H86">
        <v>51063</v>
      </c>
      <c r="I86">
        <v>2723</v>
      </c>
      <c r="J86">
        <v>6855</v>
      </c>
      <c r="K86">
        <v>1873</v>
      </c>
      <c r="L86">
        <v>34695</v>
      </c>
      <c r="M86">
        <v>1260</v>
      </c>
      <c r="N86">
        <v>1134</v>
      </c>
      <c r="O86">
        <v>1797</v>
      </c>
      <c r="P86">
        <v>11054</v>
      </c>
      <c r="Q86">
        <v>323</v>
      </c>
      <c r="R86">
        <v>4892</v>
      </c>
      <c r="S86">
        <v>15942</v>
      </c>
      <c r="T86">
        <v>108</v>
      </c>
      <c r="U86">
        <v>4387</v>
      </c>
      <c r="V86">
        <v>90</v>
      </c>
      <c r="W86">
        <v>22429</v>
      </c>
      <c r="X86">
        <v>500</v>
      </c>
      <c r="Y86">
        <v>4</v>
      </c>
      <c r="Z86">
        <v>0</v>
      </c>
      <c r="AA86">
        <v>3</v>
      </c>
      <c r="AB86">
        <v>88</v>
      </c>
      <c r="AC86">
        <v>21</v>
      </c>
      <c r="AD86">
        <v>26</v>
      </c>
      <c r="AE86">
        <v>16</v>
      </c>
      <c r="AF86">
        <v>44</v>
      </c>
      <c r="AG86">
        <v>259</v>
      </c>
      <c r="AH86">
        <v>2552</v>
      </c>
      <c r="AI86">
        <v>3</v>
      </c>
      <c r="AJ86">
        <v>13392</v>
      </c>
      <c r="AK86">
        <v>115071</v>
      </c>
      <c r="AL86">
        <v>1714</v>
      </c>
      <c r="AM86">
        <v>23028</v>
      </c>
      <c r="AN86">
        <v>7</v>
      </c>
      <c r="AO86">
        <v>7</v>
      </c>
      <c r="AP86">
        <v>12506</v>
      </c>
      <c r="AQ86">
        <v>0</v>
      </c>
      <c r="AR86">
        <v>727</v>
      </c>
      <c r="AS86">
        <v>42</v>
      </c>
      <c r="AT86">
        <v>10833</v>
      </c>
      <c r="AU86">
        <v>2530</v>
      </c>
      <c r="AV86">
        <v>3430</v>
      </c>
      <c r="AW86">
        <v>15356</v>
      </c>
      <c r="AX86" s="88">
        <v>7</v>
      </c>
      <c r="AY86" s="88">
        <v>0</v>
      </c>
      <c r="AZ86" s="88">
        <v>822</v>
      </c>
      <c r="BA86" s="88">
        <v>0</v>
      </c>
      <c r="BB86">
        <v>294</v>
      </c>
      <c r="BC86">
        <v>1945</v>
      </c>
      <c r="BD86">
        <v>0</v>
      </c>
      <c r="BE86">
        <v>0</v>
      </c>
      <c r="BF86">
        <v>9054</v>
      </c>
      <c r="BG86">
        <v>0</v>
      </c>
      <c r="BH86">
        <v>0</v>
      </c>
      <c r="BI86">
        <v>0</v>
      </c>
      <c r="BJ86">
        <v>12</v>
      </c>
      <c r="BK86">
        <v>5588</v>
      </c>
      <c r="BL86">
        <v>0</v>
      </c>
      <c r="BM86">
        <v>0</v>
      </c>
      <c r="BN86">
        <v>0</v>
      </c>
      <c r="BO86">
        <v>46349</v>
      </c>
      <c r="BP86">
        <v>97884</v>
      </c>
      <c r="BQ86">
        <v>1677</v>
      </c>
      <c r="BR86">
        <v>29</v>
      </c>
      <c r="BS86">
        <v>38344</v>
      </c>
      <c r="BT86">
        <v>1194</v>
      </c>
      <c r="BU86">
        <v>0</v>
      </c>
      <c r="BV86">
        <v>0</v>
      </c>
      <c r="BW86">
        <v>1</v>
      </c>
      <c r="BX86">
        <v>0</v>
      </c>
      <c r="BY86">
        <v>283</v>
      </c>
      <c r="BZ86">
        <v>0</v>
      </c>
      <c r="CA86">
        <v>29823</v>
      </c>
      <c r="CB86">
        <v>22293</v>
      </c>
      <c r="CC86">
        <v>142865</v>
      </c>
      <c r="CD86">
        <v>358555</v>
      </c>
      <c r="CE86">
        <v>54460</v>
      </c>
      <c r="CF86">
        <v>81897</v>
      </c>
      <c r="CG86">
        <v>0</v>
      </c>
      <c r="CH86">
        <v>15</v>
      </c>
      <c r="CI86">
        <v>0</v>
      </c>
      <c r="CJ86">
        <v>87</v>
      </c>
      <c r="CK86">
        <v>82525</v>
      </c>
      <c r="CL86">
        <v>59434</v>
      </c>
      <c r="CM86">
        <v>319336</v>
      </c>
      <c r="CN86">
        <v>68593</v>
      </c>
      <c r="CO86">
        <v>120</v>
      </c>
      <c r="CP86">
        <v>17630</v>
      </c>
      <c r="CQ86">
        <v>1558</v>
      </c>
      <c r="CR86">
        <v>12</v>
      </c>
      <c r="CY86">
        <v>0</v>
      </c>
      <c r="CZ86">
        <v>0</v>
      </c>
      <c r="DA86">
        <v>0</v>
      </c>
      <c r="DB86">
        <v>12</v>
      </c>
      <c r="DC86">
        <v>0</v>
      </c>
      <c r="DD86">
        <v>23</v>
      </c>
      <c r="DE86" s="2"/>
      <c r="DG86" s="2">
        <f t="shared" si="36"/>
        <v>1440000</v>
      </c>
      <c r="DH86" s="2">
        <f t="shared" si="44"/>
        <v>301823</v>
      </c>
      <c r="DI86" s="2">
        <f t="shared" si="43"/>
        <v>1741823</v>
      </c>
      <c r="DJ86" s="2"/>
      <c r="DK86" s="2">
        <f t="shared" si="45"/>
        <v>81035</v>
      </c>
      <c r="DL86" s="2">
        <f t="shared" si="46"/>
        <v>152334</v>
      </c>
      <c r="DM86" s="2">
        <f t="shared" si="47"/>
        <v>15942</v>
      </c>
      <c r="DN86" s="2">
        <f t="shared" si="48"/>
        <v>50941</v>
      </c>
      <c r="DO86" s="2">
        <f t="shared" si="49"/>
        <v>588992</v>
      </c>
      <c r="DP86" s="2">
        <f t="shared" si="38"/>
        <v>138173</v>
      </c>
      <c r="DQ86" s="2">
        <f t="shared" si="50"/>
        <v>1570</v>
      </c>
      <c r="DR86" s="2">
        <f t="shared" si="51"/>
        <v>22308</v>
      </c>
      <c r="DS86" s="2">
        <f t="shared" si="52"/>
        <v>46349</v>
      </c>
      <c r="DT86" s="2">
        <f t="shared" si="53"/>
        <v>14643</v>
      </c>
      <c r="DU86" s="2">
        <f t="shared" si="40"/>
        <v>141959</v>
      </c>
      <c r="DV86" s="2">
        <f t="shared" si="41"/>
        <v>388049</v>
      </c>
      <c r="DW86" s="2"/>
      <c r="DX86" s="2">
        <f t="shared" si="42"/>
        <v>1642295</v>
      </c>
      <c r="DY86" s="2"/>
      <c r="DZ86" s="2">
        <f t="shared" si="54"/>
        <v>763351</v>
      </c>
      <c r="EA86" s="2">
        <f t="shared" si="39"/>
        <v>82508</v>
      </c>
      <c r="EB86" s="2"/>
      <c r="EC86" s="2">
        <f t="shared" si="55"/>
        <v>1824331</v>
      </c>
    </row>
    <row r="87" spans="1:133" x14ac:dyDescent="0.25">
      <c r="A87" s="13">
        <v>44348</v>
      </c>
      <c r="B87">
        <v>0</v>
      </c>
      <c r="C87">
        <v>0</v>
      </c>
      <c r="D87">
        <v>0</v>
      </c>
      <c r="E87">
        <v>0</v>
      </c>
      <c r="F87">
        <v>1701</v>
      </c>
      <c r="G87">
        <v>17006</v>
      </c>
      <c r="H87">
        <v>51107</v>
      </c>
      <c r="I87">
        <v>2711</v>
      </c>
      <c r="J87">
        <v>6885</v>
      </c>
      <c r="K87">
        <v>1906</v>
      </c>
      <c r="L87">
        <v>34574</v>
      </c>
      <c r="M87">
        <v>1243</v>
      </c>
      <c r="N87">
        <v>1144</v>
      </c>
      <c r="O87">
        <v>1819</v>
      </c>
      <c r="P87">
        <v>11048</v>
      </c>
      <c r="Q87">
        <v>324</v>
      </c>
      <c r="R87">
        <v>4861</v>
      </c>
      <c r="S87">
        <v>15931</v>
      </c>
      <c r="T87">
        <v>108</v>
      </c>
      <c r="U87">
        <v>4362</v>
      </c>
      <c r="V87">
        <v>97</v>
      </c>
      <c r="W87">
        <v>22751</v>
      </c>
      <c r="X87">
        <v>504</v>
      </c>
      <c r="Y87">
        <v>4</v>
      </c>
      <c r="Z87">
        <v>0</v>
      </c>
      <c r="AA87">
        <v>3</v>
      </c>
      <c r="AB87">
        <v>87</v>
      </c>
      <c r="AC87">
        <v>21</v>
      </c>
      <c r="AD87">
        <v>26</v>
      </c>
      <c r="AE87">
        <v>16</v>
      </c>
      <c r="AF87">
        <v>46</v>
      </c>
      <c r="AG87">
        <v>257</v>
      </c>
      <c r="AH87">
        <v>2559</v>
      </c>
      <c r="AI87">
        <v>3</v>
      </c>
      <c r="AJ87">
        <v>13474</v>
      </c>
      <c r="AK87">
        <v>115152</v>
      </c>
      <c r="AL87">
        <v>1694</v>
      </c>
      <c r="AM87">
        <v>22990</v>
      </c>
      <c r="AN87">
        <v>5</v>
      </c>
      <c r="AO87">
        <v>7</v>
      </c>
      <c r="AP87">
        <v>12472</v>
      </c>
      <c r="AQ87">
        <v>0</v>
      </c>
      <c r="AR87">
        <v>726</v>
      </c>
      <c r="AS87">
        <v>42</v>
      </c>
      <c r="AT87">
        <v>10908</v>
      </c>
      <c r="AU87">
        <v>2531</v>
      </c>
      <c r="AV87">
        <v>3434</v>
      </c>
      <c r="AW87">
        <v>15349</v>
      </c>
      <c r="AX87" s="88">
        <v>4</v>
      </c>
      <c r="AY87" s="88">
        <v>0</v>
      </c>
      <c r="AZ87" s="88">
        <v>822</v>
      </c>
      <c r="BA87" s="88">
        <v>0</v>
      </c>
      <c r="BB87">
        <v>298</v>
      </c>
      <c r="BC87">
        <v>1966</v>
      </c>
      <c r="BD87">
        <v>0</v>
      </c>
      <c r="BE87">
        <v>0</v>
      </c>
      <c r="BF87">
        <v>9116</v>
      </c>
      <c r="BG87">
        <v>0</v>
      </c>
      <c r="BH87">
        <v>0</v>
      </c>
      <c r="BI87">
        <v>0</v>
      </c>
      <c r="BJ87">
        <v>12</v>
      </c>
      <c r="BK87">
        <v>5603</v>
      </c>
      <c r="BL87">
        <v>0</v>
      </c>
      <c r="BM87">
        <v>6</v>
      </c>
      <c r="BN87">
        <v>0</v>
      </c>
      <c r="BO87">
        <v>46727</v>
      </c>
      <c r="BP87">
        <v>98722</v>
      </c>
      <c r="BQ87">
        <v>1647</v>
      </c>
      <c r="BR87">
        <v>29</v>
      </c>
      <c r="BS87">
        <v>38824</v>
      </c>
      <c r="BT87">
        <v>1189</v>
      </c>
      <c r="BU87">
        <v>1</v>
      </c>
      <c r="BV87">
        <v>0</v>
      </c>
      <c r="BW87">
        <v>1</v>
      </c>
      <c r="BX87">
        <v>0</v>
      </c>
      <c r="BY87">
        <v>285</v>
      </c>
      <c r="BZ87">
        <v>0</v>
      </c>
      <c r="CA87">
        <v>29547</v>
      </c>
      <c r="CB87">
        <v>22743</v>
      </c>
      <c r="CC87">
        <v>142405</v>
      </c>
      <c r="CD87">
        <v>361844</v>
      </c>
      <c r="CE87">
        <v>55630</v>
      </c>
      <c r="CF87">
        <v>82630</v>
      </c>
      <c r="CG87">
        <v>0</v>
      </c>
      <c r="CH87">
        <v>17</v>
      </c>
      <c r="CI87">
        <v>0</v>
      </c>
      <c r="CJ87">
        <v>88</v>
      </c>
      <c r="CK87">
        <v>83207</v>
      </c>
      <c r="CL87">
        <v>59979</v>
      </c>
      <c r="CM87">
        <v>324916</v>
      </c>
      <c r="CN87">
        <v>69546</v>
      </c>
      <c r="CO87">
        <v>117</v>
      </c>
      <c r="CP87">
        <v>17458</v>
      </c>
      <c r="CQ87">
        <v>1533</v>
      </c>
      <c r="CR87">
        <v>13</v>
      </c>
      <c r="CY87">
        <v>0</v>
      </c>
      <c r="CZ87">
        <v>0</v>
      </c>
      <c r="DA87">
        <v>0</v>
      </c>
      <c r="DB87">
        <v>12</v>
      </c>
      <c r="DC87">
        <v>0</v>
      </c>
      <c r="DD87">
        <v>23</v>
      </c>
      <c r="DE87" s="2"/>
      <c r="DG87" s="2">
        <f t="shared" si="36"/>
        <v>1454259</v>
      </c>
      <c r="DH87" s="2">
        <f t="shared" si="44"/>
        <v>302092</v>
      </c>
      <c r="DI87" s="2">
        <f t="shared" si="43"/>
        <v>1756351</v>
      </c>
      <c r="DJ87" s="2"/>
      <c r="DK87" s="2">
        <f t="shared" si="45"/>
        <v>81187</v>
      </c>
      <c r="DL87" s="2">
        <f t="shared" si="46"/>
        <v>152566</v>
      </c>
      <c r="DM87" s="2">
        <f t="shared" si="47"/>
        <v>15931</v>
      </c>
      <c r="DN87" s="2">
        <f t="shared" si="48"/>
        <v>50864</v>
      </c>
      <c r="DO87" s="2">
        <f t="shared" si="49"/>
        <v>592680</v>
      </c>
      <c r="DP87" s="2">
        <f t="shared" si="38"/>
        <v>139518</v>
      </c>
      <c r="DQ87" s="2">
        <f t="shared" si="50"/>
        <v>1546</v>
      </c>
      <c r="DR87" s="2">
        <f t="shared" si="51"/>
        <v>22760</v>
      </c>
      <c r="DS87" s="2">
        <f t="shared" si="52"/>
        <v>46728</v>
      </c>
      <c r="DT87" s="2">
        <f t="shared" si="53"/>
        <v>14720</v>
      </c>
      <c r="DU87" s="2">
        <f t="shared" si="40"/>
        <v>143186</v>
      </c>
      <c r="DV87" s="2">
        <f t="shared" si="41"/>
        <v>394579</v>
      </c>
      <c r="DW87" s="2"/>
      <c r="DX87" s="2">
        <f t="shared" si="42"/>
        <v>1656265</v>
      </c>
      <c r="DY87" s="2"/>
      <c r="DZ87" s="2">
        <f t="shared" si="54"/>
        <v>767739</v>
      </c>
      <c r="EA87" s="2">
        <f t="shared" si="39"/>
        <v>82460</v>
      </c>
      <c r="EB87" s="2"/>
      <c r="EC87" s="2">
        <f t="shared" si="55"/>
        <v>1838811</v>
      </c>
    </row>
    <row r="88" spans="1:133" x14ac:dyDescent="0.25">
      <c r="A88" s="13">
        <v>44378</v>
      </c>
      <c r="B88">
        <v>0</v>
      </c>
      <c r="C88">
        <v>0</v>
      </c>
      <c r="D88">
        <v>0</v>
      </c>
      <c r="E88">
        <v>0</v>
      </c>
      <c r="F88">
        <v>1737</v>
      </c>
      <c r="G88">
        <v>16791</v>
      </c>
      <c r="H88">
        <v>51143</v>
      </c>
      <c r="I88">
        <v>2646</v>
      </c>
      <c r="J88">
        <v>6860</v>
      </c>
      <c r="K88">
        <v>1954</v>
      </c>
      <c r="L88">
        <v>34362</v>
      </c>
      <c r="M88">
        <v>1211</v>
      </c>
      <c r="N88">
        <v>1162</v>
      </c>
      <c r="O88">
        <v>1805</v>
      </c>
      <c r="P88">
        <v>10906</v>
      </c>
      <c r="Q88">
        <v>318</v>
      </c>
      <c r="R88">
        <v>4823</v>
      </c>
      <c r="S88">
        <v>15840</v>
      </c>
      <c r="T88">
        <v>108</v>
      </c>
      <c r="U88">
        <v>4317</v>
      </c>
      <c r="V88">
        <v>99</v>
      </c>
      <c r="W88">
        <v>23005</v>
      </c>
      <c r="X88">
        <v>500</v>
      </c>
      <c r="Y88">
        <v>4</v>
      </c>
      <c r="Z88">
        <v>0</v>
      </c>
      <c r="AA88">
        <v>3</v>
      </c>
      <c r="AB88">
        <v>87</v>
      </c>
      <c r="AC88">
        <v>21</v>
      </c>
      <c r="AD88">
        <v>25</v>
      </c>
      <c r="AE88">
        <v>16</v>
      </c>
      <c r="AF88">
        <v>46</v>
      </c>
      <c r="AG88">
        <v>261</v>
      </c>
      <c r="AH88">
        <v>2564</v>
      </c>
      <c r="AI88">
        <v>3</v>
      </c>
      <c r="AJ88">
        <v>13483</v>
      </c>
      <c r="AK88">
        <v>115053</v>
      </c>
      <c r="AL88">
        <v>1688</v>
      </c>
      <c r="AM88">
        <v>22871</v>
      </c>
      <c r="AN88">
        <v>5</v>
      </c>
      <c r="AO88">
        <v>7</v>
      </c>
      <c r="AP88">
        <v>12398</v>
      </c>
      <c r="AQ88">
        <v>0</v>
      </c>
      <c r="AR88">
        <v>732</v>
      </c>
      <c r="AS88">
        <v>42</v>
      </c>
      <c r="AT88">
        <v>10935</v>
      </c>
      <c r="AU88">
        <v>2524</v>
      </c>
      <c r="AV88">
        <v>3436</v>
      </c>
      <c r="AW88">
        <v>15270</v>
      </c>
      <c r="AX88" s="88">
        <v>2</v>
      </c>
      <c r="AY88" s="88">
        <v>0</v>
      </c>
      <c r="AZ88" s="88">
        <v>826</v>
      </c>
      <c r="BA88" s="88">
        <v>0</v>
      </c>
      <c r="BB88">
        <v>304</v>
      </c>
      <c r="BC88">
        <v>1971</v>
      </c>
      <c r="BD88">
        <v>0</v>
      </c>
      <c r="BE88">
        <v>0</v>
      </c>
      <c r="BF88">
        <v>9134</v>
      </c>
      <c r="BG88">
        <v>0</v>
      </c>
      <c r="BH88">
        <v>0</v>
      </c>
      <c r="BI88">
        <v>0</v>
      </c>
      <c r="BJ88">
        <v>12</v>
      </c>
      <c r="BK88">
        <v>5639</v>
      </c>
      <c r="BL88">
        <v>0</v>
      </c>
      <c r="BM88">
        <v>6</v>
      </c>
      <c r="BN88">
        <v>0</v>
      </c>
      <c r="BO88">
        <v>47096</v>
      </c>
      <c r="BP88">
        <v>99570</v>
      </c>
      <c r="BQ88">
        <v>1644</v>
      </c>
      <c r="BR88">
        <v>29</v>
      </c>
      <c r="BS88">
        <v>39347</v>
      </c>
      <c r="BT88">
        <v>1184</v>
      </c>
      <c r="BU88">
        <v>5</v>
      </c>
      <c r="BV88">
        <v>0</v>
      </c>
      <c r="BW88">
        <v>1</v>
      </c>
      <c r="BX88">
        <v>0</v>
      </c>
      <c r="BY88">
        <v>292</v>
      </c>
      <c r="BZ88">
        <v>0</v>
      </c>
      <c r="CA88">
        <v>29343</v>
      </c>
      <c r="CB88">
        <v>23283</v>
      </c>
      <c r="CC88">
        <v>142223</v>
      </c>
      <c r="CD88">
        <v>365337</v>
      </c>
      <c r="CE88">
        <v>56815</v>
      </c>
      <c r="CF88">
        <v>83237</v>
      </c>
      <c r="CG88">
        <v>0</v>
      </c>
      <c r="CH88">
        <v>17</v>
      </c>
      <c r="CI88">
        <v>0</v>
      </c>
      <c r="CJ88">
        <v>93</v>
      </c>
      <c r="CK88">
        <v>83707</v>
      </c>
      <c r="CL88">
        <v>60572</v>
      </c>
      <c r="CM88">
        <v>330328</v>
      </c>
      <c r="CN88">
        <v>70406</v>
      </c>
      <c r="CO88">
        <v>127</v>
      </c>
      <c r="CP88">
        <v>17408</v>
      </c>
      <c r="CQ88">
        <v>1533</v>
      </c>
      <c r="CR88">
        <v>11</v>
      </c>
      <c r="CY88">
        <v>0</v>
      </c>
      <c r="CZ88">
        <v>0</v>
      </c>
      <c r="DA88">
        <v>0</v>
      </c>
      <c r="DB88">
        <v>11</v>
      </c>
      <c r="DC88">
        <v>0</v>
      </c>
      <c r="DD88">
        <v>23</v>
      </c>
      <c r="DE88" s="2"/>
      <c r="DG88" s="2">
        <f t="shared" si="36"/>
        <v>1468828</v>
      </c>
      <c r="DH88" s="2">
        <f t="shared" si="44"/>
        <v>301442</v>
      </c>
      <c r="DI88" s="2">
        <f t="shared" si="43"/>
        <v>1770270</v>
      </c>
      <c r="DJ88" s="2"/>
      <c r="DK88" s="2">
        <f t="shared" si="45"/>
        <v>80954</v>
      </c>
      <c r="DL88" s="2">
        <f t="shared" si="46"/>
        <v>152512</v>
      </c>
      <c r="DM88" s="2">
        <f t="shared" si="47"/>
        <v>15840</v>
      </c>
      <c r="DN88" s="2">
        <f t="shared" si="48"/>
        <v>50592</v>
      </c>
      <c r="DO88" s="2">
        <f t="shared" si="49"/>
        <v>596974</v>
      </c>
      <c r="DP88" s="2">
        <f t="shared" si="38"/>
        <v>140894</v>
      </c>
      <c r="DQ88" s="2">
        <f t="shared" si="50"/>
        <v>1544</v>
      </c>
      <c r="DR88" s="2">
        <f t="shared" si="51"/>
        <v>23300</v>
      </c>
      <c r="DS88" s="2">
        <f t="shared" si="52"/>
        <v>47101</v>
      </c>
      <c r="DT88" s="2">
        <f t="shared" si="53"/>
        <v>14774</v>
      </c>
      <c r="DU88" s="2">
        <f t="shared" si="40"/>
        <v>144279</v>
      </c>
      <c r="DV88" s="2">
        <f t="shared" si="41"/>
        <v>400861</v>
      </c>
      <c r="DW88" s="2"/>
      <c r="DX88" s="2">
        <f t="shared" si="42"/>
        <v>1669625</v>
      </c>
      <c r="DY88" s="2"/>
      <c r="DZ88" s="2">
        <f t="shared" si="54"/>
        <v>772425</v>
      </c>
      <c r="EA88" s="2">
        <f t="shared" si="39"/>
        <v>82293</v>
      </c>
      <c r="EB88" s="2"/>
      <c r="EC88" s="2">
        <f t="shared" si="55"/>
        <v>1852563</v>
      </c>
    </row>
    <row r="89" spans="1:133" x14ac:dyDescent="0.25">
      <c r="A89" s="13">
        <v>44409</v>
      </c>
      <c r="B89">
        <v>0</v>
      </c>
      <c r="C89">
        <v>0</v>
      </c>
      <c r="D89">
        <v>0</v>
      </c>
      <c r="E89">
        <v>0</v>
      </c>
      <c r="F89">
        <v>2329</v>
      </c>
      <c r="G89">
        <v>16582</v>
      </c>
      <c r="H89">
        <v>51481</v>
      </c>
      <c r="I89">
        <v>2588</v>
      </c>
      <c r="J89">
        <v>6797</v>
      </c>
      <c r="K89">
        <v>2012</v>
      </c>
      <c r="L89">
        <v>34223</v>
      </c>
      <c r="M89">
        <v>1214</v>
      </c>
      <c r="N89">
        <v>1190</v>
      </c>
      <c r="O89">
        <v>1819</v>
      </c>
      <c r="P89">
        <v>10983</v>
      </c>
      <c r="Q89">
        <v>317</v>
      </c>
      <c r="R89">
        <v>4809</v>
      </c>
      <c r="S89">
        <v>15824</v>
      </c>
      <c r="T89">
        <v>113</v>
      </c>
      <c r="U89">
        <v>4291</v>
      </c>
      <c r="V89">
        <v>103</v>
      </c>
      <c r="W89">
        <v>23295</v>
      </c>
      <c r="X89">
        <v>504</v>
      </c>
      <c r="Y89">
        <v>4</v>
      </c>
      <c r="Z89">
        <v>0</v>
      </c>
      <c r="AA89">
        <v>3</v>
      </c>
      <c r="AB89">
        <v>88</v>
      </c>
      <c r="AC89">
        <v>21</v>
      </c>
      <c r="AD89">
        <v>25</v>
      </c>
      <c r="AE89">
        <v>16</v>
      </c>
      <c r="AF89">
        <v>48</v>
      </c>
      <c r="AG89">
        <v>267</v>
      </c>
      <c r="AH89">
        <v>2559</v>
      </c>
      <c r="AI89">
        <v>3</v>
      </c>
      <c r="AJ89">
        <v>13541</v>
      </c>
      <c r="AK89">
        <v>115091</v>
      </c>
      <c r="AL89">
        <v>1677</v>
      </c>
      <c r="AM89">
        <v>22795</v>
      </c>
      <c r="AN89">
        <v>5</v>
      </c>
      <c r="AO89">
        <v>7</v>
      </c>
      <c r="AP89">
        <v>12365</v>
      </c>
      <c r="AQ89">
        <v>0</v>
      </c>
      <c r="AR89">
        <v>729</v>
      </c>
      <c r="AS89">
        <v>42</v>
      </c>
      <c r="AT89">
        <v>10978</v>
      </c>
      <c r="AU89">
        <v>2518</v>
      </c>
      <c r="AV89">
        <v>3440</v>
      </c>
      <c r="AW89">
        <v>15255</v>
      </c>
      <c r="AX89" s="88">
        <v>3</v>
      </c>
      <c r="AY89" s="88">
        <v>0</v>
      </c>
      <c r="AZ89" s="88">
        <v>830</v>
      </c>
      <c r="BA89" s="88">
        <v>0</v>
      </c>
      <c r="BB89">
        <v>300</v>
      </c>
      <c r="BC89">
        <v>1991</v>
      </c>
      <c r="BD89">
        <v>0</v>
      </c>
      <c r="BE89">
        <v>0</v>
      </c>
      <c r="BF89">
        <v>9162</v>
      </c>
      <c r="BG89">
        <v>0</v>
      </c>
      <c r="BH89">
        <v>0</v>
      </c>
      <c r="BI89">
        <v>0</v>
      </c>
      <c r="BJ89">
        <v>15</v>
      </c>
      <c r="BK89">
        <v>5723</v>
      </c>
      <c r="BL89">
        <v>0</v>
      </c>
      <c r="BM89">
        <v>7</v>
      </c>
      <c r="BN89">
        <v>0</v>
      </c>
      <c r="BO89">
        <v>47274</v>
      </c>
      <c r="BP89">
        <v>100673</v>
      </c>
      <c r="BQ89">
        <v>1629</v>
      </c>
      <c r="BR89">
        <v>29</v>
      </c>
      <c r="BS89">
        <v>40005</v>
      </c>
      <c r="BT89">
        <v>1152</v>
      </c>
      <c r="BU89">
        <v>2</v>
      </c>
      <c r="BV89">
        <v>0</v>
      </c>
      <c r="BW89">
        <v>1</v>
      </c>
      <c r="BX89">
        <v>0</v>
      </c>
      <c r="BY89">
        <v>305</v>
      </c>
      <c r="BZ89">
        <v>0</v>
      </c>
      <c r="CA89">
        <v>29238</v>
      </c>
      <c r="CB89">
        <v>23857</v>
      </c>
      <c r="CC89">
        <v>142091</v>
      </c>
      <c r="CD89">
        <v>369320</v>
      </c>
      <c r="CE89">
        <v>58133</v>
      </c>
      <c r="CF89">
        <v>84121</v>
      </c>
      <c r="CG89">
        <v>0</v>
      </c>
      <c r="CH89">
        <v>18</v>
      </c>
      <c r="CI89">
        <v>0</v>
      </c>
      <c r="CJ89">
        <v>96</v>
      </c>
      <c r="CK89">
        <v>84283</v>
      </c>
      <c r="CL89">
        <v>61135</v>
      </c>
      <c r="CM89">
        <v>336699</v>
      </c>
      <c r="CN89">
        <v>71434</v>
      </c>
      <c r="CO89">
        <v>96</v>
      </c>
      <c r="CP89">
        <v>17268</v>
      </c>
      <c r="CQ89">
        <v>1537</v>
      </c>
      <c r="CR89">
        <v>11</v>
      </c>
      <c r="CY89">
        <v>0</v>
      </c>
      <c r="CZ89">
        <v>0</v>
      </c>
      <c r="DA89">
        <v>0</v>
      </c>
      <c r="DB89">
        <v>11</v>
      </c>
      <c r="DC89">
        <v>0</v>
      </c>
      <c r="DD89">
        <v>23</v>
      </c>
      <c r="DE89" s="2"/>
      <c r="DG89" s="2">
        <f t="shared" ref="DG89:DG123" si="56">SUM(AX89:AY89,BC89:CP89,CU89:CX89)</f>
        <v>1485760</v>
      </c>
      <c r="DH89" s="2">
        <f t="shared" si="44"/>
        <v>301651</v>
      </c>
      <c r="DI89" s="2">
        <f t="shared" si="43"/>
        <v>1787411</v>
      </c>
      <c r="DJ89" s="2"/>
      <c r="DK89" s="2">
        <f t="shared" si="45"/>
        <v>81167</v>
      </c>
      <c r="DL89" s="2">
        <f t="shared" si="46"/>
        <v>152641</v>
      </c>
      <c r="DM89" s="2">
        <f t="shared" si="47"/>
        <v>15824</v>
      </c>
      <c r="DN89" s="2">
        <f t="shared" si="48"/>
        <v>50470</v>
      </c>
      <c r="DO89" s="2">
        <f t="shared" si="49"/>
        <v>602011</v>
      </c>
      <c r="DP89" s="2">
        <f t="shared" si="38"/>
        <v>142676</v>
      </c>
      <c r="DQ89" s="2">
        <f t="shared" si="50"/>
        <v>1548</v>
      </c>
      <c r="DR89" s="2">
        <f t="shared" si="51"/>
        <v>23875</v>
      </c>
      <c r="DS89" s="2">
        <f t="shared" si="52"/>
        <v>47276</v>
      </c>
      <c r="DT89" s="2">
        <f t="shared" si="53"/>
        <v>14886</v>
      </c>
      <c r="DU89" s="2">
        <f t="shared" si="40"/>
        <v>145418</v>
      </c>
      <c r="DV89" s="2">
        <f t="shared" si="41"/>
        <v>408229</v>
      </c>
      <c r="DW89" s="2"/>
      <c r="DX89" s="2">
        <f t="shared" si="42"/>
        <v>1686021</v>
      </c>
      <c r="DY89" s="2"/>
      <c r="DZ89" s="2">
        <f t="shared" si="54"/>
        <v>778466</v>
      </c>
      <c r="EA89" s="2">
        <f t="shared" ref="EA89:EA123" si="57">SUM(F89:K89,N89,CS89:CT89)</f>
        <v>82979</v>
      </c>
      <c r="EB89" s="2"/>
      <c r="EC89" s="2">
        <f t="shared" si="55"/>
        <v>1870390</v>
      </c>
    </row>
    <row r="90" spans="1:133" x14ac:dyDescent="0.25">
      <c r="A90" s="13">
        <v>44440</v>
      </c>
      <c r="B90">
        <v>0</v>
      </c>
      <c r="C90">
        <v>0</v>
      </c>
      <c r="D90">
        <v>0</v>
      </c>
      <c r="E90">
        <v>0</v>
      </c>
      <c r="F90">
        <v>3139</v>
      </c>
      <c r="G90">
        <v>16394</v>
      </c>
      <c r="H90">
        <v>51552</v>
      </c>
      <c r="I90">
        <v>2512</v>
      </c>
      <c r="J90">
        <v>6659</v>
      </c>
      <c r="K90">
        <v>2058</v>
      </c>
      <c r="L90">
        <v>34229</v>
      </c>
      <c r="M90">
        <v>1198</v>
      </c>
      <c r="N90">
        <v>1225</v>
      </c>
      <c r="O90">
        <v>1820</v>
      </c>
      <c r="P90">
        <v>10993</v>
      </c>
      <c r="Q90">
        <v>314</v>
      </c>
      <c r="R90">
        <v>4813</v>
      </c>
      <c r="S90">
        <v>15852</v>
      </c>
      <c r="T90">
        <v>118</v>
      </c>
      <c r="U90">
        <v>4272</v>
      </c>
      <c r="V90">
        <v>104</v>
      </c>
      <c r="W90">
        <v>23650</v>
      </c>
      <c r="X90">
        <v>511</v>
      </c>
      <c r="Y90">
        <v>4</v>
      </c>
      <c r="Z90">
        <v>0</v>
      </c>
      <c r="AA90">
        <v>3</v>
      </c>
      <c r="AB90">
        <v>91</v>
      </c>
      <c r="AC90">
        <v>21</v>
      </c>
      <c r="AD90">
        <v>25</v>
      </c>
      <c r="AE90">
        <v>15</v>
      </c>
      <c r="AF90">
        <v>47</v>
      </c>
      <c r="AG90">
        <v>260</v>
      </c>
      <c r="AH90">
        <v>2547</v>
      </c>
      <c r="AI90">
        <v>3</v>
      </c>
      <c r="AJ90">
        <v>13608</v>
      </c>
      <c r="AK90">
        <v>115115</v>
      </c>
      <c r="AL90">
        <v>1664</v>
      </c>
      <c r="AM90">
        <v>22800</v>
      </c>
      <c r="AN90">
        <v>3</v>
      </c>
      <c r="AO90">
        <v>7</v>
      </c>
      <c r="AP90">
        <v>12350</v>
      </c>
      <c r="AQ90">
        <v>0</v>
      </c>
      <c r="AR90">
        <v>729</v>
      </c>
      <c r="AS90">
        <v>42</v>
      </c>
      <c r="AT90">
        <v>11042</v>
      </c>
      <c r="AU90">
        <v>2511</v>
      </c>
      <c r="AV90">
        <v>3437</v>
      </c>
      <c r="AW90">
        <v>15247</v>
      </c>
      <c r="AX90" s="88">
        <v>2</v>
      </c>
      <c r="AY90" s="88">
        <v>1</v>
      </c>
      <c r="AZ90" s="88">
        <v>831</v>
      </c>
      <c r="BA90" s="88">
        <v>0</v>
      </c>
      <c r="BB90">
        <v>304</v>
      </c>
      <c r="BC90">
        <v>2017</v>
      </c>
      <c r="BD90">
        <v>0</v>
      </c>
      <c r="BE90">
        <v>0</v>
      </c>
      <c r="BF90">
        <v>9243</v>
      </c>
      <c r="BG90">
        <v>0</v>
      </c>
      <c r="BH90">
        <v>0</v>
      </c>
      <c r="BI90">
        <v>0</v>
      </c>
      <c r="BJ90">
        <v>15</v>
      </c>
      <c r="BK90">
        <v>5739</v>
      </c>
      <c r="BL90">
        <v>0</v>
      </c>
      <c r="BM90">
        <v>8</v>
      </c>
      <c r="BN90">
        <v>0</v>
      </c>
      <c r="BO90">
        <v>47613</v>
      </c>
      <c r="BP90">
        <v>101648</v>
      </c>
      <c r="BQ90">
        <v>1604</v>
      </c>
      <c r="BR90">
        <v>30</v>
      </c>
      <c r="BS90">
        <v>40682</v>
      </c>
      <c r="BT90">
        <v>1121</v>
      </c>
      <c r="BU90">
        <v>3</v>
      </c>
      <c r="BV90">
        <v>0</v>
      </c>
      <c r="BW90">
        <v>1</v>
      </c>
      <c r="BX90">
        <v>0</v>
      </c>
      <c r="BY90">
        <v>304</v>
      </c>
      <c r="BZ90">
        <v>0</v>
      </c>
      <c r="CA90">
        <v>29283</v>
      </c>
      <c r="CB90">
        <v>24220</v>
      </c>
      <c r="CC90">
        <v>142072</v>
      </c>
      <c r="CD90">
        <v>372708</v>
      </c>
      <c r="CE90">
        <v>59623</v>
      </c>
      <c r="CF90">
        <v>85275</v>
      </c>
      <c r="CG90">
        <v>0</v>
      </c>
      <c r="CH90">
        <v>19</v>
      </c>
      <c r="CI90">
        <v>0</v>
      </c>
      <c r="CJ90">
        <v>101</v>
      </c>
      <c r="CK90">
        <v>84720</v>
      </c>
      <c r="CL90">
        <v>62051</v>
      </c>
      <c r="CM90">
        <v>344436</v>
      </c>
      <c r="CN90">
        <v>72836</v>
      </c>
      <c r="CO90">
        <v>104</v>
      </c>
      <c r="CP90">
        <v>17134</v>
      </c>
      <c r="CQ90">
        <v>1529</v>
      </c>
      <c r="CR90">
        <v>12</v>
      </c>
      <c r="CY90">
        <v>0</v>
      </c>
      <c r="CZ90">
        <v>0</v>
      </c>
      <c r="DA90">
        <v>0</v>
      </c>
      <c r="DB90">
        <v>10</v>
      </c>
      <c r="DC90">
        <v>0</v>
      </c>
      <c r="DD90">
        <v>23</v>
      </c>
      <c r="DE90" s="2"/>
      <c r="DG90" s="2">
        <f t="shared" si="56"/>
        <v>1504613</v>
      </c>
      <c r="DH90" s="2">
        <f t="shared" si="44"/>
        <v>302119</v>
      </c>
      <c r="DI90" s="2">
        <f t="shared" si="43"/>
        <v>1806732</v>
      </c>
      <c r="DJ90" s="2"/>
      <c r="DK90" s="2">
        <f t="shared" si="45"/>
        <v>81511</v>
      </c>
      <c r="DL90" s="2">
        <f t="shared" si="46"/>
        <v>152766</v>
      </c>
      <c r="DM90" s="2">
        <f t="shared" si="47"/>
        <v>15852</v>
      </c>
      <c r="DN90" s="2">
        <f t="shared" si="48"/>
        <v>50451</v>
      </c>
      <c r="DO90" s="2">
        <f t="shared" si="49"/>
        <v>606863</v>
      </c>
      <c r="DP90" s="2">
        <f t="shared" si="38"/>
        <v>144356</v>
      </c>
      <c r="DQ90" s="2">
        <f t="shared" si="50"/>
        <v>1541</v>
      </c>
      <c r="DR90" s="2">
        <f t="shared" si="51"/>
        <v>24239</v>
      </c>
      <c r="DS90" s="2">
        <f t="shared" si="52"/>
        <v>47616</v>
      </c>
      <c r="DT90" s="2">
        <f t="shared" si="53"/>
        <v>14983</v>
      </c>
      <c r="DU90" s="2">
        <f t="shared" ref="DU90:DU123" si="58">SUM(CK90:CL90)</f>
        <v>146771</v>
      </c>
      <c r="DV90" s="2">
        <f t="shared" ref="DV90:DV123" si="59">SUM(CM90:CO90)</f>
        <v>417376</v>
      </c>
      <c r="DW90" s="2"/>
      <c r="DX90" s="2">
        <f t="shared" si="42"/>
        <v>1704325</v>
      </c>
      <c r="DY90" s="2"/>
      <c r="DZ90" s="2">
        <f t="shared" si="54"/>
        <v>784238</v>
      </c>
      <c r="EA90" s="2">
        <f t="shared" si="57"/>
        <v>83539</v>
      </c>
      <c r="EB90" s="2"/>
      <c r="EC90" s="2">
        <f t="shared" si="55"/>
        <v>1890271</v>
      </c>
    </row>
    <row r="91" spans="1:133" x14ac:dyDescent="0.25">
      <c r="A91" s="13">
        <v>44470</v>
      </c>
      <c r="B91">
        <v>0</v>
      </c>
      <c r="C91">
        <v>0</v>
      </c>
      <c r="D91">
        <v>0</v>
      </c>
      <c r="E91">
        <v>0</v>
      </c>
      <c r="F91">
        <v>3723</v>
      </c>
      <c r="G91">
        <v>16211</v>
      </c>
      <c r="H91">
        <v>51739</v>
      </c>
      <c r="I91">
        <v>2408</v>
      </c>
      <c r="J91">
        <v>6497</v>
      </c>
      <c r="K91">
        <v>2085</v>
      </c>
      <c r="L91">
        <v>34391</v>
      </c>
      <c r="M91">
        <v>1194</v>
      </c>
      <c r="N91">
        <v>1241</v>
      </c>
      <c r="O91">
        <v>1840</v>
      </c>
      <c r="P91">
        <v>10983</v>
      </c>
      <c r="Q91">
        <v>307</v>
      </c>
      <c r="R91">
        <v>4817</v>
      </c>
      <c r="S91">
        <v>15879</v>
      </c>
      <c r="T91">
        <v>124</v>
      </c>
      <c r="U91">
        <v>4283</v>
      </c>
      <c r="V91">
        <v>104</v>
      </c>
      <c r="W91">
        <v>24016</v>
      </c>
      <c r="X91">
        <v>516</v>
      </c>
      <c r="Y91">
        <v>5</v>
      </c>
      <c r="Z91">
        <v>0</v>
      </c>
      <c r="AA91">
        <v>3</v>
      </c>
      <c r="AB91">
        <v>93</v>
      </c>
      <c r="AC91">
        <v>23</v>
      </c>
      <c r="AD91">
        <v>26</v>
      </c>
      <c r="AE91">
        <v>15</v>
      </c>
      <c r="AF91">
        <v>47</v>
      </c>
      <c r="AG91">
        <v>270</v>
      </c>
      <c r="AH91">
        <v>2544</v>
      </c>
      <c r="AI91">
        <v>3</v>
      </c>
      <c r="AJ91">
        <v>13700</v>
      </c>
      <c r="AK91">
        <v>115016</v>
      </c>
      <c r="AL91">
        <v>1650</v>
      </c>
      <c r="AM91">
        <v>22786</v>
      </c>
      <c r="AN91">
        <v>3</v>
      </c>
      <c r="AO91">
        <v>6</v>
      </c>
      <c r="AP91">
        <v>12324</v>
      </c>
      <c r="AQ91">
        <v>0</v>
      </c>
      <c r="AR91">
        <v>740</v>
      </c>
      <c r="AS91">
        <v>40</v>
      </c>
      <c r="AT91">
        <v>11125</v>
      </c>
      <c r="AU91">
        <v>2512</v>
      </c>
      <c r="AV91">
        <v>3436</v>
      </c>
      <c r="AW91">
        <v>15243</v>
      </c>
      <c r="AX91" s="88">
        <v>3</v>
      </c>
      <c r="AY91" s="88">
        <v>0</v>
      </c>
      <c r="AZ91" s="88">
        <v>833</v>
      </c>
      <c r="BA91" s="88">
        <v>0</v>
      </c>
      <c r="BB91">
        <v>300</v>
      </c>
      <c r="BC91">
        <v>2030</v>
      </c>
      <c r="BD91">
        <v>0</v>
      </c>
      <c r="BE91">
        <v>0</v>
      </c>
      <c r="BF91">
        <v>9276</v>
      </c>
      <c r="BG91">
        <v>0</v>
      </c>
      <c r="BH91">
        <v>0</v>
      </c>
      <c r="BI91">
        <v>0</v>
      </c>
      <c r="BJ91">
        <v>14</v>
      </c>
      <c r="BK91">
        <v>5789</v>
      </c>
      <c r="BL91">
        <v>0</v>
      </c>
      <c r="BM91">
        <v>54</v>
      </c>
      <c r="BN91">
        <v>0</v>
      </c>
      <c r="BO91">
        <v>47913</v>
      </c>
      <c r="BP91">
        <v>102451</v>
      </c>
      <c r="BQ91">
        <v>1567</v>
      </c>
      <c r="BR91">
        <v>30</v>
      </c>
      <c r="BS91">
        <v>41360</v>
      </c>
      <c r="BT91">
        <v>1107</v>
      </c>
      <c r="BU91">
        <v>0</v>
      </c>
      <c r="BV91">
        <v>0</v>
      </c>
      <c r="BW91">
        <v>1</v>
      </c>
      <c r="BX91">
        <v>0</v>
      </c>
      <c r="BY91">
        <v>304</v>
      </c>
      <c r="BZ91">
        <v>0</v>
      </c>
      <c r="CA91">
        <v>29291</v>
      </c>
      <c r="CB91">
        <v>24529</v>
      </c>
      <c r="CC91">
        <v>142335</v>
      </c>
      <c r="CD91">
        <v>375870</v>
      </c>
      <c r="CE91">
        <v>60819</v>
      </c>
      <c r="CF91">
        <v>86355</v>
      </c>
      <c r="CG91">
        <v>0</v>
      </c>
      <c r="CH91">
        <v>19</v>
      </c>
      <c r="CI91">
        <v>0</v>
      </c>
      <c r="CJ91">
        <v>101</v>
      </c>
      <c r="CK91">
        <v>85213</v>
      </c>
      <c r="CL91">
        <v>62753</v>
      </c>
      <c r="CM91">
        <v>351214</v>
      </c>
      <c r="CN91">
        <v>73897</v>
      </c>
      <c r="CO91">
        <v>82</v>
      </c>
      <c r="CP91">
        <v>17008</v>
      </c>
      <c r="CQ91">
        <v>1523</v>
      </c>
      <c r="CR91">
        <v>10</v>
      </c>
      <c r="CY91">
        <v>0</v>
      </c>
      <c r="CZ91">
        <v>0</v>
      </c>
      <c r="DA91">
        <v>0</v>
      </c>
      <c r="DB91">
        <v>10</v>
      </c>
      <c r="DC91">
        <v>0</v>
      </c>
      <c r="DD91">
        <v>23</v>
      </c>
      <c r="DE91" s="2"/>
      <c r="DG91" s="2">
        <f t="shared" si="56"/>
        <v>1521385</v>
      </c>
      <c r="DH91" s="2">
        <f t="shared" si="44"/>
        <v>302729</v>
      </c>
      <c r="DI91" s="2">
        <f t="shared" si="43"/>
        <v>1824114</v>
      </c>
      <c r="DJ91" s="2"/>
      <c r="DK91" s="2">
        <f t="shared" si="45"/>
        <v>82059</v>
      </c>
      <c r="DL91" s="2">
        <f t="shared" si="46"/>
        <v>152853</v>
      </c>
      <c r="DM91" s="2">
        <f t="shared" si="47"/>
        <v>15879</v>
      </c>
      <c r="DN91" s="2">
        <f t="shared" si="48"/>
        <v>50406</v>
      </c>
      <c r="DO91" s="2">
        <f t="shared" si="49"/>
        <v>611441</v>
      </c>
      <c r="DP91" s="2">
        <f t="shared" si="38"/>
        <v>145895</v>
      </c>
      <c r="DQ91" s="2">
        <f t="shared" si="50"/>
        <v>1533</v>
      </c>
      <c r="DR91" s="2">
        <f t="shared" si="51"/>
        <v>24548</v>
      </c>
      <c r="DS91" s="2">
        <f t="shared" si="52"/>
        <v>47913</v>
      </c>
      <c r="DT91" s="2">
        <f t="shared" si="53"/>
        <v>15066</v>
      </c>
      <c r="DU91" s="2">
        <f t="shared" si="58"/>
        <v>147966</v>
      </c>
      <c r="DV91" s="2">
        <f t="shared" si="59"/>
        <v>425193</v>
      </c>
      <c r="DW91" s="2"/>
      <c r="DX91" s="2">
        <f t="shared" si="42"/>
        <v>1720752</v>
      </c>
      <c r="DY91" s="2"/>
      <c r="DZ91" s="2">
        <f t="shared" si="54"/>
        <v>789717</v>
      </c>
      <c r="EA91" s="2">
        <f t="shared" si="57"/>
        <v>83904</v>
      </c>
      <c r="EB91" s="2"/>
      <c r="EC91" s="2">
        <f t="shared" si="55"/>
        <v>1908018</v>
      </c>
    </row>
    <row r="92" spans="1:133" x14ac:dyDescent="0.25">
      <c r="A92" s="13">
        <v>44501</v>
      </c>
      <c r="B92">
        <v>0</v>
      </c>
      <c r="C92">
        <v>0</v>
      </c>
      <c r="D92">
        <v>0</v>
      </c>
      <c r="E92">
        <v>0</v>
      </c>
      <c r="F92">
        <v>4181</v>
      </c>
      <c r="G92">
        <v>16071</v>
      </c>
      <c r="H92">
        <v>51869</v>
      </c>
      <c r="I92">
        <v>2345</v>
      </c>
      <c r="J92">
        <v>6424</v>
      </c>
      <c r="K92">
        <v>2133</v>
      </c>
      <c r="L92">
        <v>34488</v>
      </c>
      <c r="M92">
        <v>1183</v>
      </c>
      <c r="N92">
        <v>1260</v>
      </c>
      <c r="O92">
        <v>1849</v>
      </c>
      <c r="P92">
        <v>11065</v>
      </c>
      <c r="Q92">
        <v>309</v>
      </c>
      <c r="R92">
        <v>4856</v>
      </c>
      <c r="S92">
        <v>15888</v>
      </c>
      <c r="T92">
        <v>134</v>
      </c>
      <c r="U92">
        <v>4289</v>
      </c>
      <c r="V92">
        <v>109</v>
      </c>
      <c r="W92">
        <v>24365</v>
      </c>
      <c r="X92">
        <v>518</v>
      </c>
      <c r="Y92">
        <v>5</v>
      </c>
      <c r="Z92">
        <v>4</v>
      </c>
      <c r="AA92">
        <v>3</v>
      </c>
      <c r="AB92">
        <v>92</v>
      </c>
      <c r="AC92">
        <v>23</v>
      </c>
      <c r="AD92">
        <v>26</v>
      </c>
      <c r="AE92">
        <v>15</v>
      </c>
      <c r="AF92">
        <v>47</v>
      </c>
      <c r="AG92">
        <v>270</v>
      </c>
      <c r="AH92">
        <v>2549</v>
      </c>
      <c r="AI92">
        <v>3</v>
      </c>
      <c r="AJ92">
        <v>13764</v>
      </c>
      <c r="AK92">
        <v>114913</v>
      </c>
      <c r="AL92">
        <v>1636</v>
      </c>
      <c r="AM92">
        <v>22783</v>
      </c>
      <c r="AN92">
        <v>3</v>
      </c>
      <c r="AO92">
        <v>5</v>
      </c>
      <c r="AP92">
        <v>12321</v>
      </c>
      <c r="AQ92">
        <v>0</v>
      </c>
      <c r="AR92">
        <v>754</v>
      </c>
      <c r="AS92">
        <v>40</v>
      </c>
      <c r="AT92">
        <v>11175</v>
      </c>
      <c r="AU92">
        <v>2506</v>
      </c>
      <c r="AV92">
        <v>3425</v>
      </c>
      <c r="AW92">
        <v>15237</v>
      </c>
      <c r="AX92" s="88">
        <v>3</v>
      </c>
      <c r="AY92" s="88">
        <v>0</v>
      </c>
      <c r="AZ92" s="88">
        <v>835</v>
      </c>
      <c r="BA92" s="88">
        <v>0</v>
      </c>
      <c r="BB92">
        <v>301</v>
      </c>
      <c r="BC92">
        <v>2051</v>
      </c>
      <c r="BD92">
        <v>0</v>
      </c>
      <c r="BE92">
        <v>0</v>
      </c>
      <c r="BF92">
        <v>9330</v>
      </c>
      <c r="BG92">
        <v>0</v>
      </c>
      <c r="BH92">
        <v>0</v>
      </c>
      <c r="BI92">
        <v>0</v>
      </c>
      <c r="BJ92">
        <v>13</v>
      </c>
      <c r="BK92">
        <v>5801</v>
      </c>
      <c r="BL92">
        <v>0</v>
      </c>
      <c r="BM92">
        <v>96</v>
      </c>
      <c r="BN92">
        <v>0</v>
      </c>
      <c r="BO92">
        <v>48089</v>
      </c>
      <c r="BP92">
        <v>103208</v>
      </c>
      <c r="BQ92">
        <v>1537</v>
      </c>
      <c r="BR92">
        <v>31</v>
      </c>
      <c r="BS92">
        <v>42016</v>
      </c>
      <c r="BT92">
        <v>1095</v>
      </c>
      <c r="BU92">
        <v>0</v>
      </c>
      <c r="BV92">
        <v>0</v>
      </c>
      <c r="BW92">
        <v>1</v>
      </c>
      <c r="BX92">
        <v>0</v>
      </c>
      <c r="BY92">
        <v>312</v>
      </c>
      <c r="BZ92">
        <v>0</v>
      </c>
      <c r="CA92">
        <v>29191</v>
      </c>
      <c r="CB92">
        <v>24807</v>
      </c>
      <c r="CC92">
        <v>142378</v>
      </c>
      <c r="CD92">
        <v>378257</v>
      </c>
      <c r="CE92">
        <v>61780</v>
      </c>
      <c r="CF92">
        <v>87470</v>
      </c>
      <c r="CG92">
        <v>0</v>
      </c>
      <c r="CH92">
        <v>23</v>
      </c>
      <c r="CI92">
        <v>0</v>
      </c>
      <c r="CJ92">
        <v>101</v>
      </c>
      <c r="CK92">
        <v>85306</v>
      </c>
      <c r="CL92">
        <v>63453</v>
      </c>
      <c r="CM92">
        <v>357346</v>
      </c>
      <c r="CN92">
        <v>74647</v>
      </c>
      <c r="CO92">
        <v>77</v>
      </c>
      <c r="CP92">
        <v>16856</v>
      </c>
      <c r="CQ92">
        <v>1508</v>
      </c>
      <c r="CR92">
        <v>9</v>
      </c>
      <c r="CY92">
        <v>0</v>
      </c>
      <c r="CZ92">
        <v>0</v>
      </c>
      <c r="DA92">
        <v>0</v>
      </c>
      <c r="DB92">
        <v>10</v>
      </c>
      <c r="DC92">
        <v>0</v>
      </c>
      <c r="DD92">
        <v>23</v>
      </c>
      <c r="DE92" s="2"/>
      <c r="DG92" s="2">
        <f t="shared" si="56"/>
        <v>1535275</v>
      </c>
      <c r="DH92" s="2">
        <f t="shared" si="44"/>
        <v>303302</v>
      </c>
      <c r="DI92" s="2">
        <f t="shared" si="43"/>
        <v>1838577</v>
      </c>
      <c r="DJ92" s="2"/>
      <c r="DK92" s="2">
        <f t="shared" si="45"/>
        <v>82647</v>
      </c>
      <c r="DL92" s="2">
        <f t="shared" si="46"/>
        <v>152856</v>
      </c>
      <c r="DM92" s="2">
        <f t="shared" si="47"/>
        <v>15888</v>
      </c>
      <c r="DN92" s="2">
        <f t="shared" si="48"/>
        <v>50393</v>
      </c>
      <c r="DO92" s="2">
        <f t="shared" si="49"/>
        <v>614698</v>
      </c>
      <c r="DP92" s="2">
        <f t="shared" si="38"/>
        <v>147371</v>
      </c>
      <c r="DQ92" s="2">
        <f t="shared" si="50"/>
        <v>1517</v>
      </c>
      <c r="DR92" s="2">
        <f t="shared" si="51"/>
        <v>24834</v>
      </c>
      <c r="DS92" s="2">
        <f t="shared" si="52"/>
        <v>48089</v>
      </c>
      <c r="DT92" s="2">
        <f t="shared" si="53"/>
        <v>15132</v>
      </c>
      <c r="DU92" s="2">
        <f t="shared" si="58"/>
        <v>148759</v>
      </c>
      <c r="DV92" s="2">
        <f t="shared" si="59"/>
        <v>432070</v>
      </c>
      <c r="DW92" s="2"/>
      <c r="DX92" s="2">
        <f t="shared" si="42"/>
        <v>1734254</v>
      </c>
      <c r="DY92" s="2"/>
      <c r="DZ92" s="2">
        <f t="shared" si="54"/>
        <v>794009</v>
      </c>
      <c r="EA92" s="2">
        <f t="shared" si="57"/>
        <v>84283</v>
      </c>
      <c r="EB92" s="2"/>
      <c r="EC92" s="2">
        <f t="shared" si="55"/>
        <v>1922860</v>
      </c>
    </row>
    <row r="93" spans="1:133" x14ac:dyDescent="0.25">
      <c r="A93" s="13">
        <v>44531</v>
      </c>
      <c r="B93">
        <v>0</v>
      </c>
      <c r="C93">
        <v>0</v>
      </c>
      <c r="D93">
        <v>0</v>
      </c>
      <c r="E93">
        <v>0</v>
      </c>
      <c r="F93">
        <v>4495</v>
      </c>
      <c r="G93">
        <v>15965</v>
      </c>
      <c r="H93">
        <v>52085</v>
      </c>
      <c r="I93">
        <v>2280</v>
      </c>
      <c r="J93">
        <v>6327</v>
      </c>
      <c r="K93">
        <v>2139</v>
      </c>
      <c r="L93">
        <v>34508</v>
      </c>
      <c r="M93">
        <v>1177</v>
      </c>
      <c r="N93">
        <v>1274</v>
      </c>
      <c r="O93">
        <v>1834</v>
      </c>
      <c r="P93">
        <v>10969</v>
      </c>
      <c r="Q93">
        <v>307</v>
      </c>
      <c r="R93">
        <v>4828</v>
      </c>
      <c r="S93">
        <v>15869</v>
      </c>
      <c r="T93">
        <v>132</v>
      </c>
      <c r="U93">
        <v>4281</v>
      </c>
      <c r="V93">
        <v>109</v>
      </c>
      <c r="W93">
        <v>24706</v>
      </c>
      <c r="X93">
        <v>523</v>
      </c>
      <c r="Y93">
        <v>5</v>
      </c>
      <c r="Z93">
        <v>0</v>
      </c>
      <c r="AA93">
        <v>3</v>
      </c>
      <c r="AB93">
        <v>94</v>
      </c>
      <c r="AC93">
        <v>21</v>
      </c>
      <c r="AD93">
        <v>26</v>
      </c>
      <c r="AE93">
        <v>16</v>
      </c>
      <c r="AF93">
        <v>47</v>
      </c>
      <c r="AG93">
        <v>274</v>
      </c>
      <c r="AH93">
        <v>2550</v>
      </c>
      <c r="AI93">
        <v>3</v>
      </c>
      <c r="AJ93">
        <v>13805</v>
      </c>
      <c r="AK93">
        <v>114926</v>
      </c>
      <c r="AL93">
        <v>1605</v>
      </c>
      <c r="AM93">
        <v>22773</v>
      </c>
      <c r="AN93">
        <v>4</v>
      </c>
      <c r="AO93">
        <v>5</v>
      </c>
      <c r="AP93">
        <v>12297</v>
      </c>
      <c r="AQ93">
        <v>0</v>
      </c>
      <c r="AR93">
        <v>762</v>
      </c>
      <c r="AS93">
        <v>41</v>
      </c>
      <c r="AT93">
        <v>11211</v>
      </c>
      <c r="AU93">
        <v>2503</v>
      </c>
      <c r="AV93">
        <v>3416</v>
      </c>
      <c r="AW93">
        <v>15206</v>
      </c>
      <c r="AX93" s="88">
        <v>2</v>
      </c>
      <c r="AY93" s="88">
        <v>3</v>
      </c>
      <c r="AZ93" s="88">
        <v>838</v>
      </c>
      <c r="BA93" s="88">
        <v>0</v>
      </c>
      <c r="BB93">
        <v>309</v>
      </c>
      <c r="BC93">
        <v>2072</v>
      </c>
      <c r="BD93">
        <v>0</v>
      </c>
      <c r="BE93">
        <v>0</v>
      </c>
      <c r="BF93">
        <v>9378</v>
      </c>
      <c r="BG93">
        <v>0</v>
      </c>
      <c r="BH93">
        <v>0</v>
      </c>
      <c r="BI93">
        <v>0</v>
      </c>
      <c r="BJ93">
        <v>12</v>
      </c>
      <c r="BK93">
        <v>5852</v>
      </c>
      <c r="BL93">
        <v>0</v>
      </c>
      <c r="BM93">
        <v>226</v>
      </c>
      <c r="BN93">
        <v>0</v>
      </c>
      <c r="BO93">
        <v>48308</v>
      </c>
      <c r="BP93">
        <v>104816</v>
      </c>
      <c r="BQ93">
        <v>1534</v>
      </c>
      <c r="BR93">
        <v>31</v>
      </c>
      <c r="BS93">
        <v>43458</v>
      </c>
      <c r="BT93">
        <v>1096</v>
      </c>
      <c r="BU93">
        <v>0</v>
      </c>
      <c r="BV93">
        <v>0</v>
      </c>
      <c r="BW93">
        <v>1</v>
      </c>
      <c r="BX93">
        <v>0</v>
      </c>
      <c r="BY93">
        <v>322</v>
      </c>
      <c r="BZ93">
        <v>0</v>
      </c>
      <c r="CA93">
        <v>29337</v>
      </c>
      <c r="CB93">
        <v>21576</v>
      </c>
      <c r="CC93">
        <v>142451</v>
      </c>
      <c r="CD93">
        <v>381153</v>
      </c>
      <c r="CE93">
        <v>62538</v>
      </c>
      <c r="CF93">
        <v>88544</v>
      </c>
      <c r="CG93">
        <v>0</v>
      </c>
      <c r="CH93">
        <v>23</v>
      </c>
      <c r="CI93">
        <v>0</v>
      </c>
      <c r="CJ93">
        <v>101</v>
      </c>
      <c r="CK93">
        <v>86863</v>
      </c>
      <c r="CL93">
        <v>65105</v>
      </c>
      <c r="CM93">
        <v>365309</v>
      </c>
      <c r="CN93">
        <v>76630</v>
      </c>
      <c r="CO93">
        <v>93</v>
      </c>
      <c r="CP93">
        <v>16729</v>
      </c>
      <c r="CQ93">
        <v>1512</v>
      </c>
      <c r="CR93">
        <v>6</v>
      </c>
      <c r="CY93">
        <v>0</v>
      </c>
      <c r="CZ93">
        <v>0</v>
      </c>
      <c r="DA93">
        <v>0</v>
      </c>
      <c r="DB93">
        <v>10</v>
      </c>
      <c r="DC93">
        <v>0</v>
      </c>
      <c r="DD93">
        <v>23</v>
      </c>
      <c r="DE93" s="2"/>
      <c r="DG93" s="2">
        <f t="shared" si="56"/>
        <v>1553563</v>
      </c>
      <c r="DH93" s="2">
        <f t="shared" si="44"/>
        <v>303503</v>
      </c>
      <c r="DI93" s="2">
        <f t="shared" si="43"/>
        <v>1857066</v>
      </c>
      <c r="DJ93" s="2"/>
      <c r="DK93" s="2">
        <f t="shared" si="45"/>
        <v>82851</v>
      </c>
      <c r="DL93" s="2">
        <f t="shared" si="46"/>
        <v>152935</v>
      </c>
      <c r="DM93" s="2">
        <f t="shared" si="47"/>
        <v>15869</v>
      </c>
      <c r="DN93" s="2">
        <f t="shared" si="48"/>
        <v>50328</v>
      </c>
      <c r="DO93" s="2">
        <f t="shared" si="49"/>
        <v>618577</v>
      </c>
      <c r="DP93" s="2">
        <f t="shared" si="38"/>
        <v>150575</v>
      </c>
      <c r="DQ93" s="2">
        <f t="shared" si="50"/>
        <v>1518</v>
      </c>
      <c r="DR93" s="2">
        <f t="shared" si="51"/>
        <v>21599</v>
      </c>
      <c r="DS93" s="2">
        <f t="shared" si="52"/>
        <v>48308</v>
      </c>
      <c r="DT93" s="2">
        <f t="shared" si="53"/>
        <v>15231</v>
      </c>
      <c r="DU93" s="2">
        <f t="shared" si="58"/>
        <v>151968</v>
      </c>
      <c r="DV93" s="2">
        <f t="shared" si="59"/>
        <v>442032</v>
      </c>
      <c r="DW93" s="2"/>
      <c r="DX93" s="2">
        <f t="shared" si="42"/>
        <v>1751791</v>
      </c>
      <c r="DY93" s="2"/>
      <c r="DZ93" s="2">
        <f t="shared" si="54"/>
        <v>799009</v>
      </c>
      <c r="EA93" s="2">
        <f t="shared" si="57"/>
        <v>84565</v>
      </c>
      <c r="EB93" s="2"/>
      <c r="EC93" s="2">
        <f t="shared" si="55"/>
        <v>1941631</v>
      </c>
    </row>
    <row r="94" spans="1:133" x14ac:dyDescent="0.25">
      <c r="A94" s="13">
        <v>44562</v>
      </c>
      <c r="B94">
        <v>0</v>
      </c>
      <c r="C94">
        <v>0</v>
      </c>
      <c r="D94">
        <v>0</v>
      </c>
      <c r="E94">
        <v>0</v>
      </c>
      <c r="F94">
        <v>4802</v>
      </c>
      <c r="G94">
        <v>15871</v>
      </c>
      <c r="H94">
        <v>52286</v>
      </c>
      <c r="I94">
        <v>2241</v>
      </c>
      <c r="J94">
        <v>6292</v>
      </c>
      <c r="K94">
        <v>2155</v>
      </c>
      <c r="L94">
        <v>34510</v>
      </c>
      <c r="M94">
        <v>1168</v>
      </c>
      <c r="N94">
        <v>1315</v>
      </c>
      <c r="O94">
        <v>1841</v>
      </c>
      <c r="P94">
        <v>10934</v>
      </c>
      <c r="Q94">
        <v>303</v>
      </c>
      <c r="R94">
        <v>4810</v>
      </c>
      <c r="S94">
        <v>15843</v>
      </c>
      <c r="T94">
        <v>136</v>
      </c>
      <c r="U94">
        <v>4244</v>
      </c>
      <c r="V94">
        <v>110</v>
      </c>
      <c r="W94">
        <v>25064</v>
      </c>
      <c r="X94">
        <v>529</v>
      </c>
      <c r="Y94">
        <v>4</v>
      </c>
      <c r="Z94">
        <v>0</v>
      </c>
      <c r="AA94">
        <v>3</v>
      </c>
      <c r="AB94">
        <v>104</v>
      </c>
      <c r="AC94">
        <v>20</v>
      </c>
      <c r="AD94">
        <v>27</v>
      </c>
      <c r="AE94">
        <v>16</v>
      </c>
      <c r="AF94">
        <v>53</v>
      </c>
      <c r="AG94">
        <v>277</v>
      </c>
      <c r="AH94">
        <v>2552</v>
      </c>
      <c r="AI94">
        <v>3</v>
      </c>
      <c r="AJ94">
        <v>13856</v>
      </c>
      <c r="AK94">
        <v>114965</v>
      </c>
      <c r="AL94">
        <v>1592</v>
      </c>
      <c r="AM94">
        <v>22787</v>
      </c>
      <c r="AN94">
        <v>6</v>
      </c>
      <c r="AO94">
        <v>5</v>
      </c>
      <c r="AP94">
        <v>12379</v>
      </c>
      <c r="AQ94">
        <v>0</v>
      </c>
      <c r="AR94">
        <v>768</v>
      </c>
      <c r="AS94">
        <v>42</v>
      </c>
      <c r="AT94">
        <v>11237</v>
      </c>
      <c r="AU94">
        <v>2504</v>
      </c>
      <c r="AV94">
        <v>3418</v>
      </c>
      <c r="AW94">
        <v>15170</v>
      </c>
      <c r="AX94" s="88">
        <v>6</v>
      </c>
      <c r="AY94" s="88">
        <v>0</v>
      </c>
      <c r="AZ94" s="88">
        <v>836</v>
      </c>
      <c r="BA94" s="88">
        <v>0</v>
      </c>
      <c r="BB94">
        <v>308</v>
      </c>
      <c r="BC94">
        <v>2078</v>
      </c>
      <c r="BD94">
        <v>0</v>
      </c>
      <c r="BE94">
        <v>0</v>
      </c>
      <c r="BF94">
        <v>9409</v>
      </c>
      <c r="BG94">
        <v>0</v>
      </c>
      <c r="BH94">
        <v>0</v>
      </c>
      <c r="BI94">
        <v>0</v>
      </c>
      <c r="BJ94">
        <v>13</v>
      </c>
      <c r="BK94">
        <v>5854</v>
      </c>
      <c r="BL94">
        <v>0</v>
      </c>
      <c r="BM94">
        <v>283</v>
      </c>
      <c r="BN94">
        <v>0</v>
      </c>
      <c r="BO94">
        <v>48732</v>
      </c>
      <c r="BP94">
        <v>105678</v>
      </c>
      <c r="BQ94">
        <v>1519</v>
      </c>
      <c r="BR94">
        <v>31</v>
      </c>
      <c r="BS94">
        <v>44463</v>
      </c>
      <c r="BT94">
        <v>1097</v>
      </c>
      <c r="BU94">
        <v>0</v>
      </c>
      <c r="BV94">
        <v>0</v>
      </c>
      <c r="BW94">
        <v>1</v>
      </c>
      <c r="BX94">
        <v>0</v>
      </c>
      <c r="BY94">
        <v>328</v>
      </c>
      <c r="BZ94">
        <v>0</v>
      </c>
      <c r="CA94">
        <v>29518</v>
      </c>
      <c r="CB94">
        <v>22050</v>
      </c>
      <c r="CC94">
        <v>142112</v>
      </c>
      <c r="CD94">
        <v>384958</v>
      </c>
      <c r="CE94">
        <v>63978</v>
      </c>
      <c r="CF94">
        <v>90110</v>
      </c>
      <c r="CG94">
        <v>0</v>
      </c>
      <c r="CH94">
        <v>23</v>
      </c>
      <c r="CI94">
        <v>0</v>
      </c>
      <c r="CJ94">
        <v>99</v>
      </c>
      <c r="CK94">
        <v>87190</v>
      </c>
      <c r="CL94">
        <v>66201</v>
      </c>
      <c r="CM94">
        <v>373049</v>
      </c>
      <c r="CN94">
        <v>78653</v>
      </c>
      <c r="CO94">
        <v>94</v>
      </c>
      <c r="CP94">
        <v>16613</v>
      </c>
      <c r="CQ94">
        <v>1510</v>
      </c>
      <c r="CR94">
        <v>8</v>
      </c>
      <c r="CY94">
        <v>0</v>
      </c>
      <c r="CZ94">
        <v>0</v>
      </c>
      <c r="DA94">
        <v>0</v>
      </c>
      <c r="DB94">
        <v>10</v>
      </c>
      <c r="DC94">
        <v>0</v>
      </c>
      <c r="DD94">
        <v>22</v>
      </c>
      <c r="DE94" s="2"/>
      <c r="DG94" s="2">
        <f t="shared" si="56"/>
        <v>1574140</v>
      </c>
      <c r="DH94" s="2">
        <f t="shared" si="44"/>
        <v>303942</v>
      </c>
      <c r="DI94" s="2">
        <f t="shared" si="43"/>
        <v>1878082</v>
      </c>
      <c r="DJ94" s="2"/>
      <c r="DK94" s="2">
        <f t="shared" si="45"/>
        <v>83120</v>
      </c>
      <c r="DL94" s="2">
        <f t="shared" si="46"/>
        <v>153067</v>
      </c>
      <c r="DM94" s="2">
        <f t="shared" si="47"/>
        <v>15843</v>
      </c>
      <c r="DN94" s="2">
        <f t="shared" si="48"/>
        <v>50394</v>
      </c>
      <c r="DO94" s="2">
        <f t="shared" si="49"/>
        <v>623659</v>
      </c>
      <c r="DP94" s="2">
        <f t="shared" si="38"/>
        <v>152502</v>
      </c>
      <c r="DQ94" s="2">
        <f t="shared" si="50"/>
        <v>1518</v>
      </c>
      <c r="DR94" s="2">
        <f t="shared" si="51"/>
        <v>22073</v>
      </c>
      <c r="DS94" s="2">
        <f t="shared" si="52"/>
        <v>48732</v>
      </c>
      <c r="DT94" s="2">
        <f t="shared" si="53"/>
        <v>15264</v>
      </c>
      <c r="DU94" s="2">
        <f t="shared" si="58"/>
        <v>153391</v>
      </c>
      <c r="DV94" s="2">
        <f t="shared" si="59"/>
        <v>451796</v>
      </c>
      <c r="DW94" s="2"/>
      <c r="DX94" s="2">
        <f t="shared" si="42"/>
        <v>1771359</v>
      </c>
      <c r="DY94" s="2"/>
      <c r="DZ94" s="2">
        <f t="shared" si="54"/>
        <v>805723</v>
      </c>
      <c r="EA94" s="2">
        <f t="shared" si="57"/>
        <v>84962</v>
      </c>
      <c r="EB94" s="2"/>
      <c r="EC94" s="2">
        <f t="shared" si="55"/>
        <v>1963044</v>
      </c>
    </row>
    <row r="95" spans="1:133" x14ac:dyDescent="0.25">
      <c r="A95" s="13">
        <v>44593</v>
      </c>
      <c r="B95">
        <v>0</v>
      </c>
      <c r="C95">
        <v>0</v>
      </c>
      <c r="D95">
        <v>0</v>
      </c>
      <c r="E95">
        <v>0</v>
      </c>
      <c r="F95">
        <v>5002</v>
      </c>
      <c r="G95">
        <v>15725</v>
      </c>
      <c r="H95">
        <v>52641</v>
      </c>
      <c r="I95">
        <v>2167</v>
      </c>
      <c r="J95">
        <v>6296</v>
      </c>
      <c r="K95">
        <v>2211</v>
      </c>
      <c r="L95">
        <v>34515</v>
      </c>
      <c r="M95">
        <v>1164</v>
      </c>
      <c r="N95">
        <v>1359</v>
      </c>
      <c r="O95">
        <v>1618</v>
      </c>
      <c r="P95">
        <v>10980</v>
      </c>
      <c r="Q95">
        <v>299</v>
      </c>
      <c r="R95">
        <v>4775</v>
      </c>
      <c r="S95">
        <v>15776</v>
      </c>
      <c r="T95">
        <v>37</v>
      </c>
      <c r="U95">
        <v>4211</v>
      </c>
      <c r="V95">
        <v>31</v>
      </c>
      <c r="W95">
        <v>25348</v>
      </c>
      <c r="X95">
        <v>534</v>
      </c>
      <c r="Y95">
        <v>4</v>
      </c>
      <c r="Z95">
        <v>1</v>
      </c>
      <c r="AA95">
        <v>1</v>
      </c>
      <c r="AB95">
        <v>108</v>
      </c>
      <c r="AC95">
        <v>20</v>
      </c>
      <c r="AD95">
        <v>26</v>
      </c>
      <c r="AE95">
        <v>16</v>
      </c>
      <c r="AF95">
        <v>53</v>
      </c>
      <c r="AG95">
        <v>266</v>
      </c>
      <c r="AH95">
        <v>2559</v>
      </c>
      <c r="AI95">
        <v>2</v>
      </c>
      <c r="AJ95">
        <v>13868</v>
      </c>
      <c r="AK95">
        <v>114894</v>
      </c>
      <c r="AL95">
        <v>1574</v>
      </c>
      <c r="AM95">
        <v>22746</v>
      </c>
      <c r="AN95">
        <v>6</v>
      </c>
      <c r="AO95">
        <v>5</v>
      </c>
      <c r="AP95">
        <v>12419</v>
      </c>
      <c r="AQ95">
        <v>0</v>
      </c>
      <c r="AR95">
        <v>305</v>
      </c>
      <c r="AS95">
        <v>44</v>
      </c>
      <c r="AT95">
        <v>11298</v>
      </c>
      <c r="AU95">
        <v>2507</v>
      </c>
      <c r="AV95">
        <v>3414</v>
      </c>
      <c r="AW95">
        <v>15137</v>
      </c>
      <c r="AX95" s="88">
        <v>0</v>
      </c>
      <c r="AY95" s="88">
        <v>0</v>
      </c>
      <c r="AZ95" s="88">
        <v>837</v>
      </c>
      <c r="BA95" s="88">
        <v>0</v>
      </c>
      <c r="BB95">
        <v>91</v>
      </c>
      <c r="BC95">
        <v>2084</v>
      </c>
      <c r="BD95">
        <v>0</v>
      </c>
      <c r="BE95">
        <v>0</v>
      </c>
      <c r="BF95">
        <v>9444</v>
      </c>
      <c r="BG95">
        <v>0</v>
      </c>
      <c r="BH95">
        <v>0</v>
      </c>
      <c r="BI95">
        <v>0</v>
      </c>
      <c r="BJ95">
        <v>13</v>
      </c>
      <c r="BK95">
        <v>5852</v>
      </c>
      <c r="BL95">
        <v>0</v>
      </c>
      <c r="BM95">
        <v>246</v>
      </c>
      <c r="BN95">
        <v>0</v>
      </c>
      <c r="BO95">
        <v>49212</v>
      </c>
      <c r="BP95">
        <v>106551</v>
      </c>
      <c r="BQ95">
        <v>1524</v>
      </c>
      <c r="BR95">
        <v>32</v>
      </c>
      <c r="BS95">
        <v>45246</v>
      </c>
      <c r="BT95">
        <v>1109</v>
      </c>
      <c r="BU95">
        <v>1</v>
      </c>
      <c r="BV95">
        <v>0</v>
      </c>
      <c r="BW95">
        <v>1</v>
      </c>
      <c r="BX95">
        <v>0</v>
      </c>
      <c r="BY95">
        <v>287</v>
      </c>
      <c r="BZ95">
        <v>0</v>
      </c>
      <c r="CA95">
        <v>29601</v>
      </c>
      <c r="CB95">
        <v>21804</v>
      </c>
      <c r="CC95">
        <v>141866</v>
      </c>
      <c r="CD95">
        <v>388144</v>
      </c>
      <c r="CE95">
        <v>65597</v>
      </c>
      <c r="CF95">
        <v>91219</v>
      </c>
      <c r="CG95">
        <v>0</v>
      </c>
      <c r="CH95">
        <v>19</v>
      </c>
      <c r="CI95">
        <v>0</v>
      </c>
      <c r="CJ95">
        <v>100</v>
      </c>
      <c r="CK95">
        <v>87720</v>
      </c>
      <c r="CL95">
        <v>67148</v>
      </c>
      <c r="CM95">
        <v>379585</v>
      </c>
      <c r="CN95">
        <v>80053</v>
      </c>
      <c r="CO95">
        <v>101</v>
      </c>
      <c r="CP95">
        <v>16441</v>
      </c>
      <c r="CQ95">
        <v>1518</v>
      </c>
      <c r="CR95">
        <v>8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10</v>
      </c>
      <c r="DC95">
        <v>0</v>
      </c>
      <c r="DD95">
        <v>22</v>
      </c>
      <c r="DE95" s="2"/>
      <c r="DG95" s="2">
        <f t="shared" si="56"/>
        <v>1591000</v>
      </c>
      <c r="DH95" s="2">
        <f t="shared" si="44"/>
        <v>303018</v>
      </c>
      <c r="DI95" s="2">
        <f t="shared" si="43"/>
        <v>1894018</v>
      </c>
      <c r="DJ95" s="2"/>
      <c r="DK95" s="2">
        <f t="shared" si="45"/>
        <v>82978</v>
      </c>
      <c r="DL95" s="2">
        <f t="shared" si="46"/>
        <v>152374</v>
      </c>
      <c r="DM95" s="2">
        <f t="shared" si="47"/>
        <v>15776</v>
      </c>
      <c r="DN95" s="2">
        <f t="shared" si="48"/>
        <v>50360</v>
      </c>
      <c r="DO95" s="2">
        <f t="shared" si="49"/>
        <v>628273</v>
      </c>
      <c r="DP95" s="2">
        <f t="shared" si="38"/>
        <v>154127</v>
      </c>
      <c r="DQ95" s="2">
        <f t="shared" si="50"/>
        <v>1526</v>
      </c>
      <c r="DR95" s="2">
        <f t="shared" si="51"/>
        <v>21824</v>
      </c>
      <c r="DS95" s="2">
        <f t="shared" si="52"/>
        <v>49213</v>
      </c>
      <c r="DT95" s="2">
        <f t="shared" si="53"/>
        <v>15297</v>
      </c>
      <c r="DU95" s="2">
        <f t="shared" si="58"/>
        <v>154868</v>
      </c>
      <c r="DV95" s="2">
        <f t="shared" si="59"/>
        <v>459739</v>
      </c>
      <c r="DW95" s="2"/>
      <c r="DX95" s="2">
        <f t="shared" si="42"/>
        <v>1786355</v>
      </c>
      <c r="DY95" s="2"/>
      <c r="DZ95" s="2">
        <f t="shared" si="54"/>
        <v>811618</v>
      </c>
      <c r="EA95" s="2">
        <f t="shared" si="57"/>
        <v>85401</v>
      </c>
      <c r="EB95" s="2"/>
      <c r="EC95" s="2">
        <f t="shared" si="55"/>
        <v>1979419</v>
      </c>
    </row>
    <row r="96" spans="1:133" x14ac:dyDescent="0.25">
      <c r="A96" s="13">
        <v>44621</v>
      </c>
      <c r="B96">
        <v>0</v>
      </c>
      <c r="C96">
        <v>0</v>
      </c>
      <c r="D96">
        <v>0</v>
      </c>
      <c r="E96">
        <v>0</v>
      </c>
      <c r="F96">
        <v>5191</v>
      </c>
      <c r="G96">
        <v>15603</v>
      </c>
      <c r="H96">
        <v>52868</v>
      </c>
      <c r="I96">
        <v>2131</v>
      </c>
      <c r="J96">
        <v>6266</v>
      </c>
      <c r="K96">
        <v>2235</v>
      </c>
      <c r="L96">
        <v>34460</v>
      </c>
      <c r="M96">
        <v>1165</v>
      </c>
      <c r="N96">
        <v>1358</v>
      </c>
      <c r="O96">
        <v>1850</v>
      </c>
      <c r="P96">
        <v>11014</v>
      </c>
      <c r="Q96">
        <v>300</v>
      </c>
      <c r="R96">
        <v>4761</v>
      </c>
      <c r="S96">
        <v>15704</v>
      </c>
      <c r="T96">
        <v>135</v>
      </c>
      <c r="U96">
        <v>4171</v>
      </c>
      <c r="V96">
        <v>109</v>
      </c>
      <c r="W96">
        <v>25585</v>
      </c>
      <c r="X96">
        <v>539</v>
      </c>
      <c r="Y96">
        <v>4</v>
      </c>
      <c r="Z96">
        <v>0</v>
      </c>
      <c r="AA96">
        <v>3</v>
      </c>
      <c r="AB96">
        <v>110</v>
      </c>
      <c r="AC96">
        <v>21</v>
      </c>
      <c r="AD96">
        <v>26</v>
      </c>
      <c r="AE96">
        <v>15</v>
      </c>
      <c r="AF96">
        <v>53</v>
      </c>
      <c r="AG96">
        <v>268</v>
      </c>
      <c r="AH96">
        <v>2560</v>
      </c>
      <c r="AI96">
        <v>3</v>
      </c>
      <c r="AJ96">
        <v>13921</v>
      </c>
      <c r="AK96">
        <v>114856</v>
      </c>
      <c r="AL96">
        <v>1570</v>
      </c>
      <c r="AM96">
        <v>22683</v>
      </c>
      <c r="AN96">
        <v>4</v>
      </c>
      <c r="AO96">
        <v>5</v>
      </c>
      <c r="AP96">
        <v>12415</v>
      </c>
      <c r="AQ96">
        <v>0</v>
      </c>
      <c r="AR96">
        <v>770</v>
      </c>
      <c r="AS96">
        <v>44</v>
      </c>
      <c r="AT96">
        <v>11377</v>
      </c>
      <c r="AU96">
        <v>2502</v>
      </c>
      <c r="AV96">
        <v>3415</v>
      </c>
      <c r="AW96">
        <v>15103</v>
      </c>
      <c r="AX96" s="88">
        <v>1</v>
      </c>
      <c r="AY96" s="88">
        <v>0</v>
      </c>
      <c r="AZ96" s="88">
        <v>834</v>
      </c>
      <c r="BA96" s="88">
        <v>0</v>
      </c>
      <c r="BB96">
        <v>298</v>
      </c>
      <c r="BC96">
        <v>2089</v>
      </c>
      <c r="BD96">
        <v>0</v>
      </c>
      <c r="BE96">
        <v>0</v>
      </c>
      <c r="BF96">
        <v>9499</v>
      </c>
      <c r="BG96">
        <v>0</v>
      </c>
      <c r="BH96">
        <v>0</v>
      </c>
      <c r="BI96">
        <v>0</v>
      </c>
      <c r="BJ96">
        <v>12</v>
      </c>
      <c r="BK96">
        <v>5894</v>
      </c>
      <c r="BL96">
        <v>0</v>
      </c>
      <c r="BM96">
        <v>205</v>
      </c>
      <c r="BN96">
        <v>0</v>
      </c>
      <c r="BO96">
        <v>49482</v>
      </c>
      <c r="BP96">
        <v>107338</v>
      </c>
      <c r="BQ96">
        <v>1494</v>
      </c>
      <c r="BR96">
        <v>32</v>
      </c>
      <c r="BS96">
        <v>45734</v>
      </c>
      <c r="BT96">
        <v>1113</v>
      </c>
      <c r="BU96">
        <v>2</v>
      </c>
      <c r="BV96">
        <v>0</v>
      </c>
      <c r="BW96">
        <v>1</v>
      </c>
      <c r="BX96">
        <v>0</v>
      </c>
      <c r="BY96">
        <v>343</v>
      </c>
      <c r="BZ96">
        <v>0</v>
      </c>
      <c r="CA96">
        <v>29669</v>
      </c>
      <c r="CB96">
        <v>21624</v>
      </c>
      <c r="CC96">
        <v>141572</v>
      </c>
      <c r="CD96">
        <v>390547</v>
      </c>
      <c r="CE96">
        <v>66498</v>
      </c>
      <c r="CF96">
        <v>92160</v>
      </c>
      <c r="CG96">
        <v>0</v>
      </c>
      <c r="CH96">
        <v>22</v>
      </c>
      <c r="CI96">
        <v>0</v>
      </c>
      <c r="CJ96">
        <v>104</v>
      </c>
      <c r="CK96">
        <v>87954</v>
      </c>
      <c r="CL96">
        <v>68049</v>
      </c>
      <c r="CM96">
        <v>384127</v>
      </c>
      <c r="CN96">
        <v>80793</v>
      </c>
      <c r="CO96">
        <v>87</v>
      </c>
      <c r="CP96">
        <v>16430</v>
      </c>
      <c r="CQ96">
        <v>1531</v>
      </c>
      <c r="CR96">
        <v>11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10</v>
      </c>
      <c r="DC96">
        <v>0</v>
      </c>
      <c r="DD96">
        <v>22</v>
      </c>
      <c r="DE96" s="2"/>
      <c r="DG96" s="2">
        <f t="shared" si="56"/>
        <v>1602875</v>
      </c>
      <c r="DH96" s="2">
        <f t="shared" si="44"/>
        <v>304196</v>
      </c>
      <c r="DI96" s="2">
        <f t="shared" si="43"/>
        <v>1907071</v>
      </c>
      <c r="DJ96" s="2"/>
      <c r="DK96" s="2">
        <f t="shared" si="45"/>
        <v>83550</v>
      </c>
      <c r="DL96" s="2">
        <f t="shared" si="46"/>
        <v>153140</v>
      </c>
      <c r="DM96" s="2">
        <f t="shared" si="47"/>
        <v>15704</v>
      </c>
      <c r="DN96" s="2">
        <f t="shared" si="48"/>
        <v>50259</v>
      </c>
      <c r="DO96" s="2">
        <f t="shared" si="49"/>
        <v>631385</v>
      </c>
      <c r="DP96" s="2">
        <f t="shared" si="38"/>
        <v>155366</v>
      </c>
      <c r="DQ96" s="2">
        <f t="shared" si="50"/>
        <v>1542</v>
      </c>
      <c r="DR96" s="2">
        <f t="shared" si="51"/>
        <v>21646</v>
      </c>
      <c r="DS96" s="2">
        <f t="shared" si="52"/>
        <v>49484</v>
      </c>
      <c r="DT96" s="2">
        <f t="shared" si="53"/>
        <v>15394</v>
      </c>
      <c r="DU96" s="2">
        <f t="shared" si="58"/>
        <v>156003</v>
      </c>
      <c r="DV96" s="2">
        <f t="shared" si="59"/>
        <v>465007</v>
      </c>
      <c r="DW96" s="2"/>
      <c r="DX96" s="2">
        <f t="shared" si="42"/>
        <v>1798480</v>
      </c>
      <c r="DY96" s="2"/>
      <c r="DZ96" s="2">
        <f t="shared" si="54"/>
        <v>815807</v>
      </c>
      <c r="EA96" s="2">
        <f t="shared" si="57"/>
        <v>85652</v>
      </c>
      <c r="EB96" s="2"/>
      <c r="EC96" s="2">
        <f t="shared" si="55"/>
        <v>1992723</v>
      </c>
    </row>
    <row r="97" spans="1:138" x14ac:dyDescent="0.25">
      <c r="A97" s="13">
        <v>44652</v>
      </c>
      <c r="B97">
        <v>0</v>
      </c>
      <c r="C97">
        <v>0</v>
      </c>
      <c r="D97">
        <v>0</v>
      </c>
      <c r="E97">
        <v>0</v>
      </c>
      <c r="F97">
        <v>5970</v>
      </c>
      <c r="G97">
        <v>15819</v>
      </c>
      <c r="H97">
        <v>53219</v>
      </c>
      <c r="I97">
        <v>2182</v>
      </c>
      <c r="J97">
        <v>6347</v>
      </c>
      <c r="K97">
        <v>2375</v>
      </c>
      <c r="L97">
        <v>34335</v>
      </c>
      <c r="M97">
        <v>1150</v>
      </c>
      <c r="N97">
        <v>1406</v>
      </c>
      <c r="O97">
        <v>1861</v>
      </c>
      <c r="P97">
        <v>11048</v>
      </c>
      <c r="Q97">
        <v>297</v>
      </c>
      <c r="R97">
        <v>4710</v>
      </c>
      <c r="S97">
        <v>15593</v>
      </c>
      <c r="T97">
        <v>137</v>
      </c>
      <c r="U97">
        <v>4143</v>
      </c>
      <c r="V97">
        <v>109</v>
      </c>
      <c r="W97">
        <v>25753</v>
      </c>
      <c r="X97">
        <v>542</v>
      </c>
      <c r="Y97">
        <v>4</v>
      </c>
      <c r="Z97">
        <v>0</v>
      </c>
      <c r="AA97">
        <v>3</v>
      </c>
      <c r="AB97">
        <v>111</v>
      </c>
      <c r="AC97">
        <v>21</v>
      </c>
      <c r="AD97">
        <v>26</v>
      </c>
      <c r="AE97">
        <v>15</v>
      </c>
      <c r="AF97">
        <v>53</v>
      </c>
      <c r="AG97">
        <v>273</v>
      </c>
      <c r="AH97">
        <v>2560</v>
      </c>
      <c r="AI97">
        <v>3</v>
      </c>
      <c r="AJ97">
        <v>13954</v>
      </c>
      <c r="AK97">
        <v>114881</v>
      </c>
      <c r="AL97">
        <v>1573</v>
      </c>
      <c r="AM97">
        <v>22672</v>
      </c>
      <c r="AN97">
        <v>3</v>
      </c>
      <c r="AO97">
        <v>5</v>
      </c>
      <c r="AP97">
        <v>12441</v>
      </c>
      <c r="AQ97">
        <v>0</v>
      </c>
      <c r="AR97">
        <v>767</v>
      </c>
      <c r="AS97">
        <v>44</v>
      </c>
      <c r="AT97">
        <v>11460</v>
      </c>
      <c r="AU97">
        <v>2498</v>
      </c>
      <c r="AV97">
        <v>3408</v>
      </c>
      <c r="AW97">
        <v>15066</v>
      </c>
      <c r="AX97" s="88">
        <v>2</v>
      </c>
      <c r="AY97" s="88">
        <v>0</v>
      </c>
      <c r="AZ97" s="88">
        <v>843</v>
      </c>
      <c r="BA97" s="88">
        <v>0</v>
      </c>
      <c r="BB97">
        <v>301</v>
      </c>
      <c r="BC97">
        <v>2094</v>
      </c>
      <c r="BD97">
        <v>0</v>
      </c>
      <c r="BE97">
        <v>0</v>
      </c>
      <c r="BF97">
        <v>9520</v>
      </c>
      <c r="BG97">
        <v>0</v>
      </c>
      <c r="BH97">
        <v>0</v>
      </c>
      <c r="BI97">
        <v>0</v>
      </c>
      <c r="BJ97">
        <v>12</v>
      </c>
      <c r="BK97">
        <v>5940</v>
      </c>
      <c r="BL97">
        <v>0</v>
      </c>
      <c r="BM97">
        <v>205</v>
      </c>
      <c r="BN97">
        <v>0</v>
      </c>
      <c r="BO97">
        <v>50212</v>
      </c>
      <c r="BP97">
        <v>107980</v>
      </c>
      <c r="BQ97">
        <v>1490</v>
      </c>
      <c r="BR97">
        <v>33</v>
      </c>
      <c r="BS97">
        <v>46327</v>
      </c>
      <c r="BT97">
        <v>1110</v>
      </c>
      <c r="BU97">
        <v>4</v>
      </c>
      <c r="BV97">
        <v>0</v>
      </c>
      <c r="BW97">
        <v>1</v>
      </c>
      <c r="BX97">
        <v>0</v>
      </c>
      <c r="BY97">
        <v>341</v>
      </c>
      <c r="BZ97">
        <v>0</v>
      </c>
      <c r="CA97">
        <v>29928</v>
      </c>
      <c r="CB97" s="88">
        <v>24685</v>
      </c>
      <c r="CC97" s="88">
        <v>140909</v>
      </c>
      <c r="CD97">
        <v>392289</v>
      </c>
      <c r="CE97">
        <v>69538</v>
      </c>
      <c r="CF97">
        <v>92500</v>
      </c>
      <c r="CG97">
        <v>0</v>
      </c>
      <c r="CH97">
        <v>24</v>
      </c>
      <c r="CI97">
        <v>0</v>
      </c>
      <c r="CJ97">
        <v>103</v>
      </c>
      <c r="CK97">
        <v>88411</v>
      </c>
      <c r="CL97">
        <v>68555</v>
      </c>
      <c r="CM97">
        <v>390943</v>
      </c>
      <c r="CN97">
        <v>81988</v>
      </c>
      <c r="CO97">
        <v>123</v>
      </c>
      <c r="CP97">
        <v>16355</v>
      </c>
      <c r="CQ97">
        <v>1542</v>
      </c>
      <c r="CR97">
        <v>12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10</v>
      </c>
      <c r="DC97">
        <v>0</v>
      </c>
      <c r="DD97">
        <v>22</v>
      </c>
      <c r="DE97" s="2"/>
      <c r="DG97" s="2">
        <f t="shared" si="56"/>
        <v>1621622</v>
      </c>
      <c r="DH97" s="2">
        <f t="shared" si="44"/>
        <v>304217</v>
      </c>
      <c r="DI97" s="2">
        <f t="shared" si="43"/>
        <v>1925839</v>
      </c>
      <c r="DJ97" s="2"/>
      <c r="DK97" s="2">
        <f t="shared" si="45"/>
        <v>83543</v>
      </c>
      <c r="DL97" s="2">
        <f t="shared" si="46"/>
        <v>153290</v>
      </c>
      <c r="DM97" s="2">
        <f t="shared" si="47"/>
        <v>15593</v>
      </c>
      <c r="DN97" s="2">
        <f t="shared" si="48"/>
        <v>50237</v>
      </c>
      <c r="DO97" s="2">
        <f t="shared" si="49"/>
        <v>635755</v>
      </c>
      <c r="DP97" s="2">
        <f t="shared" si="38"/>
        <v>156606</v>
      </c>
      <c r="DQ97" s="2">
        <f t="shared" si="50"/>
        <v>1554</v>
      </c>
      <c r="DR97" s="2">
        <f t="shared" si="51"/>
        <v>24709</v>
      </c>
      <c r="DS97" s="2">
        <f t="shared" si="52"/>
        <v>50216</v>
      </c>
      <c r="DT97" s="2">
        <f t="shared" si="53"/>
        <v>15461</v>
      </c>
      <c r="DU97" s="2">
        <f t="shared" si="58"/>
        <v>156966</v>
      </c>
      <c r="DV97" s="2">
        <f t="shared" si="59"/>
        <v>473054</v>
      </c>
      <c r="DW97" s="2"/>
      <c r="DX97" s="2">
        <f t="shared" si="42"/>
        <v>1816984</v>
      </c>
      <c r="DY97" s="2"/>
      <c r="DZ97" s="2">
        <f t="shared" si="54"/>
        <v>821283</v>
      </c>
      <c r="EA97" s="2">
        <f t="shared" si="57"/>
        <v>87318</v>
      </c>
      <c r="EB97" s="2"/>
      <c r="EC97" s="2">
        <f t="shared" si="55"/>
        <v>2013157</v>
      </c>
    </row>
    <row r="98" spans="1:138" x14ac:dyDescent="0.25">
      <c r="A98" s="13">
        <v>44682</v>
      </c>
      <c r="B98">
        <v>0</v>
      </c>
      <c r="C98">
        <v>0</v>
      </c>
      <c r="D98">
        <v>0</v>
      </c>
      <c r="E98">
        <v>0</v>
      </c>
      <c r="F98">
        <v>5908</v>
      </c>
      <c r="G98">
        <v>15463</v>
      </c>
      <c r="H98">
        <v>52566</v>
      </c>
      <c r="I98">
        <v>2034</v>
      </c>
      <c r="J98">
        <v>6006</v>
      </c>
      <c r="K98">
        <v>2280</v>
      </c>
      <c r="L98">
        <v>34787</v>
      </c>
      <c r="M98">
        <v>1141</v>
      </c>
      <c r="N98">
        <v>1332</v>
      </c>
      <c r="O98">
        <v>1881</v>
      </c>
      <c r="P98">
        <v>11102</v>
      </c>
      <c r="Q98">
        <v>297</v>
      </c>
      <c r="R98">
        <v>4761</v>
      </c>
      <c r="S98">
        <v>15688</v>
      </c>
      <c r="T98">
        <v>142</v>
      </c>
      <c r="U98">
        <v>4178</v>
      </c>
      <c r="V98">
        <v>106</v>
      </c>
      <c r="W98">
        <v>26188</v>
      </c>
      <c r="X98">
        <v>553</v>
      </c>
      <c r="Y98">
        <v>4</v>
      </c>
      <c r="Z98">
        <v>0</v>
      </c>
      <c r="AA98">
        <v>3</v>
      </c>
      <c r="AB98">
        <v>114</v>
      </c>
      <c r="AC98">
        <v>21</v>
      </c>
      <c r="AD98">
        <v>26</v>
      </c>
      <c r="AE98">
        <v>16</v>
      </c>
      <c r="AF98">
        <v>53</v>
      </c>
      <c r="AG98">
        <v>265</v>
      </c>
      <c r="AH98">
        <v>2571</v>
      </c>
      <c r="AI98">
        <v>3</v>
      </c>
      <c r="AJ98">
        <v>14056</v>
      </c>
      <c r="AK98">
        <v>114498</v>
      </c>
      <c r="AL98">
        <v>1554</v>
      </c>
      <c r="AM98">
        <v>22588</v>
      </c>
      <c r="AN98">
        <v>4</v>
      </c>
      <c r="AO98">
        <v>4</v>
      </c>
      <c r="AP98">
        <v>12417</v>
      </c>
      <c r="AQ98">
        <v>0</v>
      </c>
      <c r="AR98">
        <v>772</v>
      </c>
      <c r="AS98">
        <v>45</v>
      </c>
      <c r="AT98">
        <v>11512</v>
      </c>
      <c r="AU98">
        <v>2506</v>
      </c>
      <c r="AV98">
        <v>3429</v>
      </c>
      <c r="AW98">
        <v>15075</v>
      </c>
      <c r="AX98" s="88">
        <v>0</v>
      </c>
      <c r="AY98" s="88">
        <v>0</v>
      </c>
      <c r="AZ98" s="88">
        <v>846</v>
      </c>
      <c r="BA98" s="88">
        <v>0</v>
      </c>
      <c r="BB98">
        <v>300</v>
      </c>
      <c r="BC98">
        <v>2103</v>
      </c>
      <c r="BD98">
        <v>0</v>
      </c>
      <c r="BE98">
        <v>0</v>
      </c>
      <c r="BF98">
        <v>9574</v>
      </c>
      <c r="BG98">
        <v>0</v>
      </c>
      <c r="BH98">
        <v>0</v>
      </c>
      <c r="BI98">
        <v>0</v>
      </c>
      <c r="BJ98">
        <v>12</v>
      </c>
      <c r="BK98">
        <v>6055</v>
      </c>
      <c r="BL98">
        <v>0</v>
      </c>
      <c r="BM98">
        <v>31</v>
      </c>
      <c r="BN98">
        <v>0</v>
      </c>
      <c r="BO98">
        <v>49272</v>
      </c>
      <c r="BP98">
        <v>108686</v>
      </c>
      <c r="BQ98">
        <v>1474</v>
      </c>
      <c r="BR98">
        <v>33</v>
      </c>
      <c r="BS98">
        <v>46662</v>
      </c>
      <c r="BT98">
        <v>1139</v>
      </c>
      <c r="BU98">
        <v>0</v>
      </c>
      <c r="BV98">
        <v>0</v>
      </c>
      <c r="BW98">
        <v>1</v>
      </c>
      <c r="BX98">
        <v>0</v>
      </c>
      <c r="BY98">
        <v>342</v>
      </c>
      <c r="BZ98">
        <v>0</v>
      </c>
      <c r="CA98">
        <v>30214</v>
      </c>
      <c r="CB98">
        <v>21466</v>
      </c>
      <c r="CC98">
        <v>144004</v>
      </c>
      <c r="CD98">
        <v>394668</v>
      </c>
      <c r="CE98">
        <v>65563</v>
      </c>
      <c r="CF98">
        <v>94061</v>
      </c>
      <c r="CG98">
        <v>0</v>
      </c>
      <c r="CH98">
        <v>22</v>
      </c>
      <c r="CI98">
        <v>1</v>
      </c>
      <c r="CJ98">
        <v>105</v>
      </c>
      <c r="CK98">
        <v>88801</v>
      </c>
      <c r="CL98">
        <v>70169</v>
      </c>
      <c r="CM98">
        <v>399526</v>
      </c>
      <c r="CN98">
        <v>83090</v>
      </c>
      <c r="CO98">
        <v>53</v>
      </c>
      <c r="CP98">
        <v>16313</v>
      </c>
      <c r="CQ98">
        <v>1534</v>
      </c>
      <c r="CR98">
        <v>12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10</v>
      </c>
      <c r="DC98">
        <v>0</v>
      </c>
      <c r="DD98">
        <v>22</v>
      </c>
      <c r="DE98" s="2"/>
      <c r="DG98" s="2">
        <f t="shared" si="56"/>
        <v>1633440</v>
      </c>
      <c r="DH98" s="2">
        <f t="shared" si="44"/>
        <v>305051</v>
      </c>
      <c r="DI98" s="2">
        <f t="shared" si="43"/>
        <v>1938491</v>
      </c>
      <c r="DJ98" s="2"/>
      <c r="DK98" s="2">
        <f t="shared" si="45"/>
        <v>84583</v>
      </c>
      <c r="DL98" s="2">
        <f t="shared" si="46"/>
        <v>153098</v>
      </c>
      <c r="DM98" s="2">
        <f t="shared" si="47"/>
        <v>15688</v>
      </c>
      <c r="DN98" s="2">
        <f t="shared" si="48"/>
        <v>50137</v>
      </c>
      <c r="DO98" s="2">
        <f t="shared" si="49"/>
        <v>637555</v>
      </c>
      <c r="DP98" s="2">
        <f t="shared" si="38"/>
        <v>157482</v>
      </c>
      <c r="DQ98" s="2">
        <f t="shared" si="50"/>
        <v>1546</v>
      </c>
      <c r="DR98" s="2">
        <f t="shared" si="51"/>
        <v>21488</v>
      </c>
      <c r="DS98" s="2">
        <f t="shared" si="52"/>
        <v>49272</v>
      </c>
      <c r="DT98" s="2">
        <f t="shared" si="53"/>
        <v>15630</v>
      </c>
      <c r="DU98" s="2">
        <f t="shared" si="58"/>
        <v>158970</v>
      </c>
      <c r="DV98" s="2">
        <f t="shared" si="59"/>
        <v>482669</v>
      </c>
      <c r="DW98" s="2"/>
      <c r="DX98" s="2">
        <f t="shared" si="42"/>
        <v>1828118</v>
      </c>
      <c r="DY98" s="2"/>
      <c r="DZ98" s="2">
        <f t="shared" si="54"/>
        <v>823315</v>
      </c>
      <c r="EA98" s="2">
        <f t="shared" si="57"/>
        <v>85589</v>
      </c>
      <c r="EB98" s="2"/>
      <c r="EC98" s="2">
        <f t="shared" si="55"/>
        <v>2024080</v>
      </c>
    </row>
    <row r="99" spans="1:138" x14ac:dyDescent="0.25">
      <c r="A99" s="13">
        <v>44713</v>
      </c>
      <c r="B99">
        <v>0</v>
      </c>
      <c r="C99">
        <v>0</v>
      </c>
      <c r="D99">
        <v>0</v>
      </c>
      <c r="E99">
        <v>0</v>
      </c>
      <c r="F99">
        <v>6095</v>
      </c>
      <c r="G99">
        <v>15246</v>
      </c>
      <c r="H99">
        <v>52063</v>
      </c>
      <c r="I99">
        <v>2012</v>
      </c>
      <c r="J99">
        <v>5851</v>
      </c>
      <c r="K99">
        <v>2234</v>
      </c>
      <c r="L99">
        <v>34729</v>
      </c>
      <c r="M99">
        <v>1135</v>
      </c>
      <c r="N99">
        <v>1301</v>
      </c>
      <c r="O99">
        <v>1910</v>
      </c>
      <c r="P99">
        <v>11114</v>
      </c>
      <c r="Q99">
        <v>304</v>
      </c>
      <c r="R99">
        <v>4792</v>
      </c>
      <c r="S99">
        <v>15636</v>
      </c>
      <c r="T99">
        <v>140</v>
      </c>
      <c r="U99">
        <v>4176</v>
      </c>
      <c r="V99">
        <v>105</v>
      </c>
      <c r="W99">
        <v>26431</v>
      </c>
      <c r="X99">
        <v>554</v>
      </c>
      <c r="Y99">
        <v>4</v>
      </c>
      <c r="Z99">
        <v>0</v>
      </c>
      <c r="AA99">
        <v>3</v>
      </c>
      <c r="AB99">
        <v>116</v>
      </c>
      <c r="AC99">
        <v>21</v>
      </c>
      <c r="AD99">
        <v>25</v>
      </c>
      <c r="AE99">
        <v>15</v>
      </c>
      <c r="AF99">
        <v>57</v>
      </c>
      <c r="AG99">
        <v>273</v>
      </c>
      <c r="AH99">
        <v>2574</v>
      </c>
      <c r="AI99">
        <v>3</v>
      </c>
      <c r="AJ99">
        <v>14117</v>
      </c>
      <c r="AK99">
        <v>114363</v>
      </c>
      <c r="AL99">
        <v>1530</v>
      </c>
      <c r="AM99">
        <v>22572</v>
      </c>
      <c r="AN99">
        <v>4</v>
      </c>
      <c r="AO99">
        <v>4</v>
      </c>
      <c r="AP99">
        <v>12388</v>
      </c>
      <c r="AQ99">
        <v>0</v>
      </c>
      <c r="AR99">
        <v>778</v>
      </c>
      <c r="AS99">
        <v>46</v>
      </c>
      <c r="AT99">
        <v>11554</v>
      </c>
      <c r="AU99">
        <v>2508</v>
      </c>
      <c r="AV99">
        <v>3439</v>
      </c>
      <c r="AW99">
        <v>15037</v>
      </c>
      <c r="AX99" s="88">
        <v>1</v>
      </c>
      <c r="AY99" s="88">
        <v>0</v>
      </c>
      <c r="AZ99" s="88">
        <v>846</v>
      </c>
      <c r="BA99" s="88">
        <v>0</v>
      </c>
      <c r="BB99">
        <v>302</v>
      </c>
      <c r="BC99">
        <v>2111</v>
      </c>
      <c r="BD99">
        <v>0</v>
      </c>
      <c r="BE99">
        <v>0</v>
      </c>
      <c r="BF99">
        <v>9610</v>
      </c>
      <c r="BG99">
        <v>0</v>
      </c>
      <c r="BH99">
        <v>0</v>
      </c>
      <c r="BI99">
        <v>0</v>
      </c>
      <c r="BJ99">
        <v>12</v>
      </c>
      <c r="BK99">
        <v>6102</v>
      </c>
      <c r="BL99">
        <v>0</v>
      </c>
      <c r="BM99">
        <v>6</v>
      </c>
      <c r="BN99">
        <v>0</v>
      </c>
      <c r="BO99">
        <v>48927</v>
      </c>
      <c r="BP99">
        <v>108967</v>
      </c>
      <c r="BQ99">
        <v>1463</v>
      </c>
      <c r="BR99">
        <v>34</v>
      </c>
      <c r="BS99">
        <v>46902</v>
      </c>
      <c r="BT99">
        <v>1129</v>
      </c>
      <c r="BU99">
        <v>0</v>
      </c>
      <c r="BV99">
        <v>0</v>
      </c>
      <c r="BW99">
        <v>1</v>
      </c>
      <c r="BX99">
        <v>0</v>
      </c>
      <c r="BY99">
        <v>339</v>
      </c>
      <c r="BZ99">
        <v>0</v>
      </c>
      <c r="CA99">
        <v>30452</v>
      </c>
      <c r="CB99">
        <v>21196</v>
      </c>
      <c r="CC99">
        <v>146161</v>
      </c>
      <c r="CD99">
        <v>396535</v>
      </c>
      <c r="CE99">
        <v>63447</v>
      </c>
      <c r="CF99">
        <v>94733</v>
      </c>
      <c r="CG99">
        <v>0</v>
      </c>
      <c r="CH99">
        <v>25</v>
      </c>
      <c r="CI99">
        <v>1</v>
      </c>
      <c r="CJ99">
        <v>100</v>
      </c>
      <c r="CK99">
        <v>89381</v>
      </c>
      <c r="CL99">
        <v>70731</v>
      </c>
      <c r="CM99">
        <v>404782</v>
      </c>
      <c r="CN99">
        <v>83752</v>
      </c>
      <c r="CO99">
        <v>53</v>
      </c>
      <c r="CP99">
        <v>16455</v>
      </c>
      <c r="CQ99">
        <v>1582</v>
      </c>
      <c r="CR99">
        <v>11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10</v>
      </c>
      <c r="DC99">
        <v>0</v>
      </c>
      <c r="DD99">
        <v>22</v>
      </c>
      <c r="DE99" s="2"/>
      <c r="DG99" s="2">
        <f t="shared" si="56"/>
        <v>1643408</v>
      </c>
      <c r="DH99" s="2">
        <f t="shared" si="44"/>
        <v>305199</v>
      </c>
      <c r="DI99" s="2">
        <f t="shared" si="43"/>
        <v>1948607</v>
      </c>
      <c r="DJ99" s="2"/>
      <c r="DK99" s="2">
        <f t="shared" si="45"/>
        <v>84836</v>
      </c>
      <c r="DL99" s="2">
        <f t="shared" si="46"/>
        <v>153075</v>
      </c>
      <c r="DM99" s="2">
        <f t="shared" si="47"/>
        <v>15636</v>
      </c>
      <c r="DN99" s="2">
        <f t="shared" si="48"/>
        <v>50058</v>
      </c>
      <c r="DO99" s="2">
        <f t="shared" si="49"/>
        <v>639674</v>
      </c>
      <c r="DP99" s="2">
        <f t="shared" si="38"/>
        <v>157986</v>
      </c>
      <c r="DQ99" s="2">
        <f t="shared" si="50"/>
        <v>1593</v>
      </c>
      <c r="DR99" s="2">
        <f t="shared" si="51"/>
        <v>21221</v>
      </c>
      <c r="DS99" s="2">
        <f t="shared" si="52"/>
        <v>48927</v>
      </c>
      <c r="DT99" s="2">
        <f t="shared" si="53"/>
        <v>15713</v>
      </c>
      <c r="DU99" s="2">
        <f t="shared" si="58"/>
        <v>160112</v>
      </c>
      <c r="DV99" s="2">
        <f t="shared" si="59"/>
        <v>488587</v>
      </c>
      <c r="DW99" s="2"/>
      <c r="DX99" s="2">
        <f t="shared" si="42"/>
        <v>1837418</v>
      </c>
      <c r="DY99" s="2"/>
      <c r="DZ99" s="2">
        <f t="shared" si="54"/>
        <v>825292</v>
      </c>
      <c r="EA99" s="2">
        <f t="shared" si="57"/>
        <v>84802</v>
      </c>
      <c r="EB99" s="2"/>
      <c r="EC99" s="2">
        <f t="shared" si="55"/>
        <v>2033409</v>
      </c>
    </row>
    <row r="100" spans="1:138" x14ac:dyDescent="0.25">
      <c r="A100" s="13">
        <v>44743</v>
      </c>
      <c r="B100">
        <v>0</v>
      </c>
      <c r="C100">
        <v>0</v>
      </c>
      <c r="D100">
        <v>0</v>
      </c>
      <c r="E100">
        <v>0</v>
      </c>
      <c r="F100">
        <v>6308</v>
      </c>
      <c r="G100">
        <v>15189</v>
      </c>
      <c r="H100">
        <v>52094</v>
      </c>
      <c r="I100">
        <v>2052</v>
      </c>
      <c r="J100">
        <v>5936</v>
      </c>
      <c r="K100">
        <v>2270</v>
      </c>
      <c r="L100">
        <v>34678</v>
      </c>
      <c r="M100">
        <v>1133</v>
      </c>
      <c r="N100">
        <v>1309</v>
      </c>
      <c r="O100">
        <v>1940</v>
      </c>
      <c r="P100">
        <v>11174</v>
      </c>
      <c r="Q100">
        <v>302</v>
      </c>
      <c r="R100">
        <v>4779</v>
      </c>
      <c r="S100">
        <v>15639</v>
      </c>
      <c r="T100">
        <v>141</v>
      </c>
      <c r="U100">
        <v>4182</v>
      </c>
      <c r="V100">
        <v>105</v>
      </c>
      <c r="W100">
        <v>26719</v>
      </c>
      <c r="X100">
        <v>556</v>
      </c>
      <c r="Y100">
        <v>3</v>
      </c>
      <c r="Z100">
        <v>0</v>
      </c>
      <c r="AA100">
        <v>3</v>
      </c>
      <c r="AB100">
        <v>121</v>
      </c>
      <c r="AC100">
        <v>21</v>
      </c>
      <c r="AD100">
        <v>25</v>
      </c>
      <c r="AE100">
        <v>16</v>
      </c>
      <c r="AF100">
        <v>55</v>
      </c>
      <c r="AG100">
        <v>269</v>
      </c>
      <c r="AH100">
        <v>2579</v>
      </c>
      <c r="AI100">
        <v>4</v>
      </c>
      <c r="AJ100">
        <v>14197</v>
      </c>
      <c r="AK100">
        <v>114543</v>
      </c>
      <c r="AL100">
        <v>1522</v>
      </c>
      <c r="AM100">
        <v>22570</v>
      </c>
      <c r="AN100">
        <v>4</v>
      </c>
      <c r="AO100">
        <v>4</v>
      </c>
      <c r="AP100">
        <v>12381</v>
      </c>
      <c r="AQ100">
        <v>0</v>
      </c>
      <c r="AR100">
        <v>778</v>
      </c>
      <c r="AS100">
        <v>49</v>
      </c>
      <c r="AT100">
        <v>11649</v>
      </c>
      <c r="AU100">
        <v>2506</v>
      </c>
      <c r="AV100">
        <v>3458</v>
      </c>
      <c r="AW100">
        <v>14997</v>
      </c>
      <c r="AX100" s="88">
        <v>1</v>
      </c>
      <c r="AY100" s="88">
        <v>0</v>
      </c>
      <c r="AZ100" s="88">
        <v>847</v>
      </c>
      <c r="BA100" s="88">
        <v>0</v>
      </c>
      <c r="BB100">
        <v>297</v>
      </c>
      <c r="BC100">
        <v>2128</v>
      </c>
      <c r="BD100">
        <v>0</v>
      </c>
      <c r="BE100">
        <v>0</v>
      </c>
      <c r="BF100">
        <v>9644</v>
      </c>
      <c r="BG100">
        <v>0</v>
      </c>
      <c r="BH100">
        <v>0</v>
      </c>
      <c r="BI100">
        <v>0</v>
      </c>
      <c r="BJ100">
        <v>12</v>
      </c>
      <c r="BK100">
        <v>6165</v>
      </c>
      <c r="BL100">
        <v>0</v>
      </c>
      <c r="BM100">
        <v>5</v>
      </c>
      <c r="BN100">
        <v>0</v>
      </c>
      <c r="BO100">
        <v>49305</v>
      </c>
      <c r="BP100">
        <v>109859</v>
      </c>
      <c r="BQ100">
        <v>1476</v>
      </c>
      <c r="BR100">
        <v>34</v>
      </c>
      <c r="BS100">
        <v>47486</v>
      </c>
      <c r="BT100">
        <v>1156</v>
      </c>
      <c r="BU100">
        <v>0</v>
      </c>
      <c r="BV100">
        <v>0</v>
      </c>
      <c r="BW100">
        <v>1</v>
      </c>
      <c r="BX100">
        <v>0</v>
      </c>
      <c r="BY100">
        <v>342</v>
      </c>
      <c r="BZ100">
        <v>0</v>
      </c>
      <c r="CA100">
        <v>30254</v>
      </c>
      <c r="CB100">
        <v>21342</v>
      </c>
      <c r="CC100">
        <v>145968</v>
      </c>
      <c r="CD100">
        <v>400050</v>
      </c>
      <c r="CE100">
        <v>64131</v>
      </c>
      <c r="CF100">
        <v>95450</v>
      </c>
      <c r="CG100">
        <v>0</v>
      </c>
      <c r="CH100">
        <v>24</v>
      </c>
      <c r="CI100">
        <v>1</v>
      </c>
      <c r="CJ100">
        <v>101</v>
      </c>
      <c r="CK100">
        <v>89875</v>
      </c>
      <c r="CL100">
        <v>71226</v>
      </c>
      <c r="CM100">
        <v>409366</v>
      </c>
      <c r="CN100">
        <v>84340</v>
      </c>
      <c r="CO100">
        <v>54</v>
      </c>
      <c r="CP100">
        <v>16482</v>
      </c>
      <c r="CQ100">
        <v>1588</v>
      </c>
      <c r="CR100">
        <v>12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10</v>
      </c>
      <c r="DC100">
        <v>0</v>
      </c>
      <c r="DD100">
        <v>22</v>
      </c>
      <c r="DE100" s="2"/>
      <c r="DG100" s="2">
        <f t="shared" si="56"/>
        <v>1656278</v>
      </c>
      <c r="DH100" s="2">
        <f t="shared" ref="DH100:DH120" si="60">SUM(L100:M100,O100:AW100,AZ100:BB100,CQ100,CR101)</f>
        <v>305848</v>
      </c>
      <c r="DI100" s="2">
        <f t="shared" si="43"/>
        <v>1962126</v>
      </c>
      <c r="DJ100" s="2"/>
      <c r="DK100" s="2">
        <f t="shared" ref="DK100:DK123" si="61">SUM(L100:M100,O100:R100,T100:W100)</f>
        <v>85153</v>
      </c>
      <c r="DL100" s="2">
        <f t="shared" ref="DL100:DL123" si="62">SUM(X100:Y100,AA100:AE100,AG100:AL100,AN100,AR100:AV100,AZ100:BB100)</f>
        <v>153447</v>
      </c>
      <c r="DM100" s="2">
        <f t="shared" ref="DM100:DM123" si="63">S100</f>
        <v>15639</v>
      </c>
      <c r="DN100" s="2">
        <f t="shared" ref="DN100:DN123" si="64">AF100+AW100+AM100+AO100+AP100+AQ100</f>
        <v>50007</v>
      </c>
      <c r="DO100" s="2">
        <f t="shared" ref="DO100:DO123" si="65">SUM(AX100,BE100,BH100,BJ100,BN100,BQ100:BR100,BT100,BV100,BY100:CA100,CC100:CE100,CI100:CJ100)</f>
        <v>643526</v>
      </c>
      <c r="DP100" s="2">
        <f t="shared" si="38"/>
        <v>159478</v>
      </c>
      <c r="DQ100" s="2">
        <f t="shared" ref="DQ100:DQ123" si="66">SUM(CQ100+CR100+CW100+CX100)</f>
        <v>1600</v>
      </c>
      <c r="DR100" s="2">
        <f t="shared" ref="DR100:DR123" si="67">CB100+CH100+Z100</f>
        <v>21366</v>
      </c>
      <c r="DS100" s="2">
        <f t="shared" ref="DS100:DS123" si="68">BO100+BU100</f>
        <v>49305</v>
      </c>
      <c r="DT100" s="2">
        <f t="shared" ref="DT100:DT123" si="69">BF100+BI100+BK100+BL100+BW100</f>
        <v>15810</v>
      </c>
      <c r="DU100" s="2">
        <f t="shared" si="58"/>
        <v>161101</v>
      </c>
      <c r="DV100" s="2">
        <f t="shared" si="59"/>
        <v>493760</v>
      </c>
      <c r="DW100" s="2"/>
      <c r="DX100" s="2">
        <f t="shared" si="42"/>
        <v>1850192</v>
      </c>
      <c r="DY100" s="2"/>
      <c r="DZ100" s="2">
        <f t="shared" ref="DZ100:DZ123" si="70">DO100+DT100+G100+H100+I100+J100+CF100</f>
        <v>830057</v>
      </c>
      <c r="EA100" s="2">
        <f t="shared" si="57"/>
        <v>85158</v>
      </c>
      <c r="EB100" s="2"/>
      <c r="EC100" s="2">
        <f t="shared" ref="EC100:EC120" si="71">EA100+DI100</f>
        <v>2047284</v>
      </c>
    </row>
    <row r="101" spans="1:138" x14ac:dyDescent="0.25">
      <c r="A101" s="13">
        <v>44774</v>
      </c>
      <c r="B101">
        <v>0</v>
      </c>
      <c r="C101">
        <v>0</v>
      </c>
      <c r="D101">
        <v>0</v>
      </c>
      <c r="E101">
        <v>0</v>
      </c>
      <c r="F101">
        <v>6374</v>
      </c>
      <c r="G101">
        <v>15105</v>
      </c>
      <c r="H101">
        <v>52234</v>
      </c>
      <c r="I101">
        <v>2107</v>
      </c>
      <c r="J101">
        <v>5988</v>
      </c>
      <c r="K101">
        <v>2312</v>
      </c>
      <c r="L101">
        <v>34606</v>
      </c>
      <c r="M101">
        <v>1121</v>
      </c>
      <c r="N101">
        <v>1305</v>
      </c>
      <c r="O101">
        <v>1942</v>
      </c>
      <c r="P101">
        <v>11211</v>
      </c>
      <c r="Q101">
        <v>301</v>
      </c>
      <c r="R101">
        <v>4811</v>
      </c>
      <c r="S101">
        <v>15614</v>
      </c>
      <c r="T101">
        <v>145</v>
      </c>
      <c r="U101">
        <v>4196</v>
      </c>
      <c r="V101">
        <v>105</v>
      </c>
      <c r="W101">
        <v>27071</v>
      </c>
      <c r="X101">
        <v>563</v>
      </c>
      <c r="Y101">
        <v>3</v>
      </c>
      <c r="Z101">
        <v>0</v>
      </c>
      <c r="AA101">
        <v>3</v>
      </c>
      <c r="AB101">
        <v>126</v>
      </c>
      <c r="AC101">
        <v>21</v>
      </c>
      <c r="AD101">
        <v>25</v>
      </c>
      <c r="AE101">
        <v>18</v>
      </c>
      <c r="AF101">
        <v>54</v>
      </c>
      <c r="AG101">
        <v>268</v>
      </c>
      <c r="AH101">
        <v>2582</v>
      </c>
      <c r="AI101">
        <v>4</v>
      </c>
      <c r="AJ101">
        <v>14267</v>
      </c>
      <c r="AK101">
        <v>114629</v>
      </c>
      <c r="AL101">
        <v>1506</v>
      </c>
      <c r="AM101">
        <v>22531</v>
      </c>
      <c r="AN101">
        <v>4</v>
      </c>
      <c r="AO101">
        <v>4</v>
      </c>
      <c r="AP101">
        <v>12379</v>
      </c>
      <c r="AQ101">
        <v>0</v>
      </c>
      <c r="AR101">
        <v>782</v>
      </c>
      <c r="AS101">
        <v>50</v>
      </c>
      <c r="AT101">
        <v>11714</v>
      </c>
      <c r="AU101">
        <v>2500</v>
      </c>
      <c r="AV101">
        <v>3465</v>
      </c>
      <c r="AW101">
        <v>14956</v>
      </c>
      <c r="AX101" s="88">
        <v>0</v>
      </c>
      <c r="AY101" s="88">
        <v>1</v>
      </c>
      <c r="AZ101" s="88">
        <v>849</v>
      </c>
      <c r="BA101" s="88">
        <v>0</v>
      </c>
      <c r="BB101">
        <v>294</v>
      </c>
      <c r="BC101">
        <v>2142</v>
      </c>
      <c r="BD101">
        <v>0</v>
      </c>
      <c r="BE101">
        <v>0</v>
      </c>
      <c r="BF101">
        <v>9696</v>
      </c>
      <c r="BG101">
        <v>0</v>
      </c>
      <c r="BH101">
        <v>0</v>
      </c>
      <c r="BI101">
        <v>0</v>
      </c>
      <c r="BJ101">
        <v>11</v>
      </c>
      <c r="BK101">
        <v>6182</v>
      </c>
      <c r="BL101">
        <v>0</v>
      </c>
      <c r="BM101">
        <v>5</v>
      </c>
      <c r="BN101">
        <v>0</v>
      </c>
      <c r="BO101">
        <v>49329</v>
      </c>
      <c r="BP101">
        <v>110454</v>
      </c>
      <c r="BQ101">
        <v>1453</v>
      </c>
      <c r="BR101">
        <v>34</v>
      </c>
      <c r="BS101">
        <v>47936</v>
      </c>
      <c r="BT101">
        <v>1171</v>
      </c>
      <c r="BU101">
        <v>0</v>
      </c>
      <c r="BV101">
        <v>0</v>
      </c>
      <c r="BW101">
        <v>1</v>
      </c>
      <c r="BX101">
        <v>0</v>
      </c>
      <c r="BY101">
        <v>345</v>
      </c>
      <c r="BZ101">
        <v>0</v>
      </c>
      <c r="CA101">
        <v>30079</v>
      </c>
      <c r="CB101">
        <v>22294</v>
      </c>
      <c r="CC101">
        <v>145599</v>
      </c>
      <c r="CD101">
        <v>403384</v>
      </c>
      <c r="CE101">
        <v>64811</v>
      </c>
      <c r="CF101">
        <v>96294</v>
      </c>
      <c r="CG101">
        <v>0</v>
      </c>
      <c r="CH101">
        <v>24</v>
      </c>
      <c r="CI101">
        <v>1</v>
      </c>
      <c r="CJ101">
        <v>99</v>
      </c>
      <c r="CK101">
        <v>90059</v>
      </c>
      <c r="CL101">
        <v>71641</v>
      </c>
      <c r="CM101">
        <v>414680</v>
      </c>
      <c r="CN101">
        <v>84859</v>
      </c>
      <c r="CO101">
        <v>56</v>
      </c>
      <c r="CP101">
        <v>16005</v>
      </c>
      <c r="CQ101">
        <v>1561</v>
      </c>
      <c r="CR101">
        <v>14</v>
      </c>
      <c r="CS101">
        <v>335</v>
      </c>
      <c r="CT101">
        <v>20</v>
      </c>
      <c r="CU101">
        <v>720</v>
      </c>
      <c r="CV101">
        <v>0</v>
      </c>
      <c r="CW101">
        <v>397</v>
      </c>
      <c r="CX101">
        <v>174</v>
      </c>
      <c r="CY101">
        <v>0</v>
      </c>
      <c r="CZ101">
        <v>0</v>
      </c>
      <c r="DA101">
        <v>0</v>
      </c>
      <c r="DB101">
        <v>10</v>
      </c>
      <c r="DC101">
        <v>0</v>
      </c>
      <c r="DD101">
        <v>22</v>
      </c>
      <c r="DE101" s="2"/>
      <c r="DG101" s="2">
        <f t="shared" si="56"/>
        <v>1669936</v>
      </c>
      <c r="DH101" s="2">
        <f t="shared" si="60"/>
        <v>306294</v>
      </c>
      <c r="DI101" s="2">
        <f t="shared" ref="DI101:DI106" si="72">SUM(DG101:DH101)</f>
        <v>1976230</v>
      </c>
      <c r="DJ101" s="2"/>
      <c r="DK101" s="2">
        <f t="shared" si="61"/>
        <v>85509</v>
      </c>
      <c r="DL101" s="2">
        <f t="shared" si="62"/>
        <v>153673</v>
      </c>
      <c r="DM101" s="2">
        <f t="shared" si="63"/>
        <v>15614</v>
      </c>
      <c r="DN101" s="2">
        <f t="shared" si="64"/>
        <v>49924</v>
      </c>
      <c r="DO101" s="2">
        <f t="shared" si="65"/>
        <v>646987</v>
      </c>
      <c r="DP101" s="2">
        <f t="shared" ref="DP101:DP123" si="73">SUM(AY101,BC101:BD101,BG101,BM101,BP101,BS101)</f>
        <v>160538</v>
      </c>
      <c r="DQ101" s="2">
        <f t="shared" si="66"/>
        <v>2146</v>
      </c>
      <c r="DR101" s="2">
        <f t="shared" si="67"/>
        <v>22318</v>
      </c>
      <c r="DS101" s="2">
        <f t="shared" si="68"/>
        <v>49329</v>
      </c>
      <c r="DT101" s="2">
        <f t="shared" si="69"/>
        <v>15879</v>
      </c>
      <c r="DU101" s="2">
        <f t="shared" si="58"/>
        <v>161700</v>
      </c>
      <c r="DV101" s="2">
        <f t="shared" si="59"/>
        <v>499595</v>
      </c>
      <c r="DW101" s="2">
        <f t="shared" ref="DW101:DW123" si="74">SUM(CP101, CU101, CV101)</f>
        <v>16725</v>
      </c>
      <c r="DX101" s="2">
        <f t="shared" ref="DX101:DX116" si="75">SUM(DK101:DW101)</f>
        <v>1879937</v>
      </c>
      <c r="DY101" s="2"/>
      <c r="DZ101" s="2">
        <f t="shared" si="70"/>
        <v>834594</v>
      </c>
      <c r="EA101" s="2">
        <f t="shared" si="57"/>
        <v>85780</v>
      </c>
      <c r="EB101" s="2"/>
      <c r="EC101" s="2">
        <f t="shared" si="71"/>
        <v>2062010</v>
      </c>
    </row>
    <row r="102" spans="1:138" x14ac:dyDescent="0.25">
      <c r="A102" s="13">
        <v>44805</v>
      </c>
      <c r="B102">
        <v>0</v>
      </c>
      <c r="C102">
        <v>0</v>
      </c>
      <c r="D102">
        <v>0</v>
      </c>
      <c r="E102">
        <v>0</v>
      </c>
      <c r="F102">
        <v>5891</v>
      </c>
      <c r="G102">
        <v>14978</v>
      </c>
      <c r="H102">
        <v>52296</v>
      </c>
      <c r="I102">
        <v>2155</v>
      </c>
      <c r="J102">
        <v>6291</v>
      </c>
      <c r="K102">
        <v>2385</v>
      </c>
      <c r="L102">
        <v>34540</v>
      </c>
      <c r="M102">
        <v>1121</v>
      </c>
      <c r="N102">
        <v>1336</v>
      </c>
      <c r="O102">
        <v>1948</v>
      </c>
      <c r="P102">
        <v>11184</v>
      </c>
      <c r="Q102">
        <v>299</v>
      </c>
      <c r="R102">
        <v>4818</v>
      </c>
      <c r="S102">
        <v>15568</v>
      </c>
      <c r="T102">
        <v>146</v>
      </c>
      <c r="U102">
        <v>4194</v>
      </c>
      <c r="V102">
        <v>105</v>
      </c>
      <c r="W102">
        <v>27290</v>
      </c>
      <c r="X102">
        <v>563</v>
      </c>
      <c r="Y102">
        <v>3</v>
      </c>
      <c r="Z102">
        <v>0</v>
      </c>
      <c r="AA102">
        <v>3</v>
      </c>
      <c r="AB102">
        <v>123</v>
      </c>
      <c r="AC102">
        <v>21</v>
      </c>
      <c r="AD102">
        <v>25</v>
      </c>
      <c r="AE102">
        <v>17</v>
      </c>
      <c r="AF102">
        <v>54</v>
      </c>
      <c r="AG102">
        <v>273</v>
      </c>
      <c r="AH102">
        <v>2572</v>
      </c>
      <c r="AI102">
        <v>4</v>
      </c>
      <c r="AJ102">
        <v>14335</v>
      </c>
      <c r="AK102">
        <v>114246</v>
      </c>
      <c r="AL102">
        <v>1479</v>
      </c>
      <c r="AM102">
        <v>22414</v>
      </c>
      <c r="AN102">
        <v>3</v>
      </c>
      <c r="AO102">
        <v>4</v>
      </c>
      <c r="AP102">
        <v>12339</v>
      </c>
      <c r="AQ102">
        <v>0</v>
      </c>
      <c r="AR102">
        <v>789</v>
      </c>
      <c r="AS102">
        <v>50</v>
      </c>
      <c r="AT102">
        <v>11747</v>
      </c>
      <c r="AU102">
        <v>2496</v>
      </c>
      <c r="AV102">
        <v>3467</v>
      </c>
      <c r="AW102">
        <v>14855</v>
      </c>
      <c r="AX102" s="88">
        <v>2</v>
      </c>
      <c r="AY102" s="88">
        <v>0</v>
      </c>
      <c r="AZ102" s="88">
        <v>851</v>
      </c>
      <c r="BA102" s="88">
        <v>0</v>
      </c>
      <c r="BB102">
        <v>293</v>
      </c>
      <c r="BC102">
        <v>2144</v>
      </c>
      <c r="BD102">
        <v>0</v>
      </c>
      <c r="BE102">
        <v>0</v>
      </c>
      <c r="BF102">
        <v>9719</v>
      </c>
      <c r="BG102">
        <v>0</v>
      </c>
      <c r="BH102">
        <v>0</v>
      </c>
      <c r="BI102">
        <v>0</v>
      </c>
      <c r="BJ102">
        <v>11</v>
      </c>
      <c r="BK102">
        <v>6212</v>
      </c>
      <c r="BL102">
        <v>0</v>
      </c>
      <c r="BM102">
        <v>3</v>
      </c>
      <c r="BN102">
        <v>0</v>
      </c>
      <c r="BO102">
        <v>49422</v>
      </c>
      <c r="BP102">
        <v>110406</v>
      </c>
      <c r="BQ102">
        <v>1429</v>
      </c>
      <c r="BR102">
        <v>34</v>
      </c>
      <c r="BS102">
        <v>47869</v>
      </c>
      <c r="BT102">
        <v>1171</v>
      </c>
      <c r="BU102">
        <v>5</v>
      </c>
      <c r="BV102">
        <v>0</v>
      </c>
      <c r="BW102">
        <v>1</v>
      </c>
      <c r="BX102">
        <v>0</v>
      </c>
      <c r="BY102">
        <v>346</v>
      </c>
      <c r="BZ102">
        <v>0</v>
      </c>
      <c r="CA102">
        <v>29913</v>
      </c>
      <c r="CB102">
        <v>22578</v>
      </c>
      <c r="CC102">
        <v>144918</v>
      </c>
      <c r="CD102">
        <v>405307</v>
      </c>
      <c r="CE102">
        <v>65469</v>
      </c>
      <c r="CF102">
        <v>97236</v>
      </c>
      <c r="CG102">
        <v>0</v>
      </c>
      <c r="CH102">
        <v>26</v>
      </c>
      <c r="CI102">
        <v>1</v>
      </c>
      <c r="CJ102">
        <v>97</v>
      </c>
      <c r="CK102">
        <v>89848</v>
      </c>
      <c r="CL102">
        <v>72049</v>
      </c>
      <c r="CM102">
        <v>420375</v>
      </c>
      <c r="CN102">
        <v>85593</v>
      </c>
      <c r="CO102">
        <v>57</v>
      </c>
      <c r="CP102">
        <v>14918</v>
      </c>
      <c r="CQ102">
        <v>1491</v>
      </c>
      <c r="CR102">
        <v>13</v>
      </c>
      <c r="CS102">
        <v>1000</v>
      </c>
      <c r="CT102">
        <v>63</v>
      </c>
      <c r="CU102">
        <v>2564</v>
      </c>
      <c r="CV102">
        <v>0</v>
      </c>
      <c r="CW102">
        <v>1772</v>
      </c>
      <c r="CX102">
        <v>568</v>
      </c>
      <c r="CY102">
        <v>0</v>
      </c>
      <c r="CZ102">
        <v>0</v>
      </c>
      <c r="DA102">
        <v>0</v>
      </c>
      <c r="DB102">
        <v>10</v>
      </c>
      <c r="DC102">
        <v>0</v>
      </c>
      <c r="DD102">
        <v>20</v>
      </c>
      <c r="DE102" s="2"/>
      <c r="DG102" s="2">
        <f t="shared" si="56"/>
        <v>1682063</v>
      </c>
      <c r="DH102" s="2">
        <f t="shared" si="60"/>
        <v>305744</v>
      </c>
      <c r="DI102" s="2">
        <f t="shared" si="72"/>
        <v>1987807</v>
      </c>
      <c r="DJ102" s="2"/>
      <c r="DK102" s="2">
        <f t="shared" si="61"/>
        <v>85645</v>
      </c>
      <c r="DL102" s="2">
        <f t="shared" si="62"/>
        <v>153360</v>
      </c>
      <c r="DM102" s="2">
        <f t="shared" si="63"/>
        <v>15568</v>
      </c>
      <c r="DN102" s="2">
        <f t="shared" si="64"/>
        <v>49666</v>
      </c>
      <c r="DO102" s="2">
        <f t="shared" si="65"/>
        <v>648698</v>
      </c>
      <c r="DP102" s="2">
        <f t="shared" si="73"/>
        <v>160422</v>
      </c>
      <c r="DQ102" s="2">
        <f t="shared" si="66"/>
        <v>3844</v>
      </c>
      <c r="DR102" s="2">
        <f t="shared" si="67"/>
        <v>22604</v>
      </c>
      <c r="DS102" s="2">
        <f t="shared" si="68"/>
        <v>49427</v>
      </c>
      <c r="DT102" s="2">
        <f t="shared" si="69"/>
        <v>15932</v>
      </c>
      <c r="DU102" s="2">
        <f t="shared" si="58"/>
        <v>161897</v>
      </c>
      <c r="DV102" s="2">
        <f t="shared" si="59"/>
        <v>506025</v>
      </c>
      <c r="DW102" s="2">
        <f t="shared" si="74"/>
        <v>17482</v>
      </c>
      <c r="DX102" s="2">
        <f t="shared" si="75"/>
        <v>1890570</v>
      </c>
      <c r="DY102" s="2"/>
      <c r="DZ102" s="2">
        <f t="shared" si="70"/>
        <v>837586</v>
      </c>
      <c r="EA102" s="2">
        <f t="shared" si="57"/>
        <v>86395</v>
      </c>
      <c r="EB102" s="2"/>
      <c r="EC102" s="2">
        <f t="shared" si="71"/>
        <v>2074202</v>
      </c>
    </row>
    <row r="103" spans="1:138" x14ac:dyDescent="0.25">
      <c r="A103" s="13">
        <v>44835</v>
      </c>
      <c r="B103">
        <v>0</v>
      </c>
      <c r="C103">
        <v>0</v>
      </c>
      <c r="D103">
        <v>0</v>
      </c>
      <c r="E103">
        <v>0</v>
      </c>
      <c r="F103">
        <v>5670</v>
      </c>
      <c r="G103">
        <v>14921</v>
      </c>
      <c r="H103">
        <v>52500</v>
      </c>
      <c r="I103">
        <v>2213</v>
      </c>
      <c r="J103">
        <v>6602</v>
      </c>
      <c r="K103">
        <v>2414</v>
      </c>
      <c r="L103">
        <v>34629</v>
      </c>
      <c r="M103">
        <v>1121</v>
      </c>
      <c r="N103">
        <v>1350</v>
      </c>
      <c r="O103">
        <v>1939</v>
      </c>
      <c r="P103">
        <v>11104</v>
      </c>
      <c r="Q103">
        <v>297</v>
      </c>
      <c r="R103">
        <v>4831</v>
      </c>
      <c r="S103">
        <v>15516</v>
      </c>
      <c r="T103">
        <v>146</v>
      </c>
      <c r="U103">
        <v>4190</v>
      </c>
      <c r="V103">
        <v>106</v>
      </c>
      <c r="W103">
        <v>27551</v>
      </c>
      <c r="X103">
        <v>567</v>
      </c>
      <c r="Y103">
        <v>3</v>
      </c>
      <c r="Z103">
        <v>0</v>
      </c>
      <c r="AA103">
        <v>4</v>
      </c>
      <c r="AB103">
        <v>126</v>
      </c>
      <c r="AC103">
        <v>22</v>
      </c>
      <c r="AD103">
        <v>25</v>
      </c>
      <c r="AE103">
        <v>17</v>
      </c>
      <c r="AF103">
        <v>55</v>
      </c>
      <c r="AG103">
        <v>269</v>
      </c>
      <c r="AH103">
        <v>2577</v>
      </c>
      <c r="AI103">
        <v>4</v>
      </c>
      <c r="AJ103">
        <v>14409</v>
      </c>
      <c r="AK103">
        <v>113834</v>
      </c>
      <c r="AL103">
        <v>1476</v>
      </c>
      <c r="AM103">
        <v>22366</v>
      </c>
      <c r="AN103">
        <v>3</v>
      </c>
      <c r="AO103">
        <v>4</v>
      </c>
      <c r="AP103">
        <v>12319</v>
      </c>
      <c r="AQ103">
        <v>0</v>
      </c>
      <c r="AR103">
        <v>784</v>
      </c>
      <c r="AS103">
        <v>51</v>
      </c>
      <c r="AT103">
        <v>11811</v>
      </c>
      <c r="AU103">
        <v>2498</v>
      </c>
      <c r="AV103">
        <v>3478</v>
      </c>
      <c r="AW103">
        <v>14793</v>
      </c>
      <c r="AX103" s="88">
        <v>0</v>
      </c>
      <c r="AY103" s="88">
        <v>0</v>
      </c>
      <c r="AZ103" s="88">
        <v>851</v>
      </c>
      <c r="BA103" s="88">
        <v>0</v>
      </c>
      <c r="BB103">
        <v>291</v>
      </c>
      <c r="BC103">
        <v>2141</v>
      </c>
      <c r="BD103">
        <v>0</v>
      </c>
      <c r="BE103">
        <v>0</v>
      </c>
      <c r="BF103">
        <v>9754</v>
      </c>
      <c r="BG103">
        <v>0</v>
      </c>
      <c r="BH103">
        <v>0</v>
      </c>
      <c r="BI103">
        <v>0</v>
      </c>
      <c r="BJ103">
        <v>11</v>
      </c>
      <c r="BK103">
        <v>6219</v>
      </c>
      <c r="BL103">
        <v>0</v>
      </c>
      <c r="BM103">
        <v>3</v>
      </c>
      <c r="BN103">
        <v>0</v>
      </c>
      <c r="BO103">
        <v>49152</v>
      </c>
      <c r="BP103">
        <v>110213</v>
      </c>
      <c r="BQ103">
        <v>1424</v>
      </c>
      <c r="BR103">
        <v>35</v>
      </c>
      <c r="BS103">
        <v>47877</v>
      </c>
      <c r="BT103">
        <v>1178</v>
      </c>
      <c r="BU103">
        <v>4</v>
      </c>
      <c r="BV103">
        <v>0</v>
      </c>
      <c r="BW103">
        <v>1</v>
      </c>
      <c r="BX103">
        <v>0</v>
      </c>
      <c r="BY103">
        <v>345</v>
      </c>
      <c r="BZ103">
        <v>0</v>
      </c>
      <c r="CA103">
        <v>29930</v>
      </c>
      <c r="CB103">
        <v>23374</v>
      </c>
      <c r="CC103">
        <v>144329</v>
      </c>
      <c r="CD103">
        <v>406579</v>
      </c>
      <c r="CE103">
        <v>65691</v>
      </c>
      <c r="CF103">
        <v>98069</v>
      </c>
      <c r="CG103">
        <v>0</v>
      </c>
      <c r="CH103">
        <v>27</v>
      </c>
      <c r="CI103">
        <v>1</v>
      </c>
      <c r="CJ103">
        <v>99</v>
      </c>
      <c r="CK103">
        <v>89835</v>
      </c>
      <c r="CL103">
        <v>72470</v>
      </c>
      <c r="CM103">
        <v>425094</v>
      </c>
      <c r="CN103">
        <v>85921</v>
      </c>
      <c r="CO103">
        <v>63</v>
      </c>
      <c r="CP103">
        <v>14848</v>
      </c>
      <c r="CQ103">
        <v>1511</v>
      </c>
      <c r="CR103">
        <v>14</v>
      </c>
      <c r="CS103">
        <v>1462</v>
      </c>
      <c r="CT103">
        <v>87</v>
      </c>
      <c r="CU103">
        <v>3464</v>
      </c>
      <c r="CV103">
        <v>0</v>
      </c>
      <c r="CW103">
        <v>2687</v>
      </c>
      <c r="CX103">
        <v>880</v>
      </c>
      <c r="CY103">
        <v>0</v>
      </c>
      <c r="CZ103">
        <v>0</v>
      </c>
      <c r="DA103">
        <v>0</v>
      </c>
      <c r="DB103">
        <v>9</v>
      </c>
      <c r="DC103">
        <v>0</v>
      </c>
      <c r="DD103">
        <v>20</v>
      </c>
      <c r="DE103" s="2"/>
      <c r="DG103" s="2">
        <f t="shared" si="56"/>
        <v>1691718</v>
      </c>
      <c r="DH103" s="2">
        <f t="shared" si="60"/>
        <v>305593</v>
      </c>
      <c r="DI103" s="2">
        <f t="shared" si="72"/>
        <v>1997311</v>
      </c>
      <c r="DJ103" s="2"/>
      <c r="DK103" s="2">
        <f t="shared" si="61"/>
        <v>85914</v>
      </c>
      <c r="DL103" s="2">
        <f t="shared" si="62"/>
        <v>153100</v>
      </c>
      <c r="DM103" s="2">
        <f t="shared" si="63"/>
        <v>15516</v>
      </c>
      <c r="DN103" s="2">
        <f t="shared" si="64"/>
        <v>49537</v>
      </c>
      <c r="DO103" s="2">
        <f t="shared" si="65"/>
        <v>649622</v>
      </c>
      <c r="DP103" s="2">
        <f t="shared" si="73"/>
        <v>160234</v>
      </c>
      <c r="DQ103" s="2">
        <f t="shared" si="66"/>
        <v>5092</v>
      </c>
      <c r="DR103" s="2">
        <f t="shared" si="67"/>
        <v>23401</v>
      </c>
      <c r="DS103" s="2">
        <f t="shared" si="68"/>
        <v>49156</v>
      </c>
      <c r="DT103" s="2">
        <f t="shared" si="69"/>
        <v>15974</v>
      </c>
      <c r="DU103" s="2">
        <f t="shared" si="58"/>
        <v>162305</v>
      </c>
      <c r="DV103" s="2">
        <f t="shared" si="59"/>
        <v>511078</v>
      </c>
      <c r="DW103" s="2">
        <f t="shared" si="74"/>
        <v>18312</v>
      </c>
      <c r="DX103" s="2">
        <f t="shared" si="75"/>
        <v>1899241</v>
      </c>
      <c r="DY103" s="2"/>
      <c r="DZ103" s="2">
        <f t="shared" si="70"/>
        <v>839901</v>
      </c>
      <c r="EA103" s="2">
        <f t="shared" si="57"/>
        <v>87219</v>
      </c>
      <c r="EB103" s="2"/>
      <c r="EC103" s="2">
        <f t="shared" si="71"/>
        <v>2084530</v>
      </c>
    </row>
    <row r="104" spans="1:138" x14ac:dyDescent="0.25">
      <c r="A104" s="13">
        <v>44866</v>
      </c>
      <c r="B104">
        <v>0</v>
      </c>
      <c r="C104">
        <v>0</v>
      </c>
      <c r="D104">
        <v>0</v>
      </c>
      <c r="E104">
        <v>0</v>
      </c>
      <c r="F104">
        <v>5270</v>
      </c>
      <c r="G104">
        <v>14926</v>
      </c>
      <c r="H104">
        <v>52601</v>
      </c>
      <c r="I104">
        <v>2288</v>
      </c>
      <c r="J104">
        <v>6929</v>
      </c>
      <c r="K104">
        <v>2477</v>
      </c>
      <c r="L104">
        <v>34749</v>
      </c>
      <c r="M104">
        <v>1117</v>
      </c>
      <c r="N104">
        <v>1359</v>
      </c>
      <c r="O104">
        <v>1963</v>
      </c>
      <c r="P104">
        <v>11145</v>
      </c>
      <c r="Q104">
        <v>298</v>
      </c>
      <c r="R104">
        <v>4805</v>
      </c>
      <c r="S104">
        <v>15507</v>
      </c>
      <c r="T104">
        <v>147</v>
      </c>
      <c r="U104">
        <v>4181</v>
      </c>
      <c r="V104">
        <v>109</v>
      </c>
      <c r="W104">
        <v>27798</v>
      </c>
      <c r="X104">
        <v>566</v>
      </c>
      <c r="Y104">
        <v>3</v>
      </c>
      <c r="Z104">
        <v>1</v>
      </c>
      <c r="AA104">
        <v>4</v>
      </c>
      <c r="AB104">
        <v>126</v>
      </c>
      <c r="AC104">
        <v>22</v>
      </c>
      <c r="AD104">
        <v>25</v>
      </c>
      <c r="AE104">
        <v>17</v>
      </c>
      <c r="AF104">
        <v>54</v>
      </c>
      <c r="AG104">
        <v>265</v>
      </c>
      <c r="AH104">
        <v>2576</v>
      </c>
      <c r="AI104">
        <v>4</v>
      </c>
      <c r="AJ104">
        <v>14465</v>
      </c>
      <c r="AK104">
        <v>113574</v>
      </c>
      <c r="AL104">
        <v>1458</v>
      </c>
      <c r="AM104">
        <v>22323</v>
      </c>
      <c r="AN104">
        <v>3</v>
      </c>
      <c r="AO104">
        <v>4</v>
      </c>
      <c r="AP104">
        <v>12310</v>
      </c>
      <c r="AQ104">
        <v>0</v>
      </c>
      <c r="AR104">
        <v>782</v>
      </c>
      <c r="AS104">
        <v>52</v>
      </c>
      <c r="AT104">
        <v>11869</v>
      </c>
      <c r="AU104">
        <v>2494</v>
      </c>
      <c r="AV104">
        <v>3484</v>
      </c>
      <c r="AW104">
        <v>14732</v>
      </c>
      <c r="AX104" s="88">
        <v>0</v>
      </c>
      <c r="AY104" s="88">
        <v>1</v>
      </c>
      <c r="AZ104" s="88">
        <v>857</v>
      </c>
      <c r="BA104" s="88">
        <v>0</v>
      </c>
      <c r="BB104">
        <v>288</v>
      </c>
      <c r="BC104">
        <v>2151</v>
      </c>
      <c r="BD104">
        <v>0</v>
      </c>
      <c r="BE104">
        <v>0</v>
      </c>
      <c r="BF104">
        <v>9767</v>
      </c>
      <c r="BG104">
        <v>0</v>
      </c>
      <c r="BH104">
        <v>0</v>
      </c>
      <c r="BI104">
        <v>0</v>
      </c>
      <c r="BJ104">
        <v>9</v>
      </c>
      <c r="BK104">
        <v>6279</v>
      </c>
      <c r="BL104">
        <v>0</v>
      </c>
      <c r="BM104">
        <v>4</v>
      </c>
      <c r="BN104">
        <v>0</v>
      </c>
      <c r="BO104">
        <v>49225</v>
      </c>
      <c r="BP104">
        <v>110291</v>
      </c>
      <c r="BQ104">
        <v>1421</v>
      </c>
      <c r="BR104">
        <v>34</v>
      </c>
      <c r="BS104">
        <v>48018</v>
      </c>
      <c r="BT104">
        <v>1180</v>
      </c>
      <c r="BU104">
        <v>2</v>
      </c>
      <c r="BV104">
        <v>0</v>
      </c>
      <c r="BW104">
        <v>1</v>
      </c>
      <c r="BX104">
        <v>0</v>
      </c>
      <c r="BY104">
        <v>356</v>
      </c>
      <c r="BZ104">
        <v>0</v>
      </c>
      <c r="CA104">
        <v>29913</v>
      </c>
      <c r="CB104">
        <v>24195</v>
      </c>
      <c r="CC104">
        <v>143771</v>
      </c>
      <c r="CD104">
        <v>408450</v>
      </c>
      <c r="CE104">
        <v>66807</v>
      </c>
      <c r="CF104">
        <v>99009</v>
      </c>
      <c r="CG104">
        <v>0</v>
      </c>
      <c r="CH104">
        <v>35</v>
      </c>
      <c r="CI104">
        <v>1</v>
      </c>
      <c r="CJ104">
        <v>97</v>
      </c>
      <c r="CK104">
        <v>89979</v>
      </c>
      <c r="CL104">
        <v>72944</v>
      </c>
      <c r="CM104">
        <v>430543</v>
      </c>
      <c r="CN104">
        <v>86356</v>
      </c>
      <c r="CO104">
        <v>56</v>
      </c>
      <c r="CP104">
        <v>14859</v>
      </c>
      <c r="CQ104">
        <v>1533</v>
      </c>
      <c r="CR104">
        <v>15</v>
      </c>
      <c r="CS104">
        <v>1848</v>
      </c>
      <c r="CT104">
        <v>118</v>
      </c>
      <c r="CU104">
        <v>4520</v>
      </c>
      <c r="CV104">
        <v>0</v>
      </c>
      <c r="CW104">
        <v>3484</v>
      </c>
      <c r="CX104">
        <v>1237</v>
      </c>
      <c r="CY104">
        <v>0</v>
      </c>
      <c r="CZ104">
        <v>0</v>
      </c>
      <c r="DA104">
        <v>0</v>
      </c>
      <c r="DB104">
        <v>9</v>
      </c>
      <c r="DC104">
        <v>0</v>
      </c>
      <c r="DD104">
        <v>19</v>
      </c>
      <c r="DE104" s="2"/>
      <c r="DG104" s="2">
        <f t="shared" si="56"/>
        <v>1704995</v>
      </c>
      <c r="DH104" s="2">
        <f t="shared" si="60"/>
        <v>305723</v>
      </c>
      <c r="DI104" s="2">
        <f t="shared" si="72"/>
        <v>2010718</v>
      </c>
      <c r="DJ104" s="2"/>
      <c r="DK104" s="2">
        <f t="shared" si="61"/>
        <v>86312</v>
      </c>
      <c r="DL104" s="2">
        <f t="shared" si="62"/>
        <v>152934</v>
      </c>
      <c r="DM104" s="2">
        <f t="shared" si="63"/>
        <v>15507</v>
      </c>
      <c r="DN104" s="2">
        <f t="shared" si="64"/>
        <v>49423</v>
      </c>
      <c r="DO104" s="2">
        <f t="shared" si="65"/>
        <v>652039</v>
      </c>
      <c r="DP104" s="2">
        <f t="shared" si="73"/>
        <v>160465</v>
      </c>
      <c r="DQ104" s="2">
        <f t="shared" si="66"/>
        <v>6269</v>
      </c>
      <c r="DR104" s="2">
        <f t="shared" si="67"/>
        <v>24231</v>
      </c>
      <c r="DS104" s="2">
        <f t="shared" si="68"/>
        <v>49227</v>
      </c>
      <c r="DT104" s="2">
        <f t="shared" si="69"/>
        <v>16047</v>
      </c>
      <c r="DU104" s="2">
        <f t="shared" si="58"/>
        <v>162923</v>
      </c>
      <c r="DV104" s="2">
        <f t="shared" si="59"/>
        <v>516955</v>
      </c>
      <c r="DW104" s="2">
        <f t="shared" si="74"/>
        <v>19379</v>
      </c>
      <c r="DX104" s="2">
        <f t="shared" si="75"/>
        <v>1911711</v>
      </c>
      <c r="DY104" s="2"/>
      <c r="DZ104" s="2">
        <f t="shared" si="70"/>
        <v>843839</v>
      </c>
      <c r="EA104" s="2">
        <f t="shared" si="57"/>
        <v>87816</v>
      </c>
      <c r="EB104" s="2"/>
      <c r="EC104" s="2">
        <f t="shared" si="71"/>
        <v>2098534</v>
      </c>
    </row>
    <row r="105" spans="1:138" x14ac:dyDescent="0.25">
      <c r="A105" s="13">
        <v>44896</v>
      </c>
      <c r="B105">
        <v>0</v>
      </c>
      <c r="C105">
        <v>0</v>
      </c>
      <c r="D105">
        <v>0</v>
      </c>
      <c r="E105">
        <v>0</v>
      </c>
      <c r="F105">
        <v>5017</v>
      </c>
      <c r="G105">
        <v>15029</v>
      </c>
      <c r="H105">
        <v>52781</v>
      </c>
      <c r="I105">
        <v>2354</v>
      </c>
      <c r="J105">
        <v>7168</v>
      </c>
      <c r="K105">
        <v>2509</v>
      </c>
      <c r="L105">
        <v>34819</v>
      </c>
      <c r="M105">
        <v>1096</v>
      </c>
      <c r="N105">
        <v>1386</v>
      </c>
      <c r="O105">
        <v>1983</v>
      </c>
      <c r="P105">
        <v>11189</v>
      </c>
      <c r="Q105">
        <v>301</v>
      </c>
      <c r="R105">
        <v>4826</v>
      </c>
      <c r="S105">
        <v>15508</v>
      </c>
      <c r="T105">
        <v>147</v>
      </c>
      <c r="U105">
        <v>4182</v>
      </c>
      <c r="V105">
        <v>109</v>
      </c>
      <c r="W105">
        <v>28043</v>
      </c>
      <c r="X105">
        <v>567</v>
      </c>
      <c r="Y105">
        <v>3</v>
      </c>
      <c r="Z105">
        <v>0</v>
      </c>
      <c r="AA105">
        <v>5</v>
      </c>
      <c r="AB105">
        <v>129</v>
      </c>
      <c r="AC105">
        <v>22</v>
      </c>
      <c r="AD105">
        <v>25</v>
      </c>
      <c r="AE105">
        <v>17</v>
      </c>
      <c r="AF105">
        <v>54</v>
      </c>
      <c r="AG105">
        <v>266</v>
      </c>
      <c r="AH105">
        <v>2569</v>
      </c>
      <c r="AI105">
        <v>4</v>
      </c>
      <c r="AJ105">
        <v>14575</v>
      </c>
      <c r="AK105">
        <v>113532</v>
      </c>
      <c r="AL105">
        <v>1441</v>
      </c>
      <c r="AM105">
        <v>22306</v>
      </c>
      <c r="AN105">
        <v>5</v>
      </c>
      <c r="AO105">
        <v>4</v>
      </c>
      <c r="AP105">
        <v>12307</v>
      </c>
      <c r="AQ105">
        <v>0</v>
      </c>
      <c r="AR105">
        <v>788</v>
      </c>
      <c r="AS105">
        <v>52</v>
      </c>
      <c r="AT105">
        <v>11937</v>
      </c>
      <c r="AU105">
        <v>2490</v>
      </c>
      <c r="AV105">
        <v>3492</v>
      </c>
      <c r="AW105">
        <v>14686</v>
      </c>
      <c r="AX105" s="88">
        <v>1</v>
      </c>
      <c r="AY105" s="88">
        <v>1</v>
      </c>
      <c r="AZ105" s="88">
        <v>864</v>
      </c>
      <c r="BA105" s="88">
        <v>0</v>
      </c>
      <c r="BB105">
        <v>283</v>
      </c>
      <c r="BC105">
        <v>2162</v>
      </c>
      <c r="BD105">
        <v>0</v>
      </c>
      <c r="BE105">
        <v>0</v>
      </c>
      <c r="BF105">
        <v>9788</v>
      </c>
      <c r="BG105">
        <v>0</v>
      </c>
      <c r="BH105">
        <v>0</v>
      </c>
      <c r="BI105">
        <v>0</v>
      </c>
      <c r="BJ105">
        <v>10</v>
      </c>
      <c r="BK105">
        <v>6348</v>
      </c>
      <c r="BL105">
        <v>0</v>
      </c>
      <c r="BM105">
        <v>3</v>
      </c>
      <c r="BN105">
        <v>0</v>
      </c>
      <c r="BO105">
        <v>49560</v>
      </c>
      <c r="BP105">
        <v>110381</v>
      </c>
      <c r="BQ105">
        <v>1405</v>
      </c>
      <c r="BR105">
        <v>33</v>
      </c>
      <c r="BS105">
        <v>48287</v>
      </c>
      <c r="BT105">
        <v>1180</v>
      </c>
      <c r="BU105">
        <v>1</v>
      </c>
      <c r="BV105">
        <v>0</v>
      </c>
      <c r="BW105">
        <v>1</v>
      </c>
      <c r="BX105">
        <v>0</v>
      </c>
      <c r="BY105">
        <v>370</v>
      </c>
      <c r="BZ105">
        <v>0</v>
      </c>
      <c r="CA105">
        <v>29980</v>
      </c>
      <c r="CB105">
        <v>25105</v>
      </c>
      <c r="CC105">
        <v>143444</v>
      </c>
      <c r="CD105">
        <v>410618</v>
      </c>
      <c r="CE105">
        <v>67324</v>
      </c>
      <c r="CF105">
        <v>100602</v>
      </c>
      <c r="CG105">
        <v>0</v>
      </c>
      <c r="CH105">
        <v>44</v>
      </c>
      <c r="CI105">
        <v>1</v>
      </c>
      <c r="CJ105">
        <v>96</v>
      </c>
      <c r="CK105">
        <v>90161</v>
      </c>
      <c r="CL105">
        <v>73884</v>
      </c>
      <c r="CM105">
        <v>436824</v>
      </c>
      <c r="CN105">
        <v>88921</v>
      </c>
      <c r="CO105">
        <v>52</v>
      </c>
      <c r="CP105">
        <v>14780</v>
      </c>
      <c r="CQ105">
        <v>1558</v>
      </c>
      <c r="CR105">
        <v>13</v>
      </c>
      <c r="CS105">
        <v>2163</v>
      </c>
      <c r="CT105">
        <v>134</v>
      </c>
      <c r="CU105">
        <v>5677</v>
      </c>
      <c r="CV105">
        <v>1</v>
      </c>
      <c r="CW105">
        <v>4174</v>
      </c>
      <c r="CX105">
        <v>1469</v>
      </c>
      <c r="CY105">
        <v>0</v>
      </c>
      <c r="CZ105">
        <v>0</v>
      </c>
      <c r="DA105">
        <v>0</v>
      </c>
      <c r="DB105">
        <v>9</v>
      </c>
      <c r="DC105">
        <v>0</v>
      </c>
      <c r="DD105">
        <v>19</v>
      </c>
      <c r="DE105" s="2"/>
      <c r="DG105" s="2">
        <f t="shared" si="56"/>
        <v>1722688</v>
      </c>
      <c r="DH105" s="2">
        <f t="shared" si="60"/>
        <v>306198</v>
      </c>
      <c r="DI105" s="2">
        <f t="shared" si="72"/>
        <v>2028886</v>
      </c>
      <c r="DJ105" s="2"/>
      <c r="DK105" s="2">
        <f t="shared" si="61"/>
        <v>86695</v>
      </c>
      <c r="DL105" s="2">
        <f t="shared" si="62"/>
        <v>153066</v>
      </c>
      <c r="DM105" s="2">
        <f t="shared" si="63"/>
        <v>15508</v>
      </c>
      <c r="DN105" s="2">
        <f t="shared" si="64"/>
        <v>49357</v>
      </c>
      <c r="DO105" s="2">
        <f t="shared" si="65"/>
        <v>654462</v>
      </c>
      <c r="DP105" s="2">
        <f t="shared" si="73"/>
        <v>160834</v>
      </c>
      <c r="DQ105" s="2">
        <f t="shared" si="66"/>
        <v>7214</v>
      </c>
      <c r="DR105" s="2">
        <f t="shared" si="67"/>
        <v>25149</v>
      </c>
      <c r="DS105" s="2">
        <f t="shared" si="68"/>
        <v>49561</v>
      </c>
      <c r="DT105" s="2">
        <f t="shared" si="69"/>
        <v>16137</v>
      </c>
      <c r="DU105" s="2">
        <f t="shared" si="58"/>
        <v>164045</v>
      </c>
      <c r="DV105" s="2">
        <f t="shared" si="59"/>
        <v>525797</v>
      </c>
      <c r="DW105" s="2">
        <f t="shared" si="74"/>
        <v>20458</v>
      </c>
      <c r="DX105" s="2">
        <f t="shared" si="75"/>
        <v>1928283</v>
      </c>
      <c r="DY105" s="2"/>
      <c r="DZ105" s="2">
        <f t="shared" si="70"/>
        <v>848533</v>
      </c>
      <c r="EA105" s="2">
        <f t="shared" si="57"/>
        <v>88541</v>
      </c>
      <c r="EB105" s="2"/>
      <c r="EC105" s="2">
        <f t="shared" si="71"/>
        <v>2117427</v>
      </c>
    </row>
    <row r="106" spans="1:138" x14ac:dyDescent="0.25">
      <c r="A106" s="13">
        <v>44927</v>
      </c>
      <c r="B106">
        <v>0</v>
      </c>
      <c r="C106">
        <v>0</v>
      </c>
      <c r="D106">
        <v>0</v>
      </c>
      <c r="E106">
        <v>0</v>
      </c>
      <c r="F106">
        <v>4739</v>
      </c>
      <c r="G106">
        <v>14957</v>
      </c>
      <c r="H106">
        <v>53050</v>
      </c>
      <c r="I106">
        <v>2440</v>
      </c>
      <c r="J106">
        <v>7236</v>
      </c>
      <c r="K106">
        <v>2492</v>
      </c>
      <c r="L106">
        <v>34837</v>
      </c>
      <c r="M106">
        <v>1094</v>
      </c>
      <c r="N106">
        <v>1420</v>
      </c>
      <c r="O106">
        <v>1985</v>
      </c>
      <c r="P106">
        <v>11257</v>
      </c>
      <c r="Q106">
        <v>301</v>
      </c>
      <c r="R106">
        <v>4786</v>
      </c>
      <c r="S106">
        <v>15495</v>
      </c>
      <c r="T106">
        <v>146</v>
      </c>
      <c r="U106">
        <v>4174</v>
      </c>
      <c r="V106">
        <v>107</v>
      </c>
      <c r="W106">
        <v>28358</v>
      </c>
      <c r="X106">
        <v>569</v>
      </c>
      <c r="Y106">
        <v>2</v>
      </c>
      <c r="Z106">
        <v>0</v>
      </c>
      <c r="AA106">
        <v>5</v>
      </c>
      <c r="AB106">
        <v>129</v>
      </c>
      <c r="AC106">
        <v>23</v>
      </c>
      <c r="AD106">
        <v>25</v>
      </c>
      <c r="AE106">
        <v>18</v>
      </c>
      <c r="AF106">
        <v>57</v>
      </c>
      <c r="AG106">
        <v>266</v>
      </c>
      <c r="AH106">
        <v>2589</v>
      </c>
      <c r="AI106">
        <v>5</v>
      </c>
      <c r="AJ106">
        <v>14613</v>
      </c>
      <c r="AK106">
        <v>113441</v>
      </c>
      <c r="AL106">
        <v>1418</v>
      </c>
      <c r="AM106">
        <v>22302</v>
      </c>
      <c r="AN106">
        <v>8</v>
      </c>
      <c r="AO106">
        <v>4</v>
      </c>
      <c r="AP106">
        <v>12371</v>
      </c>
      <c r="AQ106">
        <v>0</v>
      </c>
      <c r="AR106">
        <v>786</v>
      </c>
      <c r="AS106">
        <v>53</v>
      </c>
      <c r="AT106">
        <v>11987</v>
      </c>
      <c r="AU106">
        <v>2489</v>
      </c>
      <c r="AV106">
        <v>3479</v>
      </c>
      <c r="AW106">
        <v>14626</v>
      </c>
      <c r="AX106">
        <v>0</v>
      </c>
      <c r="AY106">
        <v>0</v>
      </c>
      <c r="AZ106">
        <v>865</v>
      </c>
      <c r="BA106">
        <v>0</v>
      </c>
      <c r="BB106">
        <v>277</v>
      </c>
      <c r="BC106">
        <v>2174</v>
      </c>
      <c r="BD106">
        <v>0</v>
      </c>
      <c r="BE106">
        <v>0</v>
      </c>
      <c r="BF106">
        <v>9845</v>
      </c>
      <c r="BG106">
        <v>0</v>
      </c>
      <c r="BH106">
        <v>0</v>
      </c>
      <c r="BI106">
        <v>0</v>
      </c>
      <c r="BJ106">
        <v>10</v>
      </c>
      <c r="BK106">
        <v>6355</v>
      </c>
      <c r="BL106">
        <v>0</v>
      </c>
      <c r="BM106">
        <v>0</v>
      </c>
      <c r="BN106">
        <v>0</v>
      </c>
      <c r="BO106">
        <v>49993</v>
      </c>
      <c r="BP106">
        <v>110754</v>
      </c>
      <c r="BQ106">
        <v>1411</v>
      </c>
      <c r="BR106">
        <v>33</v>
      </c>
      <c r="BS106">
        <v>48547</v>
      </c>
      <c r="BT106">
        <v>1184</v>
      </c>
      <c r="BU106">
        <v>1</v>
      </c>
      <c r="BV106">
        <v>0</v>
      </c>
      <c r="BW106">
        <v>1</v>
      </c>
      <c r="BX106">
        <v>0</v>
      </c>
      <c r="BY106">
        <v>390</v>
      </c>
      <c r="BZ106">
        <v>0</v>
      </c>
      <c r="CA106">
        <v>30325</v>
      </c>
      <c r="CB106">
        <v>25887</v>
      </c>
      <c r="CC106">
        <v>142778</v>
      </c>
      <c r="CD106">
        <v>413172</v>
      </c>
      <c r="CE106">
        <v>68160</v>
      </c>
      <c r="CF106">
        <v>102578</v>
      </c>
      <c r="CG106">
        <v>0</v>
      </c>
      <c r="CH106">
        <v>50</v>
      </c>
      <c r="CI106">
        <v>1</v>
      </c>
      <c r="CJ106">
        <v>95</v>
      </c>
      <c r="CK106">
        <v>90410</v>
      </c>
      <c r="CL106">
        <v>74995</v>
      </c>
      <c r="CM106">
        <v>442846</v>
      </c>
      <c r="CN106">
        <v>93143</v>
      </c>
      <c r="CO106">
        <v>53</v>
      </c>
      <c r="CP106">
        <v>14698</v>
      </c>
      <c r="CQ106">
        <v>1571</v>
      </c>
      <c r="CR106">
        <v>14</v>
      </c>
      <c r="CS106">
        <v>2553</v>
      </c>
      <c r="CT106">
        <v>168</v>
      </c>
      <c r="CU106">
        <v>6887</v>
      </c>
      <c r="CV106">
        <v>1</v>
      </c>
      <c r="CW106">
        <v>5048</v>
      </c>
      <c r="CX106">
        <v>1740</v>
      </c>
      <c r="CY106">
        <v>0</v>
      </c>
      <c r="CZ106">
        <v>0</v>
      </c>
      <c r="DA106">
        <v>0</v>
      </c>
      <c r="DB106">
        <v>9</v>
      </c>
      <c r="DC106">
        <v>0</v>
      </c>
      <c r="DD106">
        <v>19</v>
      </c>
      <c r="DE106" s="2"/>
      <c r="DG106" s="2">
        <f t="shared" si="56"/>
        <v>1743565</v>
      </c>
      <c r="DH106" s="2">
        <f t="shared" si="60"/>
        <v>306532</v>
      </c>
      <c r="DI106" s="2">
        <f t="shared" si="72"/>
        <v>2050097</v>
      </c>
      <c r="DJ106" s="2"/>
      <c r="DK106" s="2">
        <f t="shared" si="61"/>
        <v>87045</v>
      </c>
      <c r="DL106" s="2">
        <f t="shared" si="62"/>
        <v>153047</v>
      </c>
      <c r="DM106" s="2">
        <f t="shared" si="63"/>
        <v>15495</v>
      </c>
      <c r="DN106" s="2">
        <f t="shared" si="64"/>
        <v>49360</v>
      </c>
      <c r="DO106" s="2">
        <f t="shared" si="65"/>
        <v>657559</v>
      </c>
      <c r="DP106" s="2">
        <f t="shared" si="73"/>
        <v>161475</v>
      </c>
      <c r="DQ106" s="2">
        <f t="shared" si="66"/>
        <v>8373</v>
      </c>
      <c r="DR106" s="2">
        <f t="shared" si="67"/>
        <v>25937</v>
      </c>
      <c r="DS106" s="2">
        <f t="shared" si="68"/>
        <v>49994</v>
      </c>
      <c r="DT106" s="2">
        <f t="shared" si="69"/>
        <v>16201</v>
      </c>
      <c r="DU106" s="2">
        <f t="shared" si="58"/>
        <v>165405</v>
      </c>
      <c r="DV106" s="2">
        <f t="shared" si="59"/>
        <v>536042</v>
      </c>
      <c r="DW106" s="2">
        <f t="shared" si="74"/>
        <v>21586</v>
      </c>
      <c r="DX106" s="2">
        <f t="shared" si="75"/>
        <v>1947519</v>
      </c>
      <c r="DY106" s="2"/>
      <c r="DZ106" s="2">
        <f t="shared" si="70"/>
        <v>854021</v>
      </c>
      <c r="EA106" s="2">
        <f t="shared" si="57"/>
        <v>89055</v>
      </c>
      <c r="EB106" s="2"/>
      <c r="EC106" s="2">
        <f t="shared" si="71"/>
        <v>2139152</v>
      </c>
    </row>
    <row r="107" spans="1:138" x14ac:dyDescent="0.25">
      <c r="A107" s="13">
        <v>44958</v>
      </c>
      <c r="B107">
        <v>0</v>
      </c>
      <c r="C107">
        <v>0</v>
      </c>
      <c r="D107">
        <v>0</v>
      </c>
      <c r="E107">
        <v>0</v>
      </c>
      <c r="F107">
        <v>4618</v>
      </c>
      <c r="G107">
        <v>14991</v>
      </c>
      <c r="H107">
        <v>53445</v>
      </c>
      <c r="I107">
        <v>2545</v>
      </c>
      <c r="J107">
        <v>7430</v>
      </c>
      <c r="K107">
        <v>2487</v>
      </c>
      <c r="L107">
        <v>34744</v>
      </c>
      <c r="M107">
        <v>1077</v>
      </c>
      <c r="N107">
        <v>1474</v>
      </c>
      <c r="O107">
        <v>1948</v>
      </c>
      <c r="P107">
        <v>11206</v>
      </c>
      <c r="Q107">
        <v>303</v>
      </c>
      <c r="R107">
        <v>4765</v>
      </c>
      <c r="S107">
        <v>15435</v>
      </c>
      <c r="T107">
        <v>145</v>
      </c>
      <c r="U107">
        <v>4154</v>
      </c>
      <c r="V107">
        <v>106</v>
      </c>
      <c r="W107">
        <v>28602</v>
      </c>
      <c r="X107">
        <v>568</v>
      </c>
      <c r="Y107">
        <v>2</v>
      </c>
      <c r="Z107">
        <v>0</v>
      </c>
      <c r="AA107">
        <v>5</v>
      </c>
      <c r="AB107">
        <v>128</v>
      </c>
      <c r="AC107">
        <v>24</v>
      </c>
      <c r="AD107">
        <v>25</v>
      </c>
      <c r="AE107">
        <v>18</v>
      </c>
      <c r="AF107">
        <v>60</v>
      </c>
      <c r="AG107">
        <v>266</v>
      </c>
      <c r="AH107">
        <v>2586</v>
      </c>
      <c r="AI107">
        <v>5</v>
      </c>
      <c r="AJ107">
        <v>14638</v>
      </c>
      <c r="AK107">
        <v>113490</v>
      </c>
      <c r="AL107">
        <v>1406</v>
      </c>
      <c r="AM107">
        <v>22208</v>
      </c>
      <c r="AN107">
        <v>8</v>
      </c>
      <c r="AO107">
        <v>4</v>
      </c>
      <c r="AP107">
        <v>12417</v>
      </c>
      <c r="AQ107">
        <v>0</v>
      </c>
      <c r="AR107">
        <v>786</v>
      </c>
      <c r="AS107">
        <v>53</v>
      </c>
      <c r="AT107">
        <v>12048</v>
      </c>
      <c r="AU107">
        <v>2492</v>
      </c>
      <c r="AV107">
        <v>3470</v>
      </c>
      <c r="AW107">
        <v>14566</v>
      </c>
      <c r="AX107">
        <v>2</v>
      </c>
      <c r="AY107">
        <v>1</v>
      </c>
      <c r="AZ107">
        <v>870</v>
      </c>
      <c r="BA107">
        <v>0</v>
      </c>
      <c r="BB107">
        <v>277</v>
      </c>
      <c r="BC107">
        <v>2189</v>
      </c>
      <c r="BD107">
        <v>0</v>
      </c>
      <c r="BE107">
        <v>0</v>
      </c>
      <c r="BF107">
        <v>9899</v>
      </c>
      <c r="BG107">
        <v>0</v>
      </c>
      <c r="BH107">
        <v>0</v>
      </c>
      <c r="BI107">
        <v>0</v>
      </c>
      <c r="BJ107">
        <v>10</v>
      </c>
      <c r="BK107">
        <v>6333</v>
      </c>
      <c r="BL107">
        <v>0</v>
      </c>
      <c r="BM107">
        <v>0</v>
      </c>
      <c r="BN107">
        <v>0</v>
      </c>
      <c r="BO107">
        <v>50352</v>
      </c>
      <c r="BP107">
        <v>111233</v>
      </c>
      <c r="BQ107">
        <v>1395</v>
      </c>
      <c r="BR107">
        <v>34</v>
      </c>
      <c r="BS107">
        <v>48900</v>
      </c>
      <c r="BT107">
        <v>1198</v>
      </c>
      <c r="BU107">
        <v>0</v>
      </c>
      <c r="BV107">
        <v>0</v>
      </c>
      <c r="BW107">
        <v>1</v>
      </c>
      <c r="BX107">
        <v>0</v>
      </c>
      <c r="BY107">
        <v>395</v>
      </c>
      <c r="BZ107">
        <v>0</v>
      </c>
      <c r="CA107">
        <v>30272</v>
      </c>
      <c r="CB107">
        <v>26747</v>
      </c>
      <c r="CC107">
        <v>142186</v>
      </c>
      <c r="CD107">
        <v>416349</v>
      </c>
      <c r="CE107">
        <v>69590</v>
      </c>
      <c r="CF107">
        <v>103611</v>
      </c>
      <c r="CG107">
        <v>0</v>
      </c>
      <c r="CH107">
        <v>59</v>
      </c>
      <c r="CI107">
        <v>1</v>
      </c>
      <c r="CJ107">
        <v>94</v>
      </c>
      <c r="CK107">
        <v>90720</v>
      </c>
      <c r="CL107">
        <v>75669</v>
      </c>
      <c r="CM107">
        <v>448409</v>
      </c>
      <c r="CN107">
        <v>94791</v>
      </c>
      <c r="CO107">
        <v>49</v>
      </c>
      <c r="CP107">
        <v>14787</v>
      </c>
      <c r="CQ107">
        <v>1558</v>
      </c>
      <c r="CR107">
        <v>14</v>
      </c>
      <c r="CS107">
        <v>2940</v>
      </c>
      <c r="CT107">
        <v>201</v>
      </c>
      <c r="CU107">
        <v>7985</v>
      </c>
      <c r="CV107">
        <v>0</v>
      </c>
      <c r="CW107">
        <v>5821</v>
      </c>
      <c r="CX107">
        <v>2043</v>
      </c>
      <c r="CY107">
        <v>0</v>
      </c>
      <c r="CZ107">
        <v>0</v>
      </c>
      <c r="DA107">
        <v>0</v>
      </c>
      <c r="DB107">
        <v>9</v>
      </c>
      <c r="DC107">
        <v>0</v>
      </c>
      <c r="DD107">
        <v>19</v>
      </c>
      <c r="DE107" s="2"/>
      <c r="DG107" s="2">
        <f t="shared" si="56"/>
        <v>1761125</v>
      </c>
      <c r="DH107" s="2">
        <f t="shared" si="60"/>
        <v>306476</v>
      </c>
      <c r="DI107" s="2">
        <f t="shared" ref="DI107:DI117" si="76">SUM(DG107:DH107)</f>
        <v>2067601</v>
      </c>
      <c r="DJ107" s="2"/>
      <c r="DK107" s="2">
        <f t="shared" si="61"/>
        <v>87050</v>
      </c>
      <c r="DL107" s="2">
        <f t="shared" si="62"/>
        <v>153165</v>
      </c>
      <c r="DM107" s="2">
        <f t="shared" si="63"/>
        <v>15435</v>
      </c>
      <c r="DN107" s="2">
        <f t="shared" si="64"/>
        <v>49255</v>
      </c>
      <c r="DO107" s="2">
        <f t="shared" si="65"/>
        <v>661526</v>
      </c>
      <c r="DP107" s="2">
        <f t="shared" si="73"/>
        <v>162323</v>
      </c>
      <c r="DQ107" s="2">
        <f t="shared" si="66"/>
        <v>9436</v>
      </c>
      <c r="DR107" s="2">
        <f t="shared" si="67"/>
        <v>26806</v>
      </c>
      <c r="DS107" s="2">
        <f t="shared" si="68"/>
        <v>50352</v>
      </c>
      <c r="DT107" s="2">
        <f t="shared" si="69"/>
        <v>16233</v>
      </c>
      <c r="DU107" s="2">
        <f t="shared" si="58"/>
        <v>166389</v>
      </c>
      <c r="DV107" s="2">
        <f t="shared" si="59"/>
        <v>543249</v>
      </c>
      <c r="DW107" s="2">
        <f t="shared" si="74"/>
        <v>22772</v>
      </c>
      <c r="DX107" s="2">
        <f t="shared" si="75"/>
        <v>1963991</v>
      </c>
      <c r="DY107" s="2"/>
      <c r="DZ107" s="2">
        <f t="shared" si="70"/>
        <v>859781</v>
      </c>
      <c r="EA107" s="2">
        <f t="shared" si="57"/>
        <v>90131</v>
      </c>
      <c r="EB107" s="2"/>
      <c r="EC107" s="2">
        <f t="shared" si="71"/>
        <v>2157732</v>
      </c>
    </row>
    <row r="108" spans="1:138" x14ac:dyDescent="0.25">
      <c r="A108" s="13">
        <v>44986</v>
      </c>
      <c r="B108">
        <v>0</v>
      </c>
      <c r="C108">
        <v>0</v>
      </c>
      <c r="D108">
        <v>0</v>
      </c>
      <c r="E108">
        <v>0</v>
      </c>
      <c r="F108">
        <v>4246</v>
      </c>
      <c r="G108">
        <v>15084</v>
      </c>
      <c r="H108">
        <v>53376</v>
      </c>
      <c r="I108">
        <v>2644</v>
      </c>
      <c r="J108">
        <v>7595</v>
      </c>
      <c r="K108">
        <v>2520</v>
      </c>
      <c r="L108">
        <v>34726</v>
      </c>
      <c r="M108">
        <v>1064</v>
      </c>
      <c r="N108">
        <v>1531</v>
      </c>
      <c r="O108">
        <v>1969</v>
      </c>
      <c r="P108">
        <v>11395</v>
      </c>
      <c r="Q108">
        <v>302</v>
      </c>
      <c r="R108">
        <v>4763</v>
      </c>
      <c r="S108">
        <v>15418</v>
      </c>
      <c r="T108">
        <v>142</v>
      </c>
      <c r="U108">
        <v>4191</v>
      </c>
      <c r="V108">
        <v>107</v>
      </c>
      <c r="W108">
        <v>28906</v>
      </c>
      <c r="X108">
        <v>573</v>
      </c>
      <c r="Y108">
        <v>2</v>
      </c>
      <c r="Z108">
        <v>0</v>
      </c>
      <c r="AA108">
        <v>5</v>
      </c>
      <c r="AB108">
        <v>132</v>
      </c>
      <c r="AC108">
        <v>25</v>
      </c>
      <c r="AD108">
        <v>25</v>
      </c>
      <c r="AE108">
        <v>18</v>
      </c>
      <c r="AF108">
        <v>60</v>
      </c>
      <c r="AG108">
        <v>262</v>
      </c>
      <c r="AH108">
        <v>2584</v>
      </c>
      <c r="AI108">
        <v>5</v>
      </c>
      <c r="AJ108">
        <v>14782</v>
      </c>
      <c r="AK108">
        <v>113343</v>
      </c>
      <c r="AL108">
        <v>1385</v>
      </c>
      <c r="AM108">
        <v>22194</v>
      </c>
      <c r="AN108">
        <v>8</v>
      </c>
      <c r="AO108">
        <v>4</v>
      </c>
      <c r="AP108">
        <v>12438</v>
      </c>
      <c r="AQ108">
        <v>0</v>
      </c>
      <c r="AR108">
        <v>788</v>
      </c>
      <c r="AS108">
        <v>55</v>
      </c>
      <c r="AT108">
        <v>12159</v>
      </c>
      <c r="AU108">
        <v>2491</v>
      </c>
      <c r="AV108">
        <v>3465</v>
      </c>
      <c r="AW108">
        <v>14527</v>
      </c>
      <c r="AX108">
        <v>3</v>
      </c>
      <c r="AY108">
        <v>1</v>
      </c>
      <c r="AZ108">
        <v>872</v>
      </c>
      <c r="BA108">
        <v>0</v>
      </c>
      <c r="BB108">
        <v>274</v>
      </c>
      <c r="BC108">
        <v>2194</v>
      </c>
      <c r="BD108">
        <v>0</v>
      </c>
      <c r="BE108">
        <v>0</v>
      </c>
      <c r="BF108">
        <v>9945</v>
      </c>
      <c r="BG108">
        <v>0</v>
      </c>
      <c r="BH108">
        <v>0</v>
      </c>
      <c r="BI108">
        <v>0</v>
      </c>
      <c r="BJ108">
        <v>10</v>
      </c>
      <c r="BK108">
        <v>6336</v>
      </c>
      <c r="BL108">
        <v>0</v>
      </c>
      <c r="BM108">
        <v>0</v>
      </c>
      <c r="BN108">
        <v>0</v>
      </c>
      <c r="BO108">
        <v>50572</v>
      </c>
      <c r="BP108">
        <v>111153</v>
      </c>
      <c r="BQ108">
        <v>1384</v>
      </c>
      <c r="BR108">
        <v>36</v>
      </c>
      <c r="BS108">
        <v>49003</v>
      </c>
      <c r="BT108">
        <v>1185</v>
      </c>
      <c r="BU108">
        <v>1</v>
      </c>
      <c r="BV108">
        <v>0</v>
      </c>
      <c r="BW108">
        <v>1</v>
      </c>
      <c r="BX108">
        <v>0</v>
      </c>
      <c r="BY108">
        <v>403</v>
      </c>
      <c r="BZ108">
        <v>0</v>
      </c>
      <c r="CA108">
        <v>30472</v>
      </c>
      <c r="CB108">
        <v>27553</v>
      </c>
      <c r="CC108">
        <v>142386</v>
      </c>
      <c r="CD108">
        <v>417527</v>
      </c>
      <c r="CE108">
        <v>70337</v>
      </c>
      <c r="CF108">
        <v>104316</v>
      </c>
      <c r="CG108">
        <v>0</v>
      </c>
      <c r="CH108">
        <v>69</v>
      </c>
      <c r="CI108">
        <v>1</v>
      </c>
      <c r="CJ108">
        <v>98</v>
      </c>
      <c r="CK108">
        <v>90853</v>
      </c>
      <c r="CL108">
        <v>76307</v>
      </c>
      <c r="CM108">
        <v>452022</v>
      </c>
      <c r="CN108">
        <v>95333</v>
      </c>
      <c r="CO108">
        <v>45</v>
      </c>
      <c r="CP108">
        <v>14839</v>
      </c>
      <c r="CQ108">
        <v>1577</v>
      </c>
      <c r="CR108">
        <v>13</v>
      </c>
      <c r="CS108">
        <v>3241</v>
      </c>
      <c r="CT108">
        <v>229</v>
      </c>
      <c r="CU108">
        <v>8820</v>
      </c>
      <c r="CV108">
        <v>0</v>
      </c>
      <c r="CW108">
        <v>6843</v>
      </c>
      <c r="CX108">
        <v>2340</v>
      </c>
      <c r="CY108">
        <v>0</v>
      </c>
      <c r="CZ108">
        <v>0</v>
      </c>
      <c r="DA108">
        <v>0</v>
      </c>
      <c r="DB108">
        <v>9</v>
      </c>
      <c r="DC108">
        <v>0</v>
      </c>
      <c r="DD108">
        <v>19</v>
      </c>
      <c r="DE108" s="2"/>
      <c r="DG108" s="2">
        <f t="shared" si="56"/>
        <v>1772388</v>
      </c>
      <c r="DH108" s="2">
        <f t="shared" si="60"/>
        <v>307048</v>
      </c>
      <c r="DI108" s="2">
        <f t="shared" si="76"/>
        <v>2079436</v>
      </c>
      <c r="DJ108" s="2"/>
      <c r="DK108" s="2">
        <f t="shared" si="61"/>
        <v>87565</v>
      </c>
      <c r="DL108" s="2">
        <f t="shared" si="62"/>
        <v>153253</v>
      </c>
      <c r="DM108" s="2">
        <f t="shared" si="63"/>
        <v>15418</v>
      </c>
      <c r="DN108" s="2">
        <f t="shared" si="64"/>
        <v>49223</v>
      </c>
      <c r="DO108" s="2">
        <f t="shared" si="65"/>
        <v>663842</v>
      </c>
      <c r="DP108" s="2">
        <f t="shared" si="73"/>
        <v>162351</v>
      </c>
      <c r="DQ108" s="2">
        <f t="shared" si="66"/>
        <v>10773</v>
      </c>
      <c r="DR108" s="2">
        <f t="shared" si="67"/>
        <v>27622</v>
      </c>
      <c r="DS108" s="2">
        <f t="shared" si="68"/>
        <v>50573</v>
      </c>
      <c r="DT108" s="2">
        <f t="shared" si="69"/>
        <v>16282</v>
      </c>
      <c r="DU108" s="2">
        <f t="shared" si="58"/>
        <v>167160</v>
      </c>
      <c r="DV108" s="2">
        <f t="shared" si="59"/>
        <v>547400</v>
      </c>
      <c r="DW108" s="2">
        <f t="shared" si="74"/>
        <v>23659</v>
      </c>
      <c r="DX108" s="2">
        <f t="shared" si="75"/>
        <v>1975121</v>
      </c>
      <c r="DY108" s="2"/>
      <c r="DZ108" s="2">
        <f t="shared" si="70"/>
        <v>863139</v>
      </c>
      <c r="EA108" s="2">
        <f t="shared" si="57"/>
        <v>90466</v>
      </c>
      <c r="EB108" s="2"/>
      <c r="EC108" s="2">
        <f t="shared" si="71"/>
        <v>2169902</v>
      </c>
    </row>
    <row r="109" spans="1:138" x14ac:dyDescent="0.25">
      <c r="A109" s="13">
        <v>45017</v>
      </c>
      <c r="B109">
        <v>0</v>
      </c>
      <c r="C109">
        <v>0</v>
      </c>
      <c r="D109">
        <v>0</v>
      </c>
      <c r="E109">
        <v>0</v>
      </c>
      <c r="F109">
        <v>4148</v>
      </c>
      <c r="G109">
        <v>15003</v>
      </c>
      <c r="H109">
        <v>53524</v>
      </c>
      <c r="I109">
        <v>2806</v>
      </c>
      <c r="J109">
        <v>7958</v>
      </c>
      <c r="K109">
        <v>2527</v>
      </c>
      <c r="L109">
        <v>34773</v>
      </c>
      <c r="M109">
        <v>1047</v>
      </c>
      <c r="N109">
        <v>1566</v>
      </c>
      <c r="O109">
        <v>1976</v>
      </c>
      <c r="P109">
        <v>11472</v>
      </c>
      <c r="Q109">
        <v>304</v>
      </c>
      <c r="R109">
        <v>4831</v>
      </c>
      <c r="S109">
        <v>15467</v>
      </c>
      <c r="T109">
        <v>133</v>
      </c>
      <c r="U109">
        <v>4232</v>
      </c>
      <c r="V109">
        <v>104</v>
      </c>
      <c r="W109">
        <v>29197</v>
      </c>
      <c r="X109">
        <v>571</v>
      </c>
      <c r="Y109">
        <v>2</v>
      </c>
      <c r="Z109">
        <v>0</v>
      </c>
      <c r="AA109">
        <v>5</v>
      </c>
      <c r="AB109">
        <v>133</v>
      </c>
      <c r="AC109">
        <v>25</v>
      </c>
      <c r="AD109">
        <v>25</v>
      </c>
      <c r="AE109">
        <v>18</v>
      </c>
      <c r="AF109">
        <v>61</v>
      </c>
      <c r="AG109">
        <v>261</v>
      </c>
      <c r="AH109">
        <v>2596</v>
      </c>
      <c r="AI109">
        <v>5</v>
      </c>
      <c r="AJ109">
        <v>14872</v>
      </c>
      <c r="AK109">
        <v>113194</v>
      </c>
      <c r="AL109">
        <v>1363</v>
      </c>
      <c r="AM109">
        <v>22197</v>
      </c>
      <c r="AN109">
        <v>9</v>
      </c>
      <c r="AO109">
        <v>4</v>
      </c>
      <c r="AP109">
        <v>12437</v>
      </c>
      <c r="AQ109">
        <v>0</v>
      </c>
      <c r="AR109">
        <v>794</v>
      </c>
      <c r="AS109">
        <v>56</v>
      </c>
      <c r="AT109">
        <v>12246</v>
      </c>
      <c r="AU109">
        <v>2500</v>
      </c>
      <c r="AV109">
        <v>3461</v>
      </c>
      <c r="AW109">
        <v>14510</v>
      </c>
      <c r="AX109">
        <v>1</v>
      </c>
      <c r="AY109">
        <v>2</v>
      </c>
      <c r="AZ109">
        <v>871</v>
      </c>
      <c r="BA109">
        <v>0</v>
      </c>
      <c r="BB109">
        <v>259</v>
      </c>
      <c r="BC109">
        <v>2198</v>
      </c>
      <c r="BD109">
        <v>0</v>
      </c>
      <c r="BE109">
        <v>0</v>
      </c>
      <c r="BF109">
        <v>9993</v>
      </c>
      <c r="BG109">
        <v>0</v>
      </c>
      <c r="BH109">
        <v>0</v>
      </c>
      <c r="BI109">
        <v>0</v>
      </c>
      <c r="BJ109">
        <v>9</v>
      </c>
      <c r="BK109">
        <v>6345</v>
      </c>
      <c r="BL109">
        <v>0</v>
      </c>
      <c r="BM109">
        <v>0</v>
      </c>
      <c r="BN109">
        <v>0</v>
      </c>
      <c r="BO109">
        <v>50612</v>
      </c>
      <c r="BP109">
        <v>111333</v>
      </c>
      <c r="BQ109">
        <v>1370</v>
      </c>
      <c r="BR109">
        <v>36</v>
      </c>
      <c r="BS109">
        <v>49205</v>
      </c>
      <c r="BT109">
        <v>1194</v>
      </c>
      <c r="BU109">
        <v>0</v>
      </c>
      <c r="BV109">
        <v>0</v>
      </c>
      <c r="BW109">
        <v>1</v>
      </c>
      <c r="BX109">
        <v>0</v>
      </c>
      <c r="BY109">
        <v>400</v>
      </c>
      <c r="BZ109">
        <v>0</v>
      </c>
      <c r="CA109">
        <v>30486</v>
      </c>
      <c r="CB109">
        <v>28138</v>
      </c>
      <c r="CC109">
        <v>142583</v>
      </c>
      <c r="CD109">
        <v>419531</v>
      </c>
      <c r="CE109">
        <v>71543</v>
      </c>
      <c r="CF109">
        <v>105034</v>
      </c>
      <c r="CG109">
        <v>0</v>
      </c>
      <c r="CH109">
        <v>76</v>
      </c>
      <c r="CI109">
        <v>1</v>
      </c>
      <c r="CJ109">
        <v>96</v>
      </c>
      <c r="CK109">
        <v>91254</v>
      </c>
      <c r="CL109">
        <v>77125</v>
      </c>
      <c r="CM109">
        <v>456278</v>
      </c>
      <c r="CN109">
        <v>96451</v>
      </c>
      <c r="CO109">
        <v>50</v>
      </c>
      <c r="CP109">
        <v>14844</v>
      </c>
      <c r="CQ109">
        <v>1601</v>
      </c>
      <c r="CR109">
        <v>12</v>
      </c>
      <c r="CS109">
        <v>3499</v>
      </c>
      <c r="CT109">
        <v>243</v>
      </c>
      <c r="CU109">
        <v>9913</v>
      </c>
      <c r="CV109">
        <v>0</v>
      </c>
      <c r="CW109">
        <v>7611</v>
      </c>
      <c r="CX109">
        <v>2697</v>
      </c>
      <c r="CY109">
        <v>0</v>
      </c>
      <c r="CZ109">
        <v>0</v>
      </c>
      <c r="DA109">
        <v>0</v>
      </c>
      <c r="DB109">
        <v>9</v>
      </c>
      <c r="DC109">
        <v>0</v>
      </c>
      <c r="DD109">
        <v>19</v>
      </c>
      <c r="DE109" s="2"/>
      <c r="DG109" s="2">
        <f t="shared" si="56"/>
        <v>1786410</v>
      </c>
      <c r="DH109" s="2">
        <f t="shared" si="60"/>
        <v>307630</v>
      </c>
      <c r="DI109" s="2">
        <f t="shared" si="76"/>
        <v>2094040</v>
      </c>
      <c r="DJ109" s="2"/>
      <c r="DK109" s="2">
        <f t="shared" si="61"/>
        <v>88069</v>
      </c>
      <c r="DL109" s="2">
        <f t="shared" si="62"/>
        <v>153266</v>
      </c>
      <c r="DM109" s="2">
        <f t="shared" si="63"/>
        <v>15467</v>
      </c>
      <c r="DN109" s="2">
        <f t="shared" si="64"/>
        <v>49209</v>
      </c>
      <c r="DO109" s="2">
        <f t="shared" si="65"/>
        <v>667250</v>
      </c>
      <c r="DP109" s="2">
        <f t="shared" si="73"/>
        <v>162738</v>
      </c>
      <c r="DQ109" s="2">
        <f t="shared" si="66"/>
        <v>11921</v>
      </c>
      <c r="DR109" s="2">
        <f t="shared" si="67"/>
        <v>28214</v>
      </c>
      <c r="DS109" s="2">
        <f t="shared" si="68"/>
        <v>50612</v>
      </c>
      <c r="DT109" s="2">
        <f t="shared" si="69"/>
        <v>16339</v>
      </c>
      <c r="DU109" s="2">
        <f t="shared" si="58"/>
        <v>168379</v>
      </c>
      <c r="DV109" s="2">
        <f t="shared" si="59"/>
        <v>552779</v>
      </c>
      <c r="DW109" s="2">
        <f t="shared" si="74"/>
        <v>24757</v>
      </c>
      <c r="DX109" s="2">
        <f t="shared" si="75"/>
        <v>1989000</v>
      </c>
      <c r="DY109" s="2"/>
      <c r="DZ109" s="2">
        <f t="shared" si="70"/>
        <v>867914</v>
      </c>
      <c r="EA109" s="2">
        <f t="shared" si="57"/>
        <v>91274</v>
      </c>
      <c r="EB109" s="2"/>
      <c r="EC109" s="2">
        <f t="shared" si="71"/>
        <v>2185314</v>
      </c>
      <c r="EH109" s="2"/>
    </row>
    <row r="110" spans="1:138" x14ac:dyDescent="0.25">
      <c r="A110" s="13">
        <v>45047</v>
      </c>
      <c r="B110">
        <v>0</v>
      </c>
      <c r="C110">
        <v>0</v>
      </c>
      <c r="D110">
        <v>0</v>
      </c>
      <c r="E110">
        <v>0</v>
      </c>
      <c r="F110">
        <v>4095</v>
      </c>
      <c r="G110">
        <v>14939</v>
      </c>
      <c r="H110">
        <v>52884</v>
      </c>
      <c r="I110">
        <v>2891</v>
      </c>
      <c r="J110">
        <v>8365</v>
      </c>
      <c r="K110">
        <v>2478</v>
      </c>
      <c r="L110">
        <v>34671</v>
      </c>
      <c r="M110">
        <v>1046</v>
      </c>
      <c r="N110">
        <v>1533</v>
      </c>
      <c r="O110">
        <v>1640</v>
      </c>
      <c r="P110">
        <v>11353</v>
      </c>
      <c r="Q110">
        <v>298</v>
      </c>
      <c r="R110">
        <v>4800</v>
      </c>
      <c r="S110">
        <v>15410</v>
      </c>
      <c r="T110">
        <v>129</v>
      </c>
      <c r="U110">
        <v>4164</v>
      </c>
      <c r="V110">
        <v>102</v>
      </c>
      <c r="W110">
        <v>29309</v>
      </c>
      <c r="X110">
        <v>572</v>
      </c>
      <c r="Y110">
        <v>2</v>
      </c>
      <c r="Z110">
        <v>0</v>
      </c>
      <c r="AA110">
        <v>2</v>
      </c>
      <c r="AB110">
        <v>132</v>
      </c>
      <c r="AC110">
        <v>25</v>
      </c>
      <c r="AD110">
        <v>26</v>
      </c>
      <c r="AE110">
        <v>17</v>
      </c>
      <c r="AF110">
        <v>62</v>
      </c>
      <c r="AG110">
        <v>256</v>
      </c>
      <c r="AH110">
        <v>2590</v>
      </c>
      <c r="AI110">
        <v>5</v>
      </c>
      <c r="AJ110">
        <v>14889</v>
      </c>
      <c r="AK110">
        <v>112741</v>
      </c>
      <c r="AL110">
        <v>1386</v>
      </c>
      <c r="AM110">
        <v>22135</v>
      </c>
      <c r="AN110">
        <v>9</v>
      </c>
      <c r="AO110">
        <v>4</v>
      </c>
      <c r="AP110">
        <v>12363</v>
      </c>
      <c r="AQ110">
        <v>0</v>
      </c>
      <c r="AR110">
        <v>336</v>
      </c>
      <c r="AS110">
        <v>57</v>
      </c>
      <c r="AT110">
        <v>12273</v>
      </c>
      <c r="AU110">
        <v>2487</v>
      </c>
      <c r="AV110">
        <v>3465</v>
      </c>
      <c r="AW110">
        <v>14472</v>
      </c>
      <c r="AX110">
        <v>1</v>
      </c>
      <c r="AY110">
        <v>0</v>
      </c>
      <c r="AZ110">
        <v>868</v>
      </c>
      <c r="BA110">
        <v>0</v>
      </c>
      <c r="BB110">
        <v>256</v>
      </c>
      <c r="BC110">
        <v>2196</v>
      </c>
      <c r="BD110">
        <v>0</v>
      </c>
      <c r="BE110">
        <v>0</v>
      </c>
      <c r="BF110">
        <v>10014</v>
      </c>
      <c r="BG110">
        <v>0</v>
      </c>
      <c r="BH110">
        <v>0</v>
      </c>
      <c r="BI110">
        <v>0</v>
      </c>
      <c r="BJ110">
        <v>8</v>
      </c>
      <c r="BK110">
        <v>6350</v>
      </c>
      <c r="BL110">
        <v>0</v>
      </c>
      <c r="BM110">
        <v>0</v>
      </c>
      <c r="BN110">
        <v>0</v>
      </c>
      <c r="BO110">
        <v>51153</v>
      </c>
      <c r="BP110">
        <v>109980</v>
      </c>
      <c r="BQ110">
        <v>1241</v>
      </c>
      <c r="BR110">
        <v>36</v>
      </c>
      <c r="BS110">
        <v>48572</v>
      </c>
      <c r="BT110">
        <v>1055</v>
      </c>
      <c r="BU110">
        <v>0</v>
      </c>
      <c r="BV110">
        <v>0</v>
      </c>
      <c r="BW110">
        <v>1</v>
      </c>
      <c r="BX110">
        <v>0</v>
      </c>
      <c r="BY110">
        <v>411</v>
      </c>
      <c r="BZ110">
        <v>0</v>
      </c>
      <c r="CA110">
        <v>30616</v>
      </c>
      <c r="CB110">
        <v>28966</v>
      </c>
      <c r="CC110">
        <v>142703</v>
      </c>
      <c r="CD110">
        <v>419859</v>
      </c>
      <c r="CE110">
        <v>70315</v>
      </c>
      <c r="CF110">
        <v>105539</v>
      </c>
      <c r="CG110">
        <v>0</v>
      </c>
      <c r="CH110">
        <v>78</v>
      </c>
      <c r="CI110">
        <v>1</v>
      </c>
      <c r="CJ110">
        <v>97</v>
      </c>
      <c r="CK110">
        <v>91848</v>
      </c>
      <c r="CL110">
        <v>77201</v>
      </c>
      <c r="CM110">
        <v>459608</v>
      </c>
      <c r="CN110">
        <v>96925</v>
      </c>
      <c r="CO110">
        <v>40</v>
      </c>
      <c r="CP110">
        <v>14826</v>
      </c>
      <c r="CQ110">
        <v>1631</v>
      </c>
      <c r="CR110">
        <v>18</v>
      </c>
      <c r="CS110">
        <v>3608</v>
      </c>
      <c r="CT110">
        <v>241</v>
      </c>
      <c r="CU110">
        <v>10782</v>
      </c>
      <c r="CV110">
        <v>0</v>
      </c>
      <c r="CW110">
        <v>8154</v>
      </c>
      <c r="CX110">
        <v>2963</v>
      </c>
      <c r="CY110">
        <v>0</v>
      </c>
      <c r="CZ110">
        <v>0</v>
      </c>
      <c r="DA110">
        <v>0</v>
      </c>
      <c r="DB110">
        <v>7</v>
      </c>
      <c r="DC110">
        <v>0</v>
      </c>
      <c r="DD110">
        <v>19</v>
      </c>
      <c r="DE110" s="2"/>
      <c r="DG110" s="2">
        <f t="shared" si="56"/>
        <v>1791539</v>
      </c>
      <c r="DH110" s="2">
        <f t="shared" si="60"/>
        <v>306007</v>
      </c>
      <c r="DI110" s="2">
        <f t="shared" si="76"/>
        <v>2097546</v>
      </c>
      <c r="DJ110" s="2"/>
      <c r="DK110" s="2">
        <f t="shared" si="61"/>
        <v>87512</v>
      </c>
      <c r="DL110" s="2">
        <f t="shared" si="62"/>
        <v>152394</v>
      </c>
      <c r="DM110" s="2">
        <f t="shared" si="63"/>
        <v>15410</v>
      </c>
      <c r="DN110" s="2">
        <f t="shared" si="64"/>
        <v>49036</v>
      </c>
      <c r="DO110" s="2">
        <f t="shared" si="65"/>
        <v>666343</v>
      </c>
      <c r="DP110" s="2">
        <f t="shared" si="73"/>
        <v>160748</v>
      </c>
      <c r="DQ110" s="2">
        <f t="shared" si="66"/>
        <v>12766</v>
      </c>
      <c r="DR110" s="2">
        <f t="shared" si="67"/>
        <v>29044</v>
      </c>
      <c r="DS110" s="2">
        <f t="shared" si="68"/>
        <v>51153</v>
      </c>
      <c r="DT110" s="2">
        <f t="shared" si="69"/>
        <v>16365</v>
      </c>
      <c r="DU110" s="2">
        <f t="shared" si="58"/>
        <v>169049</v>
      </c>
      <c r="DV110" s="2">
        <f t="shared" si="59"/>
        <v>556573</v>
      </c>
      <c r="DW110" s="2">
        <f t="shared" si="74"/>
        <v>25608</v>
      </c>
      <c r="DX110" s="2">
        <f t="shared" si="75"/>
        <v>1992001</v>
      </c>
      <c r="DY110" s="2"/>
      <c r="DZ110" s="2">
        <f t="shared" si="70"/>
        <v>867326</v>
      </c>
      <c r="EA110" s="2">
        <f t="shared" si="57"/>
        <v>91034</v>
      </c>
      <c r="EB110" s="2"/>
      <c r="EC110" s="2">
        <f t="shared" si="71"/>
        <v>2188580</v>
      </c>
      <c r="EH110" s="2"/>
    </row>
    <row r="111" spans="1:138" x14ac:dyDescent="0.25">
      <c r="A111" s="13">
        <v>45078</v>
      </c>
      <c r="B111">
        <v>0</v>
      </c>
      <c r="C111">
        <v>0</v>
      </c>
      <c r="D111">
        <v>0</v>
      </c>
      <c r="E111">
        <v>0</v>
      </c>
      <c r="F111">
        <v>4009</v>
      </c>
      <c r="G111">
        <v>15097</v>
      </c>
      <c r="H111">
        <v>52984</v>
      </c>
      <c r="I111">
        <v>2927</v>
      </c>
      <c r="J111">
        <v>8626</v>
      </c>
      <c r="K111">
        <v>2403</v>
      </c>
      <c r="L111">
        <v>34688</v>
      </c>
      <c r="M111">
        <v>1061</v>
      </c>
      <c r="N111">
        <v>1495</v>
      </c>
      <c r="O111">
        <v>1631</v>
      </c>
      <c r="P111">
        <v>11369</v>
      </c>
      <c r="Q111">
        <v>297</v>
      </c>
      <c r="R111">
        <v>4780</v>
      </c>
      <c r="S111">
        <v>15416</v>
      </c>
      <c r="T111">
        <v>123</v>
      </c>
      <c r="U111">
        <v>4181</v>
      </c>
      <c r="V111">
        <v>99</v>
      </c>
      <c r="W111">
        <v>29452</v>
      </c>
      <c r="X111">
        <v>574</v>
      </c>
      <c r="Y111">
        <v>2</v>
      </c>
      <c r="Z111">
        <v>0</v>
      </c>
      <c r="AA111">
        <v>3</v>
      </c>
      <c r="AB111">
        <v>131</v>
      </c>
      <c r="AC111">
        <v>25</v>
      </c>
      <c r="AD111">
        <v>26</v>
      </c>
      <c r="AE111">
        <v>16</v>
      </c>
      <c r="AF111">
        <v>60</v>
      </c>
      <c r="AG111">
        <v>247</v>
      </c>
      <c r="AH111">
        <v>2578</v>
      </c>
      <c r="AI111">
        <v>4</v>
      </c>
      <c r="AJ111">
        <v>14803</v>
      </c>
      <c r="AK111">
        <v>112344</v>
      </c>
      <c r="AL111">
        <v>1392</v>
      </c>
      <c r="AM111">
        <v>22180</v>
      </c>
      <c r="AN111">
        <v>10</v>
      </c>
      <c r="AO111">
        <v>4</v>
      </c>
      <c r="AP111">
        <v>12391</v>
      </c>
      <c r="AQ111">
        <v>0</v>
      </c>
      <c r="AR111">
        <v>323</v>
      </c>
      <c r="AS111">
        <v>56</v>
      </c>
      <c r="AT111">
        <v>12285</v>
      </c>
      <c r="AU111">
        <v>2483</v>
      </c>
      <c r="AV111">
        <v>3463</v>
      </c>
      <c r="AW111">
        <v>14416</v>
      </c>
      <c r="AX111">
        <v>0</v>
      </c>
      <c r="AY111">
        <v>1</v>
      </c>
      <c r="AZ111">
        <v>865</v>
      </c>
      <c r="BA111">
        <v>0</v>
      </c>
      <c r="BB111">
        <v>251</v>
      </c>
      <c r="BC111">
        <v>2197</v>
      </c>
      <c r="BD111">
        <v>0</v>
      </c>
      <c r="BE111">
        <v>0</v>
      </c>
      <c r="BF111">
        <v>9996</v>
      </c>
      <c r="BG111">
        <v>0</v>
      </c>
      <c r="BH111">
        <v>0</v>
      </c>
      <c r="BI111">
        <v>0</v>
      </c>
      <c r="BJ111">
        <v>8</v>
      </c>
      <c r="BK111">
        <v>6338</v>
      </c>
      <c r="BL111">
        <v>0</v>
      </c>
      <c r="BM111">
        <v>11</v>
      </c>
      <c r="BN111">
        <v>0</v>
      </c>
      <c r="BO111">
        <v>52385</v>
      </c>
      <c r="BP111">
        <v>108714</v>
      </c>
      <c r="BQ111">
        <v>1348</v>
      </c>
      <c r="BR111">
        <v>37</v>
      </c>
      <c r="BS111">
        <v>47733</v>
      </c>
      <c r="BT111">
        <v>1188</v>
      </c>
      <c r="BU111">
        <v>0</v>
      </c>
      <c r="BV111">
        <v>0</v>
      </c>
      <c r="BW111">
        <v>2</v>
      </c>
      <c r="BX111">
        <v>0</v>
      </c>
      <c r="BY111">
        <v>422</v>
      </c>
      <c r="BZ111">
        <v>0</v>
      </c>
      <c r="CA111">
        <v>30253</v>
      </c>
      <c r="CB111">
        <v>29280</v>
      </c>
      <c r="CC111">
        <v>141328</v>
      </c>
      <c r="CD111">
        <v>416223</v>
      </c>
      <c r="CE111">
        <v>68983</v>
      </c>
      <c r="CF111">
        <v>104483</v>
      </c>
      <c r="CG111">
        <v>0</v>
      </c>
      <c r="CH111">
        <v>78</v>
      </c>
      <c r="CI111">
        <v>1</v>
      </c>
      <c r="CJ111">
        <v>93</v>
      </c>
      <c r="CK111">
        <v>90721</v>
      </c>
      <c r="CL111">
        <v>75996</v>
      </c>
      <c r="CM111">
        <v>455372</v>
      </c>
      <c r="CN111">
        <v>96250</v>
      </c>
      <c r="CO111">
        <v>47</v>
      </c>
      <c r="CP111">
        <v>14871</v>
      </c>
      <c r="CQ111">
        <v>1696</v>
      </c>
      <c r="CR111">
        <v>24</v>
      </c>
      <c r="CS111">
        <v>3695</v>
      </c>
      <c r="CT111">
        <v>245</v>
      </c>
      <c r="CU111">
        <v>11663</v>
      </c>
      <c r="CV111">
        <v>0</v>
      </c>
      <c r="CW111">
        <v>8641</v>
      </c>
      <c r="CX111">
        <v>3211</v>
      </c>
      <c r="CY111">
        <v>0</v>
      </c>
      <c r="CZ111">
        <v>0</v>
      </c>
      <c r="DA111">
        <v>0</v>
      </c>
      <c r="DB111">
        <v>7</v>
      </c>
      <c r="DC111">
        <v>0</v>
      </c>
      <c r="DD111">
        <v>19</v>
      </c>
      <c r="DE111" s="2"/>
      <c r="DF111" s="2"/>
      <c r="DG111" s="2">
        <f t="shared" si="56"/>
        <v>1777874</v>
      </c>
      <c r="DH111" s="2">
        <f t="shared" si="60"/>
        <v>305754</v>
      </c>
      <c r="DI111" s="2">
        <f t="shared" si="76"/>
        <v>2083628</v>
      </c>
      <c r="DJ111" s="2"/>
      <c r="DK111" s="2">
        <f t="shared" si="61"/>
        <v>87681</v>
      </c>
      <c r="DL111" s="2">
        <f t="shared" si="62"/>
        <v>151881</v>
      </c>
      <c r="DM111" s="2">
        <f t="shared" si="63"/>
        <v>15416</v>
      </c>
      <c r="DN111" s="2">
        <f t="shared" si="64"/>
        <v>49051</v>
      </c>
      <c r="DO111" s="2">
        <f t="shared" si="65"/>
        <v>659884</v>
      </c>
      <c r="DP111" s="2">
        <f t="shared" si="73"/>
        <v>158656</v>
      </c>
      <c r="DQ111" s="2">
        <f t="shared" si="66"/>
        <v>13572</v>
      </c>
      <c r="DR111" s="2">
        <f t="shared" si="67"/>
        <v>29358</v>
      </c>
      <c r="DS111" s="2">
        <f t="shared" si="68"/>
        <v>52385</v>
      </c>
      <c r="DT111" s="2">
        <f t="shared" si="69"/>
        <v>16336</v>
      </c>
      <c r="DU111" s="2">
        <f t="shared" si="58"/>
        <v>166717</v>
      </c>
      <c r="DV111" s="2">
        <f t="shared" si="59"/>
        <v>551669</v>
      </c>
      <c r="DW111" s="2">
        <f t="shared" si="74"/>
        <v>26534</v>
      </c>
      <c r="DX111" s="2">
        <f t="shared" si="75"/>
        <v>1979140</v>
      </c>
      <c r="DY111" s="2"/>
      <c r="DZ111" s="2">
        <f t="shared" si="70"/>
        <v>860337</v>
      </c>
      <c r="EA111" s="2">
        <f t="shared" si="57"/>
        <v>91481</v>
      </c>
      <c r="EB111" s="2"/>
      <c r="EC111" s="2">
        <f t="shared" si="71"/>
        <v>2175109</v>
      </c>
      <c r="EH111" s="2"/>
    </row>
    <row r="112" spans="1:138" ht="14.4" x14ac:dyDescent="0.3">
      <c r="A112" s="54">
        <v>45108</v>
      </c>
      <c r="B112" s="53">
        <v>0</v>
      </c>
      <c r="C112" s="53">
        <v>0</v>
      </c>
      <c r="D112" s="53">
        <v>0</v>
      </c>
      <c r="E112" s="53">
        <v>0</v>
      </c>
      <c r="F112" s="53">
        <v>3970</v>
      </c>
      <c r="G112" s="53">
        <v>15314</v>
      </c>
      <c r="H112" s="53">
        <v>52573</v>
      </c>
      <c r="I112" s="53">
        <v>2975</v>
      </c>
      <c r="J112" s="53">
        <v>8727</v>
      </c>
      <c r="K112" s="53">
        <v>2314</v>
      </c>
      <c r="L112" s="53">
        <v>34715</v>
      </c>
      <c r="M112" s="53">
        <v>1056</v>
      </c>
      <c r="N112" s="53">
        <v>1427</v>
      </c>
      <c r="O112" s="53">
        <v>1587</v>
      </c>
      <c r="P112" s="53">
        <v>11285</v>
      </c>
      <c r="Q112" s="53">
        <v>293</v>
      </c>
      <c r="R112" s="53">
        <v>4616</v>
      </c>
      <c r="S112" s="53">
        <v>15150</v>
      </c>
      <c r="T112" s="53">
        <v>123</v>
      </c>
      <c r="U112" s="53">
        <v>4103</v>
      </c>
      <c r="V112" s="53">
        <v>96</v>
      </c>
      <c r="W112" s="53">
        <v>28984</v>
      </c>
      <c r="X112" s="53">
        <v>571</v>
      </c>
      <c r="Y112">
        <v>3</v>
      </c>
      <c r="Z112">
        <v>0</v>
      </c>
      <c r="AA112" s="53">
        <v>2</v>
      </c>
      <c r="AB112" s="53">
        <v>126</v>
      </c>
      <c r="AC112" s="53">
        <v>24</v>
      </c>
      <c r="AD112" s="53">
        <v>26</v>
      </c>
      <c r="AE112" s="53">
        <v>16</v>
      </c>
      <c r="AF112" s="53">
        <v>57</v>
      </c>
      <c r="AG112" s="53">
        <v>214</v>
      </c>
      <c r="AH112" s="53">
        <v>2481</v>
      </c>
      <c r="AI112" s="53">
        <v>4</v>
      </c>
      <c r="AJ112" s="53">
        <v>14184</v>
      </c>
      <c r="AK112" s="53">
        <v>111628</v>
      </c>
      <c r="AL112" s="53">
        <v>1390</v>
      </c>
      <c r="AM112" s="53">
        <v>21703</v>
      </c>
      <c r="AN112" s="53">
        <v>11</v>
      </c>
      <c r="AO112" s="53">
        <v>4</v>
      </c>
      <c r="AP112" s="53">
        <v>12059</v>
      </c>
      <c r="AQ112" s="53">
        <v>0</v>
      </c>
      <c r="AR112" s="53">
        <v>312</v>
      </c>
      <c r="AS112" s="53">
        <v>55</v>
      </c>
      <c r="AT112" s="53">
        <v>12102</v>
      </c>
      <c r="AU112" s="53">
        <v>2393</v>
      </c>
      <c r="AV112" s="53">
        <v>3310</v>
      </c>
      <c r="AW112" s="53">
        <v>13829</v>
      </c>
      <c r="AX112" s="53">
        <v>3</v>
      </c>
      <c r="AY112" s="53">
        <v>0</v>
      </c>
      <c r="AZ112" s="53">
        <v>841</v>
      </c>
      <c r="BA112" s="53">
        <v>0</v>
      </c>
      <c r="BB112" s="53">
        <v>237</v>
      </c>
      <c r="BC112" s="53">
        <v>2169</v>
      </c>
      <c r="BD112" s="53">
        <v>0</v>
      </c>
      <c r="BE112" s="53">
        <v>0</v>
      </c>
      <c r="BF112" s="53">
        <v>9936</v>
      </c>
      <c r="BG112" s="53">
        <v>0</v>
      </c>
      <c r="BH112" s="53">
        <v>0</v>
      </c>
      <c r="BI112" s="53">
        <v>0</v>
      </c>
      <c r="BJ112" s="53">
        <v>7</v>
      </c>
      <c r="BK112" s="53">
        <v>6278</v>
      </c>
      <c r="BL112" s="53">
        <v>0</v>
      </c>
      <c r="BM112" s="53">
        <v>16</v>
      </c>
      <c r="BN112" s="53">
        <v>0</v>
      </c>
      <c r="BO112" s="53">
        <v>52072</v>
      </c>
      <c r="BP112" s="53">
        <v>107718</v>
      </c>
      <c r="BQ112" s="53">
        <v>1507</v>
      </c>
      <c r="BR112" s="53">
        <v>39</v>
      </c>
      <c r="BS112" s="53">
        <v>46918</v>
      </c>
      <c r="BT112" s="53">
        <v>1359</v>
      </c>
      <c r="BU112" s="53">
        <v>0</v>
      </c>
      <c r="BV112" s="53">
        <v>0</v>
      </c>
      <c r="BW112" s="53">
        <v>2</v>
      </c>
      <c r="BX112" s="53">
        <v>0</v>
      </c>
      <c r="BY112" s="53">
        <v>400</v>
      </c>
      <c r="BZ112" s="53">
        <v>0</v>
      </c>
      <c r="CA112" s="53">
        <v>29927</v>
      </c>
      <c r="CB112" s="53">
        <v>29124</v>
      </c>
      <c r="CC112" s="53">
        <v>139983</v>
      </c>
      <c r="CD112" s="53">
        <v>410676</v>
      </c>
      <c r="CE112" s="53">
        <v>66603</v>
      </c>
      <c r="CF112" s="53">
        <v>102046</v>
      </c>
      <c r="CG112" s="53">
        <v>0</v>
      </c>
      <c r="CH112" s="53">
        <v>83</v>
      </c>
      <c r="CI112" s="53">
        <v>1</v>
      </c>
      <c r="CJ112" s="53">
        <v>90</v>
      </c>
      <c r="CK112" s="53">
        <v>89373</v>
      </c>
      <c r="CL112" s="53">
        <v>74303</v>
      </c>
      <c r="CM112" s="53">
        <v>451783</v>
      </c>
      <c r="CN112" s="53">
        <v>94782</v>
      </c>
      <c r="CO112" s="53">
        <v>46</v>
      </c>
      <c r="CP112" s="53">
        <v>14927</v>
      </c>
      <c r="CQ112" s="53">
        <v>1734</v>
      </c>
      <c r="CR112" s="53">
        <v>29</v>
      </c>
      <c r="CS112" s="53">
        <v>3778</v>
      </c>
      <c r="CT112" s="53">
        <v>244</v>
      </c>
      <c r="CU112" s="53">
        <v>12444</v>
      </c>
      <c r="CV112" s="53">
        <v>0</v>
      </c>
      <c r="CW112" s="53">
        <v>9011</v>
      </c>
      <c r="CX112" s="53">
        <v>3424</v>
      </c>
      <c r="CY112" s="53">
        <v>0</v>
      </c>
      <c r="CZ112" s="53">
        <v>0</v>
      </c>
      <c r="DA112" s="53">
        <v>0</v>
      </c>
      <c r="DB112" s="53">
        <v>7</v>
      </c>
      <c r="DC112" s="53">
        <v>0</v>
      </c>
      <c r="DD112" s="53">
        <v>18</v>
      </c>
      <c r="DE112" s="2"/>
      <c r="DF112" s="2"/>
      <c r="DG112" s="2">
        <f t="shared" si="56"/>
        <v>1757050</v>
      </c>
      <c r="DH112" s="2">
        <f t="shared" si="60"/>
        <v>301351</v>
      </c>
      <c r="DI112" s="2">
        <f t="shared" si="76"/>
        <v>2058401</v>
      </c>
      <c r="DJ112" s="2"/>
      <c r="DK112" s="2">
        <f t="shared" si="61"/>
        <v>86858</v>
      </c>
      <c r="DL112" s="2">
        <f t="shared" si="62"/>
        <v>149930</v>
      </c>
      <c r="DM112" s="2">
        <f t="shared" si="63"/>
        <v>15150</v>
      </c>
      <c r="DN112" s="2">
        <f t="shared" si="64"/>
        <v>47652</v>
      </c>
      <c r="DO112" s="2">
        <f t="shared" si="65"/>
        <v>650595</v>
      </c>
      <c r="DP112" s="2">
        <f t="shared" si="73"/>
        <v>156821</v>
      </c>
      <c r="DQ112" s="2">
        <f t="shared" si="66"/>
        <v>14198</v>
      </c>
      <c r="DR112" s="2">
        <f t="shared" si="67"/>
        <v>29207</v>
      </c>
      <c r="DS112" s="2">
        <f t="shared" si="68"/>
        <v>52072</v>
      </c>
      <c r="DT112" s="2">
        <f t="shared" si="69"/>
        <v>16216</v>
      </c>
      <c r="DU112" s="2">
        <f t="shared" si="58"/>
        <v>163676</v>
      </c>
      <c r="DV112" s="2">
        <f t="shared" si="59"/>
        <v>546611</v>
      </c>
      <c r="DW112" s="2">
        <f t="shared" si="74"/>
        <v>27371</v>
      </c>
      <c r="DX112" s="2">
        <f t="shared" si="75"/>
        <v>1956357</v>
      </c>
      <c r="DY112" s="2"/>
      <c r="DZ112" s="2">
        <f t="shared" si="70"/>
        <v>848446</v>
      </c>
      <c r="EA112" s="2">
        <f t="shared" si="57"/>
        <v>91322</v>
      </c>
      <c r="EB112" s="2"/>
      <c r="EC112" s="2">
        <f t="shared" si="71"/>
        <v>2149723</v>
      </c>
      <c r="EH112" s="2"/>
    </row>
    <row r="113" spans="1:138" ht="14.4" x14ac:dyDescent="0.3">
      <c r="A113" s="56">
        <v>45139</v>
      </c>
      <c r="B113" s="55">
        <v>0</v>
      </c>
      <c r="C113" s="55">
        <v>0</v>
      </c>
      <c r="D113" s="55">
        <v>0</v>
      </c>
      <c r="E113" s="55">
        <v>0</v>
      </c>
      <c r="F113" s="55">
        <v>3932</v>
      </c>
      <c r="G113" s="55">
        <v>15575</v>
      </c>
      <c r="H113" s="55">
        <v>52179</v>
      </c>
      <c r="I113" s="55">
        <v>2973</v>
      </c>
      <c r="J113" s="55">
        <v>8755</v>
      </c>
      <c r="K113" s="55">
        <v>2231</v>
      </c>
      <c r="L113" s="55">
        <v>34793</v>
      </c>
      <c r="M113" s="55">
        <v>1072</v>
      </c>
      <c r="N113" s="55">
        <v>1332</v>
      </c>
      <c r="O113" s="55">
        <v>1558</v>
      </c>
      <c r="P113" s="55">
        <v>11167</v>
      </c>
      <c r="Q113" s="55">
        <v>289</v>
      </c>
      <c r="R113" s="55">
        <v>4569</v>
      </c>
      <c r="S113" s="55">
        <v>14948</v>
      </c>
      <c r="T113" s="55">
        <v>114</v>
      </c>
      <c r="U113" s="55">
        <v>4060</v>
      </c>
      <c r="V113" s="55">
        <v>90</v>
      </c>
      <c r="W113" s="55">
        <v>28366</v>
      </c>
      <c r="X113" s="55">
        <v>563</v>
      </c>
      <c r="Y113">
        <v>3</v>
      </c>
      <c r="Z113">
        <v>0</v>
      </c>
      <c r="AA113" s="55">
        <v>1</v>
      </c>
      <c r="AB113" s="55">
        <v>118</v>
      </c>
      <c r="AC113" s="55">
        <v>24</v>
      </c>
      <c r="AD113" s="55">
        <v>25</v>
      </c>
      <c r="AE113" s="55">
        <v>14</v>
      </c>
      <c r="AF113" s="55">
        <v>55</v>
      </c>
      <c r="AG113" s="55">
        <v>208</v>
      </c>
      <c r="AH113" s="55">
        <v>2428</v>
      </c>
      <c r="AI113" s="55">
        <v>4</v>
      </c>
      <c r="AJ113" s="55">
        <v>13527</v>
      </c>
      <c r="AK113" s="55">
        <v>110685</v>
      </c>
      <c r="AL113" s="55">
        <v>1386</v>
      </c>
      <c r="AM113" s="55">
        <v>21301</v>
      </c>
      <c r="AN113" s="55">
        <v>10</v>
      </c>
      <c r="AO113" s="55">
        <v>5</v>
      </c>
      <c r="AP113" s="55">
        <v>11610</v>
      </c>
      <c r="AQ113" s="55">
        <v>0</v>
      </c>
      <c r="AR113" s="55">
        <v>299</v>
      </c>
      <c r="AS113" s="55">
        <v>55</v>
      </c>
      <c r="AT113" s="55">
        <v>11969</v>
      </c>
      <c r="AU113" s="55">
        <v>2328</v>
      </c>
      <c r="AV113" s="55">
        <v>3219</v>
      </c>
      <c r="AW113" s="55">
        <v>13261</v>
      </c>
      <c r="AX113" s="55">
        <v>0</v>
      </c>
      <c r="AY113" s="55">
        <v>0</v>
      </c>
      <c r="AZ113" s="55">
        <v>811</v>
      </c>
      <c r="BA113" s="55">
        <v>0</v>
      </c>
      <c r="BB113" s="55">
        <v>219</v>
      </c>
      <c r="BC113" s="55">
        <v>2297</v>
      </c>
      <c r="BD113" s="55">
        <v>0</v>
      </c>
      <c r="BE113" s="55">
        <v>0</v>
      </c>
      <c r="BF113" s="55">
        <v>9885</v>
      </c>
      <c r="BG113" s="55">
        <v>0</v>
      </c>
      <c r="BH113" s="55">
        <v>0</v>
      </c>
      <c r="BI113" s="55">
        <v>0</v>
      </c>
      <c r="BJ113" s="55">
        <v>7</v>
      </c>
      <c r="BK113" s="55">
        <v>6138</v>
      </c>
      <c r="BL113" s="55">
        <v>0</v>
      </c>
      <c r="BM113" s="55">
        <v>17</v>
      </c>
      <c r="BN113" s="55">
        <v>0</v>
      </c>
      <c r="BO113" s="55">
        <v>51892</v>
      </c>
      <c r="BP113" s="55">
        <v>106748</v>
      </c>
      <c r="BQ113" s="55">
        <v>1664</v>
      </c>
      <c r="BR113" s="55">
        <v>39</v>
      </c>
      <c r="BS113" s="55">
        <v>46223</v>
      </c>
      <c r="BT113" s="55">
        <v>1505</v>
      </c>
      <c r="BU113" s="55">
        <v>0</v>
      </c>
      <c r="BV113" s="55">
        <v>0</v>
      </c>
      <c r="BW113" s="55">
        <v>2</v>
      </c>
      <c r="BX113" s="55">
        <v>0</v>
      </c>
      <c r="BY113" s="55">
        <v>375</v>
      </c>
      <c r="BZ113" s="55">
        <v>0</v>
      </c>
      <c r="CA113" s="55">
        <v>29520</v>
      </c>
      <c r="CB113" s="55">
        <v>28900</v>
      </c>
      <c r="CC113" s="55">
        <v>138656</v>
      </c>
      <c r="CD113" s="55">
        <v>405659</v>
      </c>
      <c r="CE113" s="55">
        <v>63758</v>
      </c>
      <c r="CF113" s="55">
        <v>99674</v>
      </c>
      <c r="CG113" s="55">
        <v>0</v>
      </c>
      <c r="CH113" s="55">
        <v>84</v>
      </c>
      <c r="CI113" s="55">
        <v>0</v>
      </c>
      <c r="CJ113" s="55">
        <v>86</v>
      </c>
      <c r="CK113" s="55">
        <v>87613</v>
      </c>
      <c r="CL113" s="55">
        <v>72551</v>
      </c>
      <c r="CM113" s="55">
        <v>448184</v>
      </c>
      <c r="CN113" s="55">
        <v>93152</v>
      </c>
      <c r="CO113" s="55">
        <v>43</v>
      </c>
      <c r="CP113" s="55">
        <v>14999</v>
      </c>
      <c r="CQ113" s="55">
        <v>1734</v>
      </c>
      <c r="CR113" s="55">
        <v>27</v>
      </c>
      <c r="CS113" s="55">
        <v>3780</v>
      </c>
      <c r="CT113" s="55">
        <v>229</v>
      </c>
      <c r="CU113" s="55">
        <v>13225</v>
      </c>
      <c r="CV113" s="55">
        <v>0</v>
      </c>
      <c r="CW113" s="55">
        <v>9369</v>
      </c>
      <c r="CX113" s="55">
        <v>3644</v>
      </c>
      <c r="CY113" s="55">
        <v>0</v>
      </c>
      <c r="CZ113" s="55">
        <v>0</v>
      </c>
      <c r="DA113" s="55">
        <v>0</v>
      </c>
      <c r="DB113" s="55">
        <v>7</v>
      </c>
      <c r="DC113" s="55">
        <v>0</v>
      </c>
      <c r="DD113" s="55">
        <v>18</v>
      </c>
      <c r="DE113" s="2"/>
      <c r="DF113" s="2"/>
      <c r="DG113" s="2">
        <f t="shared" si="56"/>
        <v>1735909</v>
      </c>
      <c r="DH113" s="2">
        <f t="shared" si="60"/>
        <v>296917</v>
      </c>
      <c r="DI113" s="2">
        <f t="shared" si="76"/>
        <v>2032826</v>
      </c>
      <c r="DJ113" s="2"/>
      <c r="DK113" s="2">
        <f t="shared" si="61"/>
        <v>86078</v>
      </c>
      <c r="DL113" s="2">
        <f t="shared" si="62"/>
        <v>147896</v>
      </c>
      <c r="DM113" s="2">
        <f t="shared" si="63"/>
        <v>14948</v>
      </c>
      <c r="DN113" s="2">
        <f t="shared" si="64"/>
        <v>46232</v>
      </c>
      <c r="DO113" s="2">
        <f t="shared" si="65"/>
        <v>641269</v>
      </c>
      <c r="DP113" s="2">
        <f t="shared" si="73"/>
        <v>155285</v>
      </c>
      <c r="DQ113" s="2">
        <f t="shared" si="66"/>
        <v>14774</v>
      </c>
      <c r="DR113" s="2">
        <f t="shared" si="67"/>
        <v>28984</v>
      </c>
      <c r="DS113" s="2">
        <f t="shared" si="68"/>
        <v>51892</v>
      </c>
      <c r="DT113" s="2">
        <f t="shared" si="69"/>
        <v>16025</v>
      </c>
      <c r="DU113" s="2">
        <f t="shared" si="58"/>
        <v>160164</v>
      </c>
      <c r="DV113" s="2">
        <f t="shared" si="59"/>
        <v>541379</v>
      </c>
      <c r="DW113" s="2">
        <f t="shared" si="74"/>
        <v>28224</v>
      </c>
      <c r="DX113" s="2">
        <f t="shared" si="75"/>
        <v>1933150</v>
      </c>
      <c r="DY113" s="2"/>
      <c r="DZ113" s="2">
        <f t="shared" si="70"/>
        <v>836450</v>
      </c>
      <c r="EA113" s="2">
        <f t="shared" si="57"/>
        <v>90986</v>
      </c>
      <c r="EB113" s="2"/>
      <c r="EC113" s="2">
        <f t="shared" si="71"/>
        <v>2123812</v>
      </c>
      <c r="EH113" s="2"/>
    </row>
    <row r="114" spans="1:138" ht="14.4" x14ac:dyDescent="0.3">
      <c r="A114" s="58">
        <v>45170</v>
      </c>
      <c r="B114" s="57">
        <v>0</v>
      </c>
      <c r="C114" s="57">
        <v>0</v>
      </c>
      <c r="D114" s="57">
        <v>0</v>
      </c>
      <c r="E114" s="57">
        <v>0</v>
      </c>
      <c r="F114" s="57">
        <v>3928</v>
      </c>
      <c r="G114" s="57">
        <v>16039</v>
      </c>
      <c r="H114" s="57">
        <v>51878</v>
      </c>
      <c r="I114" s="57">
        <v>3042</v>
      </c>
      <c r="J114" s="57">
        <v>8910</v>
      </c>
      <c r="K114" s="57">
        <v>2153</v>
      </c>
      <c r="L114" s="57">
        <v>34993</v>
      </c>
      <c r="M114" s="57">
        <v>1052</v>
      </c>
      <c r="N114" s="57">
        <v>1228</v>
      </c>
      <c r="O114" s="57">
        <v>1570</v>
      </c>
      <c r="P114" s="57">
        <v>11269</v>
      </c>
      <c r="Q114" s="57">
        <v>307</v>
      </c>
      <c r="R114" s="57">
        <v>4610</v>
      </c>
      <c r="S114" s="57">
        <v>15099</v>
      </c>
      <c r="T114" s="57">
        <v>105</v>
      </c>
      <c r="U114" s="57">
        <v>4093</v>
      </c>
      <c r="V114" s="57">
        <v>84</v>
      </c>
      <c r="W114" s="57">
        <v>27960</v>
      </c>
      <c r="X114" s="57">
        <v>555</v>
      </c>
      <c r="Y114">
        <v>3</v>
      </c>
      <c r="Z114">
        <v>0</v>
      </c>
      <c r="AA114" s="57">
        <v>2</v>
      </c>
      <c r="AB114" s="57">
        <v>107</v>
      </c>
      <c r="AC114" s="57">
        <v>24</v>
      </c>
      <c r="AD114" s="57">
        <v>24</v>
      </c>
      <c r="AE114" s="57">
        <v>14</v>
      </c>
      <c r="AF114" s="57">
        <v>54</v>
      </c>
      <c r="AG114" s="57">
        <v>180</v>
      </c>
      <c r="AH114" s="57">
        <v>2428</v>
      </c>
      <c r="AI114" s="57">
        <v>4</v>
      </c>
      <c r="AJ114" s="57">
        <v>12959</v>
      </c>
      <c r="AK114" s="57">
        <v>109794</v>
      </c>
      <c r="AL114" s="57">
        <v>1378</v>
      </c>
      <c r="AM114" s="57">
        <v>21507</v>
      </c>
      <c r="AN114" s="57">
        <v>10</v>
      </c>
      <c r="AO114" s="57">
        <v>5</v>
      </c>
      <c r="AP114" s="57">
        <v>11638</v>
      </c>
      <c r="AQ114" s="57">
        <v>0</v>
      </c>
      <c r="AR114" s="57">
        <v>291</v>
      </c>
      <c r="AS114" s="57">
        <v>53</v>
      </c>
      <c r="AT114" s="57">
        <v>11924</v>
      </c>
      <c r="AU114" s="57">
        <v>2322</v>
      </c>
      <c r="AV114" s="57">
        <v>3164</v>
      </c>
      <c r="AW114" s="57">
        <v>13283</v>
      </c>
      <c r="AX114" s="57">
        <v>3</v>
      </c>
      <c r="AY114" s="57">
        <v>0</v>
      </c>
      <c r="AZ114" s="57">
        <v>779</v>
      </c>
      <c r="BA114" s="57">
        <v>0</v>
      </c>
      <c r="BB114" s="57">
        <v>199</v>
      </c>
      <c r="BC114" s="57">
        <v>2340</v>
      </c>
      <c r="BD114" s="57">
        <v>0</v>
      </c>
      <c r="BE114" s="57">
        <v>0</v>
      </c>
      <c r="BF114" s="57">
        <v>9822</v>
      </c>
      <c r="BG114" s="57">
        <v>0</v>
      </c>
      <c r="BH114" s="57">
        <v>0</v>
      </c>
      <c r="BI114" s="57">
        <v>0</v>
      </c>
      <c r="BJ114" s="57">
        <v>7</v>
      </c>
      <c r="BK114" s="57">
        <v>6026</v>
      </c>
      <c r="BL114" s="57">
        <v>0</v>
      </c>
      <c r="BM114" s="57">
        <v>23</v>
      </c>
      <c r="BN114" s="57">
        <v>0</v>
      </c>
      <c r="BO114" s="57">
        <v>52078</v>
      </c>
      <c r="BP114" s="57">
        <v>105642</v>
      </c>
      <c r="BQ114" s="57">
        <v>1863</v>
      </c>
      <c r="BR114" s="57">
        <v>39</v>
      </c>
      <c r="BS114" s="57">
        <v>45221</v>
      </c>
      <c r="BT114" s="57">
        <v>1741</v>
      </c>
      <c r="BU114" s="57">
        <v>1</v>
      </c>
      <c r="BV114" s="57">
        <v>0</v>
      </c>
      <c r="BW114" s="57">
        <v>2</v>
      </c>
      <c r="BX114" s="57">
        <v>0</v>
      </c>
      <c r="BY114" s="57">
        <v>350</v>
      </c>
      <c r="BZ114" s="57">
        <v>0</v>
      </c>
      <c r="CA114" s="57">
        <v>29396</v>
      </c>
      <c r="CB114" s="57">
        <v>28802</v>
      </c>
      <c r="CC114" s="57">
        <v>137019</v>
      </c>
      <c r="CD114" s="57">
        <v>398327</v>
      </c>
      <c r="CE114" s="57">
        <v>60721</v>
      </c>
      <c r="CF114" s="57">
        <v>97114</v>
      </c>
      <c r="CG114" s="57">
        <v>0</v>
      </c>
      <c r="CH114" s="57">
        <v>88</v>
      </c>
      <c r="CI114" s="57">
        <v>0</v>
      </c>
      <c r="CJ114" s="57">
        <v>71</v>
      </c>
      <c r="CK114" s="57">
        <v>85426</v>
      </c>
      <c r="CL114" s="57">
        <v>70530</v>
      </c>
      <c r="CM114" s="57">
        <v>444203</v>
      </c>
      <c r="CN114" s="57">
        <v>91298</v>
      </c>
      <c r="CO114" s="57">
        <v>42</v>
      </c>
      <c r="CP114" s="57">
        <v>14855</v>
      </c>
      <c r="CQ114" s="57">
        <v>1748</v>
      </c>
      <c r="CR114" s="57">
        <v>29</v>
      </c>
      <c r="CS114" s="57">
        <v>3829</v>
      </c>
      <c r="CT114" s="57">
        <v>226</v>
      </c>
      <c r="CU114" s="57">
        <v>14044</v>
      </c>
      <c r="CV114" s="57">
        <v>1</v>
      </c>
      <c r="CW114" s="57">
        <v>9907</v>
      </c>
      <c r="CX114" s="57">
        <v>3918</v>
      </c>
      <c r="CY114" s="57">
        <v>0</v>
      </c>
      <c r="CZ114" s="57">
        <v>0</v>
      </c>
      <c r="DA114" s="57">
        <v>0</v>
      </c>
      <c r="DB114" s="57">
        <v>7</v>
      </c>
      <c r="DC114" s="57">
        <v>0</v>
      </c>
      <c r="DD114" s="57">
        <v>18</v>
      </c>
      <c r="DE114" s="2"/>
      <c r="DF114" s="2"/>
      <c r="DG114" s="2">
        <f t="shared" si="56"/>
        <v>1710920</v>
      </c>
      <c r="DH114" s="2">
        <f t="shared" si="60"/>
        <v>295631</v>
      </c>
      <c r="DI114" s="2">
        <f t="shared" si="76"/>
        <v>2006551</v>
      </c>
      <c r="DJ114" s="2"/>
      <c r="DK114" s="2">
        <f t="shared" si="61"/>
        <v>86043</v>
      </c>
      <c r="DL114" s="2">
        <f t="shared" si="62"/>
        <v>146214</v>
      </c>
      <c r="DM114" s="2">
        <f t="shared" si="63"/>
        <v>15099</v>
      </c>
      <c r="DN114" s="2">
        <f t="shared" si="64"/>
        <v>46487</v>
      </c>
      <c r="DO114" s="2">
        <f t="shared" si="65"/>
        <v>629537</v>
      </c>
      <c r="DP114" s="2">
        <f t="shared" si="73"/>
        <v>153226</v>
      </c>
      <c r="DQ114" s="2">
        <f t="shared" si="66"/>
        <v>15602</v>
      </c>
      <c r="DR114" s="2">
        <f t="shared" si="67"/>
        <v>28890</v>
      </c>
      <c r="DS114" s="2">
        <f t="shared" si="68"/>
        <v>52079</v>
      </c>
      <c r="DT114" s="2">
        <f t="shared" si="69"/>
        <v>15850</v>
      </c>
      <c r="DU114" s="2">
        <f t="shared" si="58"/>
        <v>155956</v>
      </c>
      <c r="DV114" s="2">
        <f t="shared" si="59"/>
        <v>535543</v>
      </c>
      <c r="DW114" s="2">
        <f t="shared" si="74"/>
        <v>28900</v>
      </c>
      <c r="DX114" s="2">
        <f t="shared" si="75"/>
        <v>1909426</v>
      </c>
      <c r="DY114" s="2"/>
      <c r="DZ114" s="2">
        <f t="shared" si="70"/>
        <v>822370</v>
      </c>
      <c r="EA114" s="2">
        <f t="shared" si="57"/>
        <v>91233</v>
      </c>
      <c r="EB114" s="2"/>
      <c r="EC114" s="2">
        <f t="shared" si="71"/>
        <v>2097784</v>
      </c>
      <c r="EH114" s="2"/>
    </row>
    <row r="115" spans="1:138" ht="15" customHeight="1" x14ac:dyDescent="0.3">
      <c r="A115" s="60">
        <v>45200</v>
      </c>
      <c r="B115" s="59">
        <v>0</v>
      </c>
      <c r="C115" s="59">
        <v>0</v>
      </c>
      <c r="D115" s="59">
        <v>0</v>
      </c>
      <c r="E115" s="59">
        <v>0</v>
      </c>
      <c r="F115" s="59">
        <v>4003</v>
      </c>
      <c r="G115" s="59">
        <v>17047</v>
      </c>
      <c r="H115" s="59">
        <v>55378</v>
      </c>
      <c r="I115" s="59">
        <v>3173</v>
      </c>
      <c r="J115" s="59">
        <v>9391</v>
      </c>
      <c r="K115" s="59">
        <v>2242</v>
      </c>
      <c r="L115" s="59">
        <v>35224</v>
      </c>
      <c r="M115" s="59">
        <v>1051</v>
      </c>
      <c r="N115" s="59">
        <v>1225</v>
      </c>
      <c r="O115" s="59">
        <v>1599</v>
      </c>
      <c r="P115" s="59">
        <v>11353</v>
      </c>
      <c r="Q115" s="59">
        <v>315</v>
      </c>
      <c r="R115" s="59">
        <v>4697</v>
      </c>
      <c r="S115" s="59">
        <v>15419</v>
      </c>
      <c r="T115" s="59">
        <v>98</v>
      </c>
      <c r="U115" s="59">
        <v>4172</v>
      </c>
      <c r="V115" s="59">
        <v>77</v>
      </c>
      <c r="W115" s="59">
        <v>28128</v>
      </c>
      <c r="X115" s="59">
        <v>553</v>
      </c>
      <c r="Y115">
        <v>3</v>
      </c>
      <c r="Z115">
        <v>0</v>
      </c>
      <c r="AA115" s="59">
        <v>2</v>
      </c>
      <c r="AB115" s="59">
        <v>103</v>
      </c>
      <c r="AC115" s="59">
        <v>25</v>
      </c>
      <c r="AD115" s="59">
        <v>23</v>
      </c>
      <c r="AE115" s="59">
        <v>15</v>
      </c>
      <c r="AF115" s="59">
        <v>54</v>
      </c>
      <c r="AG115" s="59">
        <v>162</v>
      </c>
      <c r="AH115" s="59">
        <v>2455</v>
      </c>
      <c r="AI115" s="59">
        <v>4</v>
      </c>
      <c r="AJ115" s="59">
        <v>12821</v>
      </c>
      <c r="AK115" s="59">
        <v>109426</v>
      </c>
      <c r="AL115" s="59">
        <v>1383</v>
      </c>
      <c r="AM115" s="59">
        <v>21814</v>
      </c>
      <c r="AN115" s="59">
        <v>11</v>
      </c>
      <c r="AO115" s="59">
        <v>4</v>
      </c>
      <c r="AP115" s="59">
        <v>11858</v>
      </c>
      <c r="AQ115" s="59">
        <v>0</v>
      </c>
      <c r="AR115" s="59">
        <v>283</v>
      </c>
      <c r="AS115" s="59">
        <v>52</v>
      </c>
      <c r="AT115" s="59">
        <v>12046</v>
      </c>
      <c r="AU115" s="59">
        <v>2346</v>
      </c>
      <c r="AV115" s="59">
        <v>3205</v>
      </c>
      <c r="AW115" s="59">
        <v>13397</v>
      </c>
      <c r="AX115" s="59">
        <v>3</v>
      </c>
      <c r="AY115" s="59">
        <v>2</v>
      </c>
      <c r="AZ115" s="59">
        <v>782</v>
      </c>
      <c r="BA115" s="59">
        <v>0</v>
      </c>
      <c r="BB115" s="59">
        <v>179</v>
      </c>
      <c r="BC115" s="59">
        <v>2365</v>
      </c>
      <c r="BD115" s="59">
        <v>0</v>
      </c>
      <c r="BE115" s="59">
        <v>0</v>
      </c>
      <c r="BF115" s="59">
        <v>9785</v>
      </c>
      <c r="BG115" s="59">
        <v>0</v>
      </c>
      <c r="BH115" s="59">
        <v>0</v>
      </c>
      <c r="BI115" s="59">
        <v>0</v>
      </c>
      <c r="BJ115" s="59">
        <v>8</v>
      </c>
      <c r="BK115" s="59">
        <v>5973</v>
      </c>
      <c r="BL115" s="59">
        <v>0</v>
      </c>
      <c r="BM115" s="59">
        <v>27</v>
      </c>
      <c r="BN115" s="59">
        <v>0</v>
      </c>
      <c r="BO115" s="59">
        <v>53291</v>
      </c>
      <c r="BP115" s="59">
        <v>106984</v>
      </c>
      <c r="BQ115" s="59">
        <v>2206</v>
      </c>
      <c r="BR115" s="59">
        <v>36</v>
      </c>
      <c r="BS115" s="59">
        <v>46013</v>
      </c>
      <c r="BT115" s="59">
        <v>2017</v>
      </c>
      <c r="BU115" s="59">
        <v>1</v>
      </c>
      <c r="BV115" s="59">
        <v>0</v>
      </c>
      <c r="BW115" s="59">
        <v>1</v>
      </c>
      <c r="BX115" s="59">
        <v>0</v>
      </c>
      <c r="BY115" s="59">
        <v>359</v>
      </c>
      <c r="BZ115" s="59">
        <v>0</v>
      </c>
      <c r="CA115" s="59">
        <v>30169</v>
      </c>
      <c r="CB115" s="59">
        <v>29823</v>
      </c>
      <c r="CC115" s="59">
        <v>138906</v>
      </c>
      <c r="CD115" s="59">
        <v>404870</v>
      </c>
      <c r="CE115" s="59">
        <v>61658</v>
      </c>
      <c r="CF115" s="59">
        <v>100486</v>
      </c>
      <c r="CG115" s="59">
        <v>0</v>
      </c>
      <c r="CH115" s="59">
        <v>102</v>
      </c>
      <c r="CI115" s="59">
        <v>0</v>
      </c>
      <c r="CJ115" s="59">
        <v>71</v>
      </c>
      <c r="CK115" s="59">
        <v>86866</v>
      </c>
      <c r="CL115" s="59">
        <v>71761</v>
      </c>
      <c r="CM115" s="59">
        <v>455177</v>
      </c>
      <c r="CN115" s="59">
        <v>93289</v>
      </c>
      <c r="CO115" s="59">
        <v>40</v>
      </c>
      <c r="CP115" s="59">
        <v>14915</v>
      </c>
      <c r="CQ115" s="59">
        <v>1755</v>
      </c>
      <c r="CR115" s="59">
        <v>40</v>
      </c>
      <c r="CS115" s="59">
        <v>3787</v>
      </c>
      <c r="CT115" s="59">
        <v>233</v>
      </c>
      <c r="CU115" s="59">
        <v>14919</v>
      </c>
      <c r="CV115" s="59">
        <v>0</v>
      </c>
      <c r="CW115" s="59">
        <v>10525</v>
      </c>
      <c r="CX115" s="59">
        <v>4200</v>
      </c>
      <c r="CY115" s="59">
        <v>0</v>
      </c>
      <c r="CZ115" s="59">
        <v>0</v>
      </c>
      <c r="DA115" s="59">
        <v>0</v>
      </c>
      <c r="DB115" s="59">
        <v>7</v>
      </c>
      <c r="DC115" s="59">
        <v>0</v>
      </c>
      <c r="DD115" s="59">
        <v>18</v>
      </c>
      <c r="DE115" s="2"/>
      <c r="DF115" s="2"/>
      <c r="DG115" s="2">
        <f t="shared" si="56"/>
        <v>1746848</v>
      </c>
      <c r="DH115" s="2">
        <f t="shared" si="60"/>
        <v>296932</v>
      </c>
      <c r="DI115" s="2">
        <f t="shared" si="76"/>
        <v>2043780</v>
      </c>
      <c r="DJ115" s="2"/>
      <c r="DK115" s="2">
        <f t="shared" si="61"/>
        <v>86714</v>
      </c>
      <c r="DL115" s="2">
        <f t="shared" si="62"/>
        <v>145879</v>
      </c>
      <c r="DM115" s="2">
        <f t="shared" si="63"/>
        <v>15419</v>
      </c>
      <c r="DN115" s="2">
        <f t="shared" si="64"/>
        <v>47127</v>
      </c>
      <c r="DO115" s="2">
        <f t="shared" si="65"/>
        <v>640303</v>
      </c>
      <c r="DP115" s="2">
        <f t="shared" si="73"/>
        <v>155391</v>
      </c>
      <c r="DQ115" s="2">
        <f t="shared" si="66"/>
        <v>16520</v>
      </c>
      <c r="DR115" s="2">
        <f t="shared" si="67"/>
        <v>29925</v>
      </c>
      <c r="DS115" s="2">
        <f t="shared" si="68"/>
        <v>53292</v>
      </c>
      <c r="DT115" s="2">
        <f t="shared" si="69"/>
        <v>15759</v>
      </c>
      <c r="DU115" s="2">
        <f t="shared" si="58"/>
        <v>158627</v>
      </c>
      <c r="DV115" s="2">
        <f t="shared" si="59"/>
        <v>548506</v>
      </c>
      <c r="DW115" s="2">
        <f t="shared" si="74"/>
        <v>29834</v>
      </c>
      <c r="DX115" s="2">
        <f t="shared" si="75"/>
        <v>1943296</v>
      </c>
      <c r="DY115" s="2"/>
      <c r="DZ115" s="2">
        <f t="shared" si="70"/>
        <v>841537</v>
      </c>
      <c r="EA115" s="2">
        <f t="shared" si="57"/>
        <v>96479</v>
      </c>
      <c r="EB115" s="2"/>
      <c r="EC115" s="2">
        <f t="shared" si="71"/>
        <v>2140259</v>
      </c>
      <c r="EH115" s="2"/>
    </row>
    <row r="116" spans="1:138" ht="15" customHeight="1" x14ac:dyDescent="0.3">
      <c r="A116" s="61">
        <v>45231</v>
      </c>
      <c r="B116" s="62">
        <v>0</v>
      </c>
      <c r="C116" s="62">
        <v>0</v>
      </c>
      <c r="D116" s="62">
        <v>0</v>
      </c>
      <c r="E116" s="62">
        <v>0</v>
      </c>
      <c r="F116" s="62">
        <v>4047</v>
      </c>
      <c r="G116" s="62">
        <v>17563</v>
      </c>
      <c r="H116" s="62">
        <v>55462</v>
      </c>
      <c r="I116" s="62">
        <v>3323</v>
      </c>
      <c r="J116" s="62">
        <v>9757</v>
      </c>
      <c r="K116" s="62">
        <v>2279</v>
      </c>
      <c r="L116" s="62">
        <v>35579</v>
      </c>
      <c r="M116" s="62">
        <v>1062</v>
      </c>
      <c r="N116" s="62">
        <v>1279</v>
      </c>
      <c r="O116" s="62">
        <v>1612</v>
      </c>
      <c r="P116" s="62">
        <v>11571</v>
      </c>
      <c r="Q116" s="62">
        <v>329</v>
      </c>
      <c r="R116" s="62">
        <v>4795</v>
      </c>
      <c r="S116" s="62">
        <v>15615</v>
      </c>
      <c r="T116" s="62">
        <v>99</v>
      </c>
      <c r="U116" s="62">
        <v>4243</v>
      </c>
      <c r="V116" s="62">
        <v>78</v>
      </c>
      <c r="W116" s="62">
        <v>28245</v>
      </c>
      <c r="X116" s="62">
        <v>553</v>
      </c>
      <c r="Y116">
        <v>4</v>
      </c>
      <c r="Z116">
        <v>2</v>
      </c>
      <c r="AA116" s="62">
        <v>1</v>
      </c>
      <c r="AB116" s="62">
        <v>101</v>
      </c>
      <c r="AC116" s="62">
        <v>25</v>
      </c>
      <c r="AD116" s="62">
        <v>23</v>
      </c>
      <c r="AE116" s="62">
        <v>14</v>
      </c>
      <c r="AF116" s="62">
        <v>54</v>
      </c>
      <c r="AG116" s="62">
        <v>152</v>
      </c>
      <c r="AH116" s="62">
        <v>2489</v>
      </c>
      <c r="AI116" s="62">
        <v>4</v>
      </c>
      <c r="AJ116" s="62">
        <v>12631</v>
      </c>
      <c r="AK116" s="62">
        <v>109029</v>
      </c>
      <c r="AL116" s="62">
        <v>1387</v>
      </c>
      <c r="AM116" s="62">
        <v>22170</v>
      </c>
      <c r="AN116" s="62">
        <v>9</v>
      </c>
      <c r="AO116" s="62">
        <v>4</v>
      </c>
      <c r="AP116" s="62">
        <v>12081</v>
      </c>
      <c r="AQ116" s="62">
        <v>0</v>
      </c>
      <c r="AR116" s="62">
        <v>282</v>
      </c>
      <c r="AS116" s="62">
        <v>53</v>
      </c>
      <c r="AT116" s="62">
        <v>12085</v>
      </c>
      <c r="AU116" s="62">
        <v>2345</v>
      </c>
      <c r="AV116" s="62">
        <v>3214</v>
      </c>
      <c r="AW116" s="62">
        <v>13465</v>
      </c>
      <c r="AX116">
        <v>4</v>
      </c>
      <c r="AY116">
        <v>2</v>
      </c>
      <c r="AZ116">
        <v>770</v>
      </c>
      <c r="BA116">
        <v>0</v>
      </c>
      <c r="BB116">
        <v>173</v>
      </c>
      <c r="BC116" s="62">
        <v>2396</v>
      </c>
      <c r="BD116" s="62">
        <v>0</v>
      </c>
      <c r="BE116" s="62">
        <v>0</v>
      </c>
      <c r="BF116" s="62">
        <v>9728</v>
      </c>
      <c r="BG116" s="62">
        <v>0</v>
      </c>
      <c r="BH116" s="62">
        <v>0</v>
      </c>
      <c r="BI116" s="62">
        <v>0</v>
      </c>
      <c r="BJ116" s="62">
        <v>8</v>
      </c>
      <c r="BK116" s="62">
        <v>5946</v>
      </c>
      <c r="BL116" s="62">
        <v>0</v>
      </c>
      <c r="BM116" s="62">
        <v>16</v>
      </c>
      <c r="BN116" s="62">
        <v>0</v>
      </c>
      <c r="BO116" s="62">
        <v>54147</v>
      </c>
      <c r="BP116" s="62">
        <v>105394</v>
      </c>
      <c r="BQ116" s="62">
        <v>2427</v>
      </c>
      <c r="BR116" s="62">
        <v>34</v>
      </c>
      <c r="BS116" s="62">
        <v>44969</v>
      </c>
      <c r="BT116" s="62">
        <v>2201</v>
      </c>
      <c r="BU116" s="62">
        <v>0</v>
      </c>
      <c r="BV116" s="62">
        <v>0</v>
      </c>
      <c r="BW116" s="62">
        <v>1</v>
      </c>
      <c r="BX116" s="62">
        <v>0</v>
      </c>
      <c r="BY116" s="62">
        <v>365</v>
      </c>
      <c r="BZ116" s="62">
        <v>0</v>
      </c>
      <c r="CA116" s="62">
        <v>29697</v>
      </c>
      <c r="CB116" s="62">
        <v>29975</v>
      </c>
      <c r="CC116" s="62">
        <v>136593</v>
      </c>
      <c r="CD116" s="62">
        <v>395326</v>
      </c>
      <c r="CE116" s="62">
        <v>61246</v>
      </c>
      <c r="CF116" s="62">
        <v>97861</v>
      </c>
      <c r="CG116" s="62">
        <v>0</v>
      </c>
      <c r="CH116" s="62">
        <v>114</v>
      </c>
      <c r="CI116" s="62">
        <v>0</v>
      </c>
      <c r="CJ116" s="62">
        <v>71</v>
      </c>
      <c r="CK116" s="62">
        <v>83963</v>
      </c>
      <c r="CL116" s="62">
        <v>69481</v>
      </c>
      <c r="CM116" s="62">
        <v>448801</v>
      </c>
      <c r="CN116" s="62">
        <v>89004</v>
      </c>
      <c r="CO116" s="62">
        <v>53</v>
      </c>
      <c r="CP116" s="62">
        <v>14940</v>
      </c>
      <c r="CQ116" s="62">
        <v>1736</v>
      </c>
      <c r="CR116" s="62">
        <v>38</v>
      </c>
      <c r="CS116" s="62">
        <v>3819</v>
      </c>
      <c r="CT116" s="62">
        <v>224</v>
      </c>
      <c r="CU116" s="62">
        <v>15838</v>
      </c>
      <c r="CV116" s="62">
        <v>0</v>
      </c>
      <c r="CW116" s="62">
        <v>11072</v>
      </c>
      <c r="CX116" s="62">
        <v>4462</v>
      </c>
      <c r="CY116" s="62">
        <v>0</v>
      </c>
      <c r="CZ116" s="62">
        <v>0</v>
      </c>
      <c r="DA116" s="62">
        <v>0</v>
      </c>
      <c r="DB116" s="62">
        <v>7</v>
      </c>
      <c r="DC116" s="62">
        <v>0</v>
      </c>
      <c r="DD116" s="62">
        <v>18</v>
      </c>
      <c r="DE116" s="2"/>
      <c r="DF116" s="2"/>
      <c r="DG116" s="2">
        <f t="shared" si="56"/>
        <v>1716135</v>
      </c>
      <c r="DH116" s="2">
        <f t="shared" si="60"/>
        <v>298131</v>
      </c>
      <c r="DI116" s="2">
        <f t="shared" si="76"/>
        <v>2014266</v>
      </c>
      <c r="DJ116" s="2"/>
      <c r="DK116" s="2">
        <f t="shared" si="61"/>
        <v>87613</v>
      </c>
      <c r="DL116" s="2">
        <f t="shared" si="62"/>
        <v>145344</v>
      </c>
      <c r="DM116" s="2">
        <f t="shared" si="63"/>
        <v>15615</v>
      </c>
      <c r="DN116" s="2">
        <f t="shared" si="64"/>
        <v>47774</v>
      </c>
      <c r="DO116" s="2">
        <f t="shared" si="65"/>
        <v>627972</v>
      </c>
      <c r="DP116" s="2">
        <f t="shared" si="73"/>
        <v>152777</v>
      </c>
      <c r="DQ116" s="2">
        <f t="shared" si="66"/>
        <v>17308</v>
      </c>
      <c r="DR116" s="2">
        <f t="shared" si="67"/>
        <v>30091</v>
      </c>
      <c r="DS116" s="2">
        <f t="shared" si="68"/>
        <v>54147</v>
      </c>
      <c r="DT116" s="2">
        <f t="shared" si="69"/>
        <v>15675</v>
      </c>
      <c r="DU116" s="2">
        <f t="shared" si="58"/>
        <v>153444</v>
      </c>
      <c r="DV116" s="2">
        <f t="shared" si="59"/>
        <v>537858</v>
      </c>
      <c r="DW116" s="2">
        <f t="shared" si="74"/>
        <v>30778</v>
      </c>
      <c r="DX116" s="2">
        <f t="shared" si="75"/>
        <v>1916396</v>
      </c>
      <c r="DY116" s="2"/>
      <c r="DZ116" s="2">
        <f t="shared" si="70"/>
        <v>827613</v>
      </c>
      <c r="EA116" s="2">
        <f t="shared" si="57"/>
        <v>97753</v>
      </c>
      <c r="EB116" s="2"/>
      <c r="EC116" s="2">
        <f t="shared" si="71"/>
        <v>2112019</v>
      </c>
      <c r="EH116" s="2"/>
    </row>
    <row r="117" spans="1:138" ht="14.4" x14ac:dyDescent="0.3">
      <c r="A117" s="56">
        <v>45261</v>
      </c>
      <c r="B117" s="55">
        <v>0</v>
      </c>
      <c r="C117" s="55">
        <v>0</v>
      </c>
      <c r="D117" s="55">
        <v>0</v>
      </c>
      <c r="E117" s="55">
        <v>0</v>
      </c>
      <c r="F117" s="55">
        <v>4060</v>
      </c>
      <c r="G117" s="55">
        <v>18393</v>
      </c>
      <c r="H117" s="55">
        <v>57242</v>
      </c>
      <c r="I117" s="55">
        <v>3488</v>
      </c>
      <c r="J117" s="55">
        <v>10321</v>
      </c>
      <c r="K117" s="55">
        <v>2203</v>
      </c>
      <c r="L117" s="55">
        <v>35634</v>
      </c>
      <c r="M117" s="55">
        <v>1062</v>
      </c>
      <c r="N117" s="55">
        <v>1291</v>
      </c>
      <c r="O117" s="55">
        <v>1578</v>
      </c>
      <c r="P117" s="55">
        <v>11455</v>
      </c>
      <c r="Q117" s="55">
        <v>327</v>
      </c>
      <c r="R117" s="55">
        <v>4778</v>
      </c>
      <c r="S117" s="55">
        <v>15849</v>
      </c>
      <c r="T117" s="55">
        <v>92</v>
      </c>
      <c r="U117" s="55">
        <v>4225</v>
      </c>
      <c r="V117" s="55">
        <v>74</v>
      </c>
      <c r="W117" s="55">
        <v>28226</v>
      </c>
      <c r="X117" s="55">
        <v>548</v>
      </c>
      <c r="Y117">
        <v>4</v>
      </c>
      <c r="Z117">
        <v>1</v>
      </c>
      <c r="AA117" s="55">
        <v>2</v>
      </c>
      <c r="AB117" s="55">
        <v>96</v>
      </c>
      <c r="AC117" s="55">
        <v>25</v>
      </c>
      <c r="AD117" s="55">
        <v>23</v>
      </c>
      <c r="AE117" s="55">
        <v>15</v>
      </c>
      <c r="AF117" s="55">
        <v>55</v>
      </c>
      <c r="AG117" s="55">
        <v>145</v>
      </c>
      <c r="AH117" s="55">
        <v>2479</v>
      </c>
      <c r="AI117" s="55">
        <v>3</v>
      </c>
      <c r="AJ117" s="55">
        <v>12412</v>
      </c>
      <c r="AK117" s="55">
        <v>108462</v>
      </c>
      <c r="AL117" s="55">
        <v>1376</v>
      </c>
      <c r="AM117" s="55">
        <v>22349</v>
      </c>
      <c r="AN117" s="55">
        <v>9</v>
      </c>
      <c r="AO117" s="55">
        <v>4</v>
      </c>
      <c r="AP117" s="55">
        <v>12140</v>
      </c>
      <c r="AQ117" s="55">
        <v>0</v>
      </c>
      <c r="AR117" s="55">
        <v>279</v>
      </c>
      <c r="AS117" s="55">
        <v>51</v>
      </c>
      <c r="AT117" s="55">
        <v>12087</v>
      </c>
      <c r="AU117" s="55">
        <v>2338</v>
      </c>
      <c r="AV117" s="55">
        <v>3194</v>
      </c>
      <c r="AW117" s="55">
        <v>13455</v>
      </c>
      <c r="AX117">
        <v>4</v>
      </c>
      <c r="AY117">
        <v>1</v>
      </c>
      <c r="AZ117">
        <v>774</v>
      </c>
      <c r="BA117">
        <v>0</v>
      </c>
      <c r="BB117">
        <v>173</v>
      </c>
      <c r="BC117" s="55">
        <v>2494</v>
      </c>
      <c r="BD117" s="55">
        <v>0</v>
      </c>
      <c r="BE117" s="55">
        <v>0</v>
      </c>
      <c r="BF117" s="55">
        <v>9681</v>
      </c>
      <c r="BG117" s="55">
        <v>0</v>
      </c>
      <c r="BH117" s="55">
        <v>0</v>
      </c>
      <c r="BI117" s="55">
        <v>0</v>
      </c>
      <c r="BJ117" s="55">
        <v>8</v>
      </c>
      <c r="BK117" s="55">
        <v>5880</v>
      </c>
      <c r="BL117" s="55">
        <v>0</v>
      </c>
      <c r="BM117" s="55">
        <v>15</v>
      </c>
      <c r="BN117" s="55">
        <v>0</v>
      </c>
      <c r="BO117" s="55">
        <v>54999</v>
      </c>
      <c r="BP117" s="55">
        <v>104877</v>
      </c>
      <c r="BQ117" s="55">
        <v>2639</v>
      </c>
      <c r="BR117" s="55">
        <v>35</v>
      </c>
      <c r="BS117" s="55">
        <v>44523</v>
      </c>
      <c r="BT117" s="55">
        <v>2340</v>
      </c>
      <c r="BU117" s="55">
        <v>0</v>
      </c>
      <c r="BV117" s="55">
        <v>0</v>
      </c>
      <c r="BW117" s="55">
        <v>1</v>
      </c>
      <c r="BX117" s="55">
        <v>0</v>
      </c>
      <c r="BY117" s="55">
        <v>372</v>
      </c>
      <c r="BZ117" s="55">
        <v>0</v>
      </c>
      <c r="CA117" s="55">
        <v>29578</v>
      </c>
      <c r="CB117" s="55">
        <v>30090</v>
      </c>
      <c r="CC117" s="55">
        <v>135701</v>
      </c>
      <c r="CD117" s="55">
        <v>391371</v>
      </c>
      <c r="CE117" s="55">
        <v>59760</v>
      </c>
      <c r="CF117" s="55">
        <v>97085</v>
      </c>
      <c r="CG117" s="55">
        <v>0</v>
      </c>
      <c r="CH117" s="55">
        <v>115</v>
      </c>
      <c r="CI117" s="55">
        <v>0</v>
      </c>
      <c r="CJ117" s="55">
        <v>71</v>
      </c>
      <c r="CK117" s="55">
        <v>82990</v>
      </c>
      <c r="CL117" s="55">
        <v>68517</v>
      </c>
      <c r="CM117" s="55">
        <v>448663</v>
      </c>
      <c r="CN117" s="55">
        <v>87493</v>
      </c>
      <c r="CO117" s="55">
        <v>46</v>
      </c>
      <c r="CP117" s="55">
        <v>14986</v>
      </c>
      <c r="CQ117" s="55">
        <v>1674</v>
      </c>
      <c r="CR117" s="55">
        <v>47</v>
      </c>
      <c r="CS117" s="55">
        <v>3707</v>
      </c>
      <c r="CT117" s="55">
        <v>234</v>
      </c>
      <c r="CU117" s="55">
        <v>16708</v>
      </c>
      <c r="CV117" s="55">
        <v>0</v>
      </c>
      <c r="CW117" s="55">
        <v>11665</v>
      </c>
      <c r="CX117" s="55">
        <v>4801</v>
      </c>
      <c r="CY117" s="55">
        <v>0</v>
      </c>
      <c r="CZ117" s="55">
        <v>0</v>
      </c>
      <c r="DA117" s="55">
        <v>0</v>
      </c>
      <c r="DB117" s="55">
        <v>7</v>
      </c>
      <c r="DC117" s="55">
        <v>0</v>
      </c>
      <c r="DD117" s="55">
        <v>18</v>
      </c>
      <c r="DE117" s="2"/>
      <c r="DF117" s="2"/>
      <c r="DG117" s="2">
        <f t="shared" si="56"/>
        <v>1707509</v>
      </c>
      <c r="DH117" s="2">
        <f t="shared" si="60"/>
        <v>297527</v>
      </c>
      <c r="DI117" s="2">
        <f t="shared" si="76"/>
        <v>2005036</v>
      </c>
      <c r="DJ117" s="2"/>
      <c r="DK117" s="2">
        <f t="shared" si="61"/>
        <v>87451</v>
      </c>
      <c r="DL117" s="2">
        <f t="shared" si="62"/>
        <v>144495</v>
      </c>
      <c r="DM117" s="2">
        <f t="shared" si="63"/>
        <v>15849</v>
      </c>
      <c r="DN117" s="2">
        <f t="shared" si="64"/>
        <v>48003</v>
      </c>
      <c r="DO117" s="2">
        <f t="shared" si="65"/>
        <v>621879</v>
      </c>
      <c r="DP117" s="2">
        <f t="shared" si="73"/>
        <v>151910</v>
      </c>
      <c r="DQ117" s="2">
        <f t="shared" si="66"/>
        <v>18187</v>
      </c>
      <c r="DR117" s="2">
        <f t="shared" si="67"/>
        <v>30206</v>
      </c>
      <c r="DS117" s="2">
        <f t="shared" si="68"/>
        <v>54999</v>
      </c>
      <c r="DT117" s="2">
        <f t="shared" si="69"/>
        <v>15562</v>
      </c>
      <c r="DU117" s="2">
        <f t="shared" si="58"/>
        <v>151507</v>
      </c>
      <c r="DV117" s="2">
        <f t="shared" si="59"/>
        <v>536202</v>
      </c>
      <c r="DW117" s="2">
        <f t="shared" si="74"/>
        <v>31694</v>
      </c>
      <c r="DX117" s="2">
        <f t="shared" ref="DX117:DX122" si="77">SUM(DK117:DW117)</f>
        <v>1907944</v>
      </c>
      <c r="DY117" s="2"/>
      <c r="DZ117" s="2">
        <f t="shared" si="70"/>
        <v>823970</v>
      </c>
      <c r="EA117" s="2">
        <f t="shared" si="57"/>
        <v>100939</v>
      </c>
      <c r="EB117" s="2"/>
      <c r="EC117" s="2">
        <f t="shared" si="71"/>
        <v>2105975</v>
      </c>
      <c r="EH117" s="2"/>
    </row>
    <row r="118" spans="1:138" ht="14.4" x14ac:dyDescent="0.3">
      <c r="A118" s="82">
        <v>45292</v>
      </c>
      <c r="B118" s="81">
        <v>0</v>
      </c>
      <c r="C118" s="81">
        <v>0</v>
      </c>
      <c r="D118" s="81">
        <v>0</v>
      </c>
      <c r="E118" s="81">
        <v>0</v>
      </c>
      <c r="F118" s="81">
        <v>3960</v>
      </c>
      <c r="G118" s="81">
        <v>19239</v>
      </c>
      <c r="H118" s="81">
        <v>58946</v>
      </c>
      <c r="I118" s="81">
        <v>3551</v>
      </c>
      <c r="J118" s="81">
        <v>10695</v>
      </c>
      <c r="K118" s="81">
        <v>2172</v>
      </c>
      <c r="L118" s="81">
        <v>36397</v>
      </c>
      <c r="M118" s="81">
        <v>1084</v>
      </c>
      <c r="N118" s="81">
        <v>1303</v>
      </c>
      <c r="O118" s="81">
        <v>1549</v>
      </c>
      <c r="P118" s="81">
        <v>11518</v>
      </c>
      <c r="Q118" s="81">
        <v>337</v>
      </c>
      <c r="R118" s="81">
        <v>4765</v>
      </c>
      <c r="S118" s="81">
        <v>16038</v>
      </c>
      <c r="T118" s="81">
        <v>92</v>
      </c>
      <c r="U118" s="81">
        <v>4223</v>
      </c>
      <c r="V118" s="81">
        <v>68</v>
      </c>
      <c r="W118" s="81">
        <v>28244</v>
      </c>
      <c r="X118" s="81">
        <v>546</v>
      </c>
      <c r="Y118">
        <v>4</v>
      </c>
      <c r="Z118">
        <v>0</v>
      </c>
      <c r="AA118" s="81">
        <v>2</v>
      </c>
      <c r="AB118" s="81">
        <v>94</v>
      </c>
      <c r="AC118" s="81">
        <v>23</v>
      </c>
      <c r="AD118" s="81">
        <v>23</v>
      </c>
      <c r="AE118" s="81">
        <v>15</v>
      </c>
      <c r="AF118" s="81">
        <v>54</v>
      </c>
      <c r="AG118" s="81">
        <v>133</v>
      </c>
      <c r="AH118" s="81">
        <v>2481</v>
      </c>
      <c r="AI118" s="81">
        <v>2</v>
      </c>
      <c r="AJ118" s="81">
        <v>12147</v>
      </c>
      <c r="AK118" s="81">
        <v>107540</v>
      </c>
      <c r="AL118" s="81">
        <v>1347</v>
      </c>
      <c r="AM118" s="81">
        <v>22420</v>
      </c>
      <c r="AN118" s="81">
        <v>8</v>
      </c>
      <c r="AO118" s="81">
        <v>4</v>
      </c>
      <c r="AP118" s="81">
        <v>12332</v>
      </c>
      <c r="AQ118" s="81">
        <v>0</v>
      </c>
      <c r="AR118" s="81">
        <v>276</v>
      </c>
      <c r="AS118" s="81">
        <v>55</v>
      </c>
      <c r="AT118" s="81">
        <v>12100</v>
      </c>
      <c r="AU118" s="81">
        <v>2339</v>
      </c>
      <c r="AV118" s="81">
        <v>3213</v>
      </c>
      <c r="AW118" s="81">
        <v>13504</v>
      </c>
      <c r="AX118">
        <v>4</v>
      </c>
      <c r="AY118">
        <v>0</v>
      </c>
      <c r="AZ118">
        <v>767</v>
      </c>
      <c r="BA118">
        <v>0</v>
      </c>
      <c r="BB118">
        <v>154</v>
      </c>
      <c r="BC118" s="81">
        <v>2558</v>
      </c>
      <c r="BD118" s="81">
        <v>0</v>
      </c>
      <c r="BE118" s="81">
        <v>0</v>
      </c>
      <c r="BF118" s="81">
        <v>9612</v>
      </c>
      <c r="BG118" s="81">
        <v>0</v>
      </c>
      <c r="BH118" s="81">
        <v>0</v>
      </c>
      <c r="BI118" s="81">
        <v>0</v>
      </c>
      <c r="BJ118" s="81">
        <v>8</v>
      </c>
      <c r="BK118" s="81">
        <v>5839</v>
      </c>
      <c r="BL118" s="81">
        <v>0</v>
      </c>
      <c r="BM118" s="81">
        <v>10</v>
      </c>
      <c r="BN118" s="81">
        <v>0</v>
      </c>
      <c r="BO118" s="81">
        <v>56005</v>
      </c>
      <c r="BP118" s="81">
        <v>104271</v>
      </c>
      <c r="BQ118" s="81">
        <v>2776</v>
      </c>
      <c r="BR118" s="81">
        <v>35</v>
      </c>
      <c r="BS118" s="81">
        <v>44264</v>
      </c>
      <c r="BT118" s="81">
        <v>2518</v>
      </c>
      <c r="BU118" s="81">
        <v>2</v>
      </c>
      <c r="BV118" s="81">
        <v>0</v>
      </c>
      <c r="BW118" s="81">
        <v>1</v>
      </c>
      <c r="BX118" s="81">
        <v>0</v>
      </c>
      <c r="BY118" s="81">
        <v>379</v>
      </c>
      <c r="BZ118" s="81">
        <v>0</v>
      </c>
      <c r="CA118" s="81">
        <v>29718</v>
      </c>
      <c r="CB118" s="81">
        <v>30378</v>
      </c>
      <c r="CC118" s="81">
        <v>135439</v>
      </c>
      <c r="CD118" s="81">
        <v>388692</v>
      </c>
      <c r="CE118" s="81">
        <v>58309</v>
      </c>
      <c r="CF118" s="81">
        <v>97077</v>
      </c>
      <c r="CG118" s="81">
        <v>0</v>
      </c>
      <c r="CH118" s="81">
        <v>119</v>
      </c>
      <c r="CI118" s="81">
        <v>0</v>
      </c>
      <c r="CJ118" s="81">
        <v>68</v>
      </c>
      <c r="CK118" s="81">
        <v>82663</v>
      </c>
      <c r="CL118" s="81">
        <v>68274</v>
      </c>
      <c r="CM118" s="81">
        <v>450950</v>
      </c>
      <c r="CN118" s="81">
        <v>87123</v>
      </c>
      <c r="CO118" s="81">
        <v>43</v>
      </c>
      <c r="CP118" s="81">
        <v>15195</v>
      </c>
      <c r="CQ118" s="81">
        <v>1705</v>
      </c>
      <c r="CR118" s="81">
        <v>54</v>
      </c>
      <c r="CS118" s="81">
        <v>3778</v>
      </c>
      <c r="CT118" s="81">
        <v>238</v>
      </c>
      <c r="CU118" s="81">
        <v>17457</v>
      </c>
      <c r="CV118" s="81">
        <v>1</v>
      </c>
      <c r="CW118" s="81">
        <v>12604</v>
      </c>
      <c r="CX118" s="81">
        <v>5105</v>
      </c>
      <c r="CY118" s="81">
        <v>0</v>
      </c>
      <c r="CZ118" s="81">
        <v>0</v>
      </c>
      <c r="DA118" s="81">
        <v>0</v>
      </c>
      <c r="DB118" s="81">
        <v>7</v>
      </c>
      <c r="DC118" s="81">
        <v>0</v>
      </c>
      <c r="DD118" s="81">
        <v>18</v>
      </c>
      <c r="DE118" s="2"/>
      <c r="DG118" s="2">
        <f t="shared" si="56"/>
        <v>1707497</v>
      </c>
      <c r="DH118" s="2">
        <f t="shared" si="60"/>
        <v>297661</v>
      </c>
      <c r="DI118" s="2">
        <f t="shared" ref="DI118" si="78">SUM(DG118:DH118)</f>
        <v>2005158</v>
      </c>
      <c r="DJ118" s="2"/>
      <c r="DK118" s="2">
        <f t="shared" si="61"/>
        <v>88277</v>
      </c>
      <c r="DL118" s="2">
        <f t="shared" si="62"/>
        <v>143269</v>
      </c>
      <c r="DM118" s="2">
        <f t="shared" si="63"/>
        <v>16038</v>
      </c>
      <c r="DN118" s="2">
        <f t="shared" si="64"/>
        <v>48314</v>
      </c>
      <c r="DO118" s="2">
        <f t="shared" si="65"/>
        <v>617946</v>
      </c>
      <c r="DP118" s="2">
        <f t="shared" si="73"/>
        <v>151103</v>
      </c>
      <c r="DQ118" s="2">
        <f t="shared" si="66"/>
        <v>19468</v>
      </c>
      <c r="DR118" s="2">
        <f t="shared" si="67"/>
        <v>30497</v>
      </c>
      <c r="DS118" s="2">
        <f t="shared" si="68"/>
        <v>56007</v>
      </c>
      <c r="DT118" s="2">
        <f t="shared" si="69"/>
        <v>15452</v>
      </c>
      <c r="DU118" s="2">
        <f t="shared" si="58"/>
        <v>150937</v>
      </c>
      <c r="DV118" s="2">
        <f t="shared" si="59"/>
        <v>538116</v>
      </c>
      <c r="DW118" s="2">
        <f t="shared" si="74"/>
        <v>32653</v>
      </c>
      <c r="DX118" s="2">
        <f t="shared" si="77"/>
        <v>1908077</v>
      </c>
      <c r="DY118" s="2"/>
      <c r="DZ118" s="2">
        <f t="shared" si="70"/>
        <v>822906</v>
      </c>
      <c r="EA118" s="2">
        <f t="shared" si="57"/>
        <v>103882</v>
      </c>
      <c r="EB118" s="2"/>
      <c r="EC118" s="2">
        <f t="shared" si="71"/>
        <v>2109040</v>
      </c>
      <c r="EH118" s="2"/>
    </row>
    <row r="119" spans="1:138" ht="14.4" x14ac:dyDescent="0.3">
      <c r="A119" s="87">
        <v>45323</v>
      </c>
      <c r="B119" s="86">
        <v>0</v>
      </c>
      <c r="C119" s="86">
        <v>0</v>
      </c>
      <c r="D119" s="86">
        <v>0</v>
      </c>
      <c r="E119" s="86">
        <v>0</v>
      </c>
      <c r="F119" s="86">
        <v>3856</v>
      </c>
      <c r="G119" s="86">
        <v>20033</v>
      </c>
      <c r="H119" s="86">
        <v>61076</v>
      </c>
      <c r="I119" s="86">
        <v>3663</v>
      </c>
      <c r="J119" s="86">
        <v>11143</v>
      </c>
      <c r="K119" s="86">
        <v>2181</v>
      </c>
      <c r="L119" s="86">
        <v>36509</v>
      </c>
      <c r="M119" s="86">
        <v>1084</v>
      </c>
      <c r="N119" s="86">
        <v>1325</v>
      </c>
      <c r="O119" s="86">
        <v>1542</v>
      </c>
      <c r="P119" s="86">
        <v>11571</v>
      </c>
      <c r="Q119" s="86">
        <v>339</v>
      </c>
      <c r="R119" s="86">
        <v>4753</v>
      </c>
      <c r="S119" s="86">
        <v>16192</v>
      </c>
      <c r="T119" s="86">
        <v>80</v>
      </c>
      <c r="U119" s="86">
        <v>4257</v>
      </c>
      <c r="V119" s="86">
        <v>63</v>
      </c>
      <c r="W119" s="86">
        <v>28213</v>
      </c>
      <c r="X119" s="86">
        <v>548</v>
      </c>
      <c r="Y119">
        <v>4</v>
      </c>
      <c r="Z119">
        <v>0</v>
      </c>
      <c r="AA119" s="86">
        <v>2</v>
      </c>
      <c r="AB119" s="86">
        <v>88</v>
      </c>
      <c r="AC119" s="86">
        <v>23</v>
      </c>
      <c r="AD119" s="86">
        <v>22</v>
      </c>
      <c r="AE119" s="86">
        <v>16</v>
      </c>
      <c r="AF119" s="86">
        <v>56</v>
      </c>
      <c r="AG119" s="86">
        <v>132</v>
      </c>
      <c r="AH119" s="86">
        <v>2494</v>
      </c>
      <c r="AI119" s="86">
        <v>1</v>
      </c>
      <c r="AJ119" s="86">
        <v>11782</v>
      </c>
      <c r="AK119" s="86">
        <v>107222</v>
      </c>
      <c r="AL119" s="86">
        <v>1344</v>
      </c>
      <c r="AM119" s="86">
        <v>22560</v>
      </c>
      <c r="AN119" s="86">
        <v>9</v>
      </c>
      <c r="AO119" s="86">
        <v>5</v>
      </c>
      <c r="AP119" s="86">
        <v>12602</v>
      </c>
      <c r="AQ119" s="86">
        <v>0</v>
      </c>
      <c r="AR119" s="86">
        <v>272</v>
      </c>
      <c r="AS119" s="86">
        <v>54</v>
      </c>
      <c r="AT119" s="86">
        <v>12154</v>
      </c>
      <c r="AU119" s="86">
        <v>2333</v>
      </c>
      <c r="AV119" s="86">
        <v>3188</v>
      </c>
      <c r="AW119" s="86">
        <v>13434</v>
      </c>
      <c r="AX119">
        <v>7</v>
      </c>
      <c r="AY119">
        <v>1</v>
      </c>
      <c r="AZ119">
        <v>755</v>
      </c>
      <c r="BA119">
        <v>0</v>
      </c>
      <c r="BB119">
        <v>145</v>
      </c>
      <c r="BC119" s="86">
        <v>2556</v>
      </c>
      <c r="BD119" s="86">
        <v>0</v>
      </c>
      <c r="BE119" s="86">
        <v>0</v>
      </c>
      <c r="BF119" s="86">
        <v>9585</v>
      </c>
      <c r="BG119" s="86">
        <v>0</v>
      </c>
      <c r="BH119" s="86">
        <v>0</v>
      </c>
      <c r="BI119" s="86">
        <v>0</v>
      </c>
      <c r="BJ119" s="86">
        <v>7</v>
      </c>
      <c r="BK119" s="86">
        <v>5834</v>
      </c>
      <c r="BL119" s="86">
        <v>0</v>
      </c>
      <c r="BM119" s="86">
        <v>9</v>
      </c>
      <c r="BN119" s="86">
        <v>0</v>
      </c>
      <c r="BO119" s="86">
        <v>56632</v>
      </c>
      <c r="BP119" s="86">
        <v>104059</v>
      </c>
      <c r="BQ119" s="86">
        <v>3015</v>
      </c>
      <c r="BR119" s="86">
        <v>33</v>
      </c>
      <c r="BS119" s="86">
        <v>44128</v>
      </c>
      <c r="BT119" s="86">
        <v>2638</v>
      </c>
      <c r="BU119" s="86">
        <v>0</v>
      </c>
      <c r="BV119" s="86">
        <v>0</v>
      </c>
      <c r="BW119" s="86">
        <v>1</v>
      </c>
      <c r="BX119" s="86">
        <v>0</v>
      </c>
      <c r="BY119" s="86">
        <v>381</v>
      </c>
      <c r="BZ119" s="86">
        <v>0</v>
      </c>
      <c r="CA119" s="86">
        <v>29813</v>
      </c>
      <c r="CB119" s="86">
        <v>30658</v>
      </c>
      <c r="CC119" s="86">
        <v>135154</v>
      </c>
      <c r="CD119" s="86">
        <v>384944</v>
      </c>
      <c r="CE119" s="86">
        <v>57511</v>
      </c>
      <c r="CF119" s="86">
        <v>96335</v>
      </c>
      <c r="CG119" s="86">
        <v>0</v>
      </c>
      <c r="CH119" s="86">
        <v>121</v>
      </c>
      <c r="CI119" s="86">
        <v>0</v>
      </c>
      <c r="CJ119" s="86">
        <v>65</v>
      </c>
      <c r="CK119" s="86">
        <v>81874</v>
      </c>
      <c r="CL119" s="86">
        <v>67600</v>
      </c>
      <c r="CM119" s="86">
        <v>451903</v>
      </c>
      <c r="CN119" s="86">
        <v>86536</v>
      </c>
      <c r="CO119" s="86">
        <v>51</v>
      </c>
      <c r="CP119" s="86">
        <v>15402</v>
      </c>
      <c r="CQ119" s="86">
        <v>1716</v>
      </c>
      <c r="CR119" s="86">
        <v>58</v>
      </c>
      <c r="CS119" s="86">
        <v>3809</v>
      </c>
      <c r="CT119" s="86">
        <v>247</v>
      </c>
      <c r="CU119" s="86">
        <v>18301</v>
      </c>
      <c r="CV119" s="86">
        <v>0</v>
      </c>
      <c r="CW119" s="86">
        <v>13523</v>
      </c>
      <c r="CX119" s="86">
        <v>5415</v>
      </c>
      <c r="CY119" s="86">
        <v>0</v>
      </c>
      <c r="CZ119" s="86">
        <v>0</v>
      </c>
      <c r="DA119" s="86">
        <v>0</v>
      </c>
      <c r="DB119" s="86">
        <v>7</v>
      </c>
      <c r="DC119" s="86">
        <v>0</v>
      </c>
      <c r="DD119" s="86">
        <v>18</v>
      </c>
      <c r="DE119" s="2"/>
      <c r="DG119" s="2">
        <f t="shared" si="56"/>
        <v>1704092</v>
      </c>
      <c r="DH119" s="2">
        <f t="shared" si="60"/>
        <v>297620</v>
      </c>
      <c r="DI119" s="2">
        <f t="shared" ref="DI119" si="79">SUM(DG119:DH119)</f>
        <v>2001712</v>
      </c>
      <c r="DJ119" s="2"/>
      <c r="DK119" s="2">
        <f t="shared" si="61"/>
        <v>88411</v>
      </c>
      <c r="DL119" s="2">
        <f t="shared" si="62"/>
        <v>142588</v>
      </c>
      <c r="DM119" s="2">
        <f t="shared" si="63"/>
        <v>16192</v>
      </c>
      <c r="DN119" s="2">
        <f t="shared" si="64"/>
        <v>48657</v>
      </c>
      <c r="DO119" s="2">
        <f t="shared" si="65"/>
        <v>613568</v>
      </c>
      <c r="DP119" s="2">
        <f t="shared" si="73"/>
        <v>150753</v>
      </c>
      <c r="DQ119" s="2">
        <f t="shared" si="66"/>
        <v>20712</v>
      </c>
      <c r="DR119" s="2">
        <f t="shared" si="67"/>
        <v>30779</v>
      </c>
      <c r="DS119" s="2">
        <f t="shared" si="68"/>
        <v>56632</v>
      </c>
      <c r="DT119" s="2">
        <f t="shared" si="69"/>
        <v>15420</v>
      </c>
      <c r="DU119" s="2">
        <f t="shared" si="58"/>
        <v>149474</v>
      </c>
      <c r="DV119" s="2">
        <f t="shared" si="59"/>
        <v>538490</v>
      </c>
      <c r="DW119" s="2">
        <f t="shared" si="74"/>
        <v>33703</v>
      </c>
      <c r="DX119" s="2">
        <f t="shared" si="77"/>
        <v>1905379</v>
      </c>
      <c r="DY119" s="2"/>
      <c r="DZ119" s="2">
        <f t="shared" si="70"/>
        <v>821238</v>
      </c>
      <c r="EA119" s="2">
        <f t="shared" si="57"/>
        <v>107333</v>
      </c>
      <c r="EB119" s="2"/>
      <c r="EC119" s="2">
        <f t="shared" si="71"/>
        <v>2109045</v>
      </c>
      <c r="EH119" s="2"/>
    </row>
    <row r="120" spans="1:138" ht="14.4" x14ac:dyDescent="0.3">
      <c r="A120" s="99">
        <v>45352</v>
      </c>
      <c r="B120" s="98">
        <v>0</v>
      </c>
      <c r="C120" s="98">
        <v>0</v>
      </c>
      <c r="D120" s="98">
        <v>0</v>
      </c>
      <c r="E120" s="98">
        <v>0</v>
      </c>
      <c r="F120" s="98">
        <v>3769</v>
      </c>
      <c r="G120" s="98">
        <v>20635</v>
      </c>
      <c r="H120" s="98">
        <v>62332</v>
      </c>
      <c r="I120" s="98">
        <v>3772</v>
      </c>
      <c r="J120" s="98">
        <v>11464</v>
      </c>
      <c r="K120" s="98">
        <v>2167</v>
      </c>
      <c r="L120" s="98">
        <v>36558</v>
      </c>
      <c r="M120" s="98">
        <v>1087</v>
      </c>
      <c r="N120" s="98">
        <v>1312</v>
      </c>
      <c r="O120" s="98">
        <v>1503</v>
      </c>
      <c r="P120" s="98">
        <v>11563</v>
      </c>
      <c r="Q120" s="98">
        <v>343</v>
      </c>
      <c r="R120" s="98">
        <v>4780</v>
      </c>
      <c r="S120" s="98">
        <v>16444</v>
      </c>
      <c r="T120" s="98">
        <v>78</v>
      </c>
      <c r="U120" s="98">
        <v>4238</v>
      </c>
      <c r="V120" s="98">
        <v>57</v>
      </c>
      <c r="W120" s="98">
        <v>28070</v>
      </c>
      <c r="X120" s="98">
        <v>552</v>
      </c>
      <c r="Y120">
        <v>4</v>
      </c>
      <c r="Z120">
        <v>1</v>
      </c>
      <c r="AA120" s="98">
        <v>2</v>
      </c>
      <c r="AB120" s="98">
        <v>77</v>
      </c>
      <c r="AC120" s="98">
        <v>25</v>
      </c>
      <c r="AD120" s="98">
        <v>24</v>
      </c>
      <c r="AE120" s="98">
        <v>16</v>
      </c>
      <c r="AF120" s="98">
        <v>60</v>
      </c>
      <c r="AG120" s="98">
        <v>111</v>
      </c>
      <c r="AH120" s="98">
        <v>2516</v>
      </c>
      <c r="AI120" s="98">
        <v>1</v>
      </c>
      <c r="AJ120" s="98">
        <v>11376</v>
      </c>
      <c r="AK120" s="98">
        <v>106474</v>
      </c>
      <c r="AL120" s="98">
        <v>1349</v>
      </c>
      <c r="AM120" s="98">
        <v>22703</v>
      </c>
      <c r="AN120" s="98">
        <v>8</v>
      </c>
      <c r="AO120" s="98">
        <v>6</v>
      </c>
      <c r="AP120" s="98">
        <v>12796</v>
      </c>
      <c r="AQ120" s="98">
        <v>0</v>
      </c>
      <c r="AR120" s="98">
        <v>249</v>
      </c>
      <c r="AS120" s="98">
        <v>56</v>
      </c>
      <c r="AT120" s="98">
        <v>12204</v>
      </c>
      <c r="AU120" s="98">
        <v>2337</v>
      </c>
      <c r="AV120" s="98">
        <v>3169</v>
      </c>
      <c r="AW120" s="98">
        <v>13421</v>
      </c>
      <c r="AX120" s="98">
        <v>8</v>
      </c>
      <c r="AY120" s="98">
        <v>0</v>
      </c>
      <c r="AZ120" s="98">
        <v>741</v>
      </c>
      <c r="BA120" s="98">
        <v>0</v>
      </c>
      <c r="BB120" s="98">
        <v>129</v>
      </c>
      <c r="BC120" s="98">
        <v>2568</v>
      </c>
      <c r="BD120" s="98">
        <v>0</v>
      </c>
      <c r="BE120" s="98">
        <v>0</v>
      </c>
      <c r="BF120" s="98">
        <v>9519</v>
      </c>
      <c r="BG120" s="98">
        <v>0</v>
      </c>
      <c r="BH120" s="98">
        <v>0</v>
      </c>
      <c r="BI120" s="98">
        <v>0</v>
      </c>
      <c r="BJ120" s="98">
        <v>5</v>
      </c>
      <c r="BK120" s="98">
        <v>5765</v>
      </c>
      <c r="BL120" s="98">
        <v>0</v>
      </c>
      <c r="BM120" s="98">
        <v>17</v>
      </c>
      <c r="BN120" s="98">
        <v>0</v>
      </c>
      <c r="BO120" s="98">
        <v>57008</v>
      </c>
      <c r="BP120" s="98">
        <v>103116</v>
      </c>
      <c r="BQ120" s="98">
        <v>3234</v>
      </c>
      <c r="BR120" s="98">
        <v>33</v>
      </c>
      <c r="BS120" s="98">
        <v>43491</v>
      </c>
      <c r="BT120" s="98">
        <v>2828</v>
      </c>
      <c r="BU120" s="98">
        <v>0</v>
      </c>
      <c r="BV120" s="98">
        <v>1</v>
      </c>
      <c r="BW120" s="98">
        <v>1</v>
      </c>
      <c r="BX120" s="98">
        <v>0</v>
      </c>
      <c r="BY120" s="98">
        <v>387</v>
      </c>
      <c r="BZ120" s="98">
        <v>0</v>
      </c>
      <c r="CA120" s="98">
        <v>29957</v>
      </c>
      <c r="CB120" s="98">
        <v>30807</v>
      </c>
      <c r="CC120" s="98">
        <v>134592</v>
      </c>
      <c r="CD120" s="98">
        <v>378497</v>
      </c>
      <c r="CE120" s="98">
        <v>56110</v>
      </c>
      <c r="CF120" s="98">
        <v>94729</v>
      </c>
      <c r="CG120" s="98">
        <v>0</v>
      </c>
      <c r="CH120" s="98">
        <v>120</v>
      </c>
      <c r="CI120" s="98">
        <v>0</v>
      </c>
      <c r="CJ120" s="98">
        <v>68</v>
      </c>
      <c r="CK120" s="98">
        <v>79969</v>
      </c>
      <c r="CL120" s="98">
        <v>66179</v>
      </c>
      <c r="CM120" s="98">
        <v>446116</v>
      </c>
      <c r="CN120" s="98">
        <v>84080</v>
      </c>
      <c r="CO120" s="98">
        <v>45</v>
      </c>
      <c r="CP120" s="98">
        <v>15680</v>
      </c>
      <c r="CQ120" s="98">
        <v>1744</v>
      </c>
      <c r="CR120" s="98">
        <v>56</v>
      </c>
      <c r="CS120" s="98">
        <v>3874</v>
      </c>
      <c r="CT120" s="98">
        <v>237</v>
      </c>
      <c r="CU120" s="98">
        <v>19143</v>
      </c>
      <c r="CV120" s="98">
        <v>0</v>
      </c>
      <c r="CW120" s="98">
        <v>14232</v>
      </c>
      <c r="CX120" s="98">
        <v>5743</v>
      </c>
      <c r="CY120" s="98">
        <v>0</v>
      </c>
      <c r="CZ120" s="98">
        <v>0</v>
      </c>
      <c r="DA120" s="98">
        <v>0</v>
      </c>
      <c r="DB120" s="98">
        <v>7</v>
      </c>
      <c r="DC120" s="98">
        <v>0</v>
      </c>
      <c r="DD120" s="98">
        <v>18</v>
      </c>
      <c r="DE120" s="2"/>
      <c r="DG120" s="2">
        <f t="shared" si="56"/>
        <v>1684048</v>
      </c>
      <c r="DH120" s="2">
        <f t="shared" si="60"/>
        <v>296926</v>
      </c>
      <c r="DI120" s="2">
        <f t="shared" ref="DI120" si="80">SUM(DG120:DH120)</f>
        <v>1980974</v>
      </c>
      <c r="DJ120" s="2"/>
      <c r="DK120" s="2">
        <f t="shared" si="61"/>
        <v>88277</v>
      </c>
      <c r="DL120" s="2">
        <f t="shared" si="62"/>
        <v>141420</v>
      </c>
      <c r="DM120" s="2">
        <f t="shared" si="63"/>
        <v>16444</v>
      </c>
      <c r="DN120" s="2">
        <f t="shared" si="64"/>
        <v>48986</v>
      </c>
      <c r="DO120" s="2">
        <f t="shared" si="65"/>
        <v>605720</v>
      </c>
      <c r="DP120" s="2">
        <f t="shared" si="73"/>
        <v>149192</v>
      </c>
      <c r="DQ120" s="2">
        <f t="shared" si="66"/>
        <v>21775</v>
      </c>
      <c r="DR120" s="2">
        <f t="shared" si="67"/>
        <v>30928</v>
      </c>
      <c r="DS120" s="2">
        <f t="shared" si="68"/>
        <v>57008</v>
      </c>
      <c r="DT120" s="2">
        <f t="shared" si="69"/>
        <v>15285</v>
      </c>
      <c r="DU120" s="2">
        <f t="shared" si="58"/>
        <v>146148</v>
      </c>
      <c r="DV120" s="2">
        <f t="shared" si="59"/>
        <v>530241</v>
      </c>
      <c r="DW120" s="2">
        <f t="shared" si="74"/>
        <v>34823</v>
      </c>
      <c r="DX120" s="2">
        <f t="shared" si="77"/>
        <v>1886247</v>
      </c>
      <c r="DY120" s="2"/>
      <c r="DZ120" s="2">
        <f t="shared" si="70"/>
        <v>813937</v>
      </c>
      <c r="EA120" s="2">
        <f t="shared" si="57"/>
        <v>109562</v>
      </c>
      <c r="EB120" s="2"/>
      <c r="EC120" s="2">
        <f t="shared" si="71"/>
        <v>2090536</v>
      </c>
      <c r="EH120" s="2"/>
    </row>
    <row r="121" spans="1:138" ht="14.4" x14ac:dyDescent="0.3">
      <c r="A121" s="82">
        <v>45383</v>
      </c>
      <c r="B121" s="81">
        <v>0</v>
      </c>
      <c r="C121" s="81">
        <v>0</v>
      </c>
      <c r="D121" s="81">
        <v>0</v>
      </c>
      <c r="E121" s="81">
        <v>0</v>
      </c>
      <c r="F121" s="81">
        <v>3780</v>
      </c>
      <c r="G121" s="81">
        <v>20556</v>
      </c>
      <c r="H121" s="81">
        <v>60913</v>
      </c>
      <c r="I121" s="81">
        <v>3814</v>
      </c>
      <c r="J121" s="81">
        <v>11445</v>
      </c>
      <c r="K121" s="81">
        <v>2129</v>
      </c>
      <c r="L121" s="81">
        <v>36604</v>
      </c>
      <c r="M121" s="81">
        <v>1107</v>
      </c>
      <c r="N121" s="81">
        <v>1272</v>
      </c>
      <c r="O121" s="81">
        <v>1458</v>
      </c>
      <c r="P121" s="81">
        <v>11352</v>
      </c>
      <c r="Q121" s="81">
        <v>335</v>
      </c>
      <c r="R121" s="81">
        <v>4759</v>
      </c>
      <c r="S121" s="81">
        <v>16301</v>
      </c>
      <c r="T121" s="81">
        <v>72</v>
      </c>
      <c r="U121" s="81">
        <v>4200</v>
      </c>
      <c r="V121" s="81">
        <v>58</v>
      </c>
      <c r="W121" s="81">
        <v>27283</v>
      </c>
      <c r="X121" s="81">
        <v>544</v>
      </c>
      <c r="Y121">
        <v>4</v>
      </c>
      <c r="Z121">
        <v>1</v>
      </c>
      <c r="AA121" s="81">
        <v>1</v>
      </c>
      <c r="AB121" s="81">
        <v>74</v>
      </c>
      <c r="AC121" s="81">
        <v>25</v>
      </c>
      <c r="AD121" s="81">
        <v>24</v>
      </c>
      <c r="AE121" s="81">
        <v>15</v>
      </c>
      <c r="AF121" s="81">
        <v>58</v>
      </c>
      <c r="AG121" s="81">
        <v>99</v>
      </c>
      <c r="AH121" s="81">
        <v>2480</v>
      </c>
      <c r="AI121" s="81">
        <v>1</v>
      </c>
      <c r="AJ121" s="81">
        <v>10815</v>
      </c>
      <c r="AK121" s="81">
        <v>105087</v>
      </c>
      <c r="AL121" s="81">
        <v>1339</v>
      </c>
      <c r="AM121" s="81">
        <v>22524</v>
      </c>
      <c r="AN121" s="81">
        <v>7</v>
      </c>
      <c r="AO121" s="81">
        <v>6</v>
      </c>
      <c r="AP121" s="81">
        <v>12752</v>
      </c>
      <c r="AQ121" s="81">
        <v>0</v>
      </c>
      <c r="AR121" s="81">
        <v>247</v>
      </c>
      <c r="AS121" s="81">
        <v>56</v>
      </c>
      <c r="AT121" s="81">
        <v>12105</v>
      </c>
      <c r="AU121" s="81">
        <v>2316</v>
      </c>
      <c r="AV121" s="81">
        <v>3106</v>
      </c>
      <c r="AW121" s="81">
        <v>13173</v>
      </c>
      <c r="AX121" s="81">
        <v>5</v>
      </c>
      <c r="AY121" s="81">
        <v>3</v>
      </c>
      <c r="AZ121" s="81">
        <v>700</v>
      </c>
      <c r="BA121" s="81">
        <v>0</v>
      </c>
      <c r="BB121" s="81">
        <v>127</v>
      </c>
      <c r="BC121" s="81">
        <v>2456</v>
      </c>
      <c r="BD121" s="81">
        <v>0</v>
      </c>
      <c r="BE121" s="81">
        <v>0</v>
      </c>
      <c r="BF121" s="81">
        <v>9482</v>
      </c>
      <c r="BG121" s="81">
        <v>0</v>
      </c>
      <c r="BH121" s="81">
        <v>0</v>
      </c>
      <c r="BI121" s="81">
        <v>0</v>
      </c>
      <c r="BJ121" s="81">
        <v>2</v>
      </c>
      <c r="BK121" s="81">
        <v>5637</v>
      </c>
      <c r="BL121" s="81">
        <v>0</v>
      </c>
      <c r="BM121" s="81">
        <v>17</v>
      </c>
      <c r="BN121" s="81">
        <v>0</v>
      </c>
      <c r="BO121" s="81">
        <v>53091</v>
      </c>
      <c r="BP121" s="81">
        <v>99505</v>
      </c>
      <c r="BQ121" s="81">
        <v>3362</v>
      </c>
      <c r="BR121" s="81">
        <v>31</v>
      </c>
      <c r="BS121" s="81">
        <v>41825</v>
      </c>
      <c r="BT121" s="81">
        <v>2961</v>
      </c>
      <c r="BU121" s="81">
        <v>0</v>
      </c>
      <c r="BV121" s="81">
        <v>1</v>
      </c>
      <c r="BW121" s="81">
        <v>1</v>
      </c>
      <c r="BX121" s="81">
        <v>0</v>
      </c>
      <c r="BY121" s="81">
        <v>386</v>
      </c>
      <c r="BZ121" s="81">
        <v>0</v>
      </c>
      <c r="CA121" s="81">
        <v>29789</v>
      </c>
      <c r="CB121" s="81">
        <v>30861</v>
      </c>
      <c r="CC121" s="81">
        <v>132273</v>
      </c>
      <c r="CD121" s="81">
        <v>366723</v>
      </c>
      <c r="CE121" s="81">
        <v>53761</v>
      </c>
      <c r="CF121" s="81">
        <v>91170</v>
      </c>
      <c r="CG121" s="81">
        <v>0</v>
      </c>
      <c r="CH121" s="81">
        <v>120</v>
      </c>
      <c r="CI121" s="81">
        <v>0</v>
      </c>
      <c r="CJ121" s="81">
        <v>61</v>
      </c>
      <c r="CK121" s="81">
        <v>76414</v>
      </c>
      <c r="CL121" s="81">
        <v>62008</v>
      </c>
      <c r="CM121" s="81">
        <v>426096</v>
      </c>
      <c r="CN121" s="81">
        <v>77852</v>
      </c>
      <c r="CO121" s="81">
        <v>38</v>
      </c>
      <c r="CP121" s="81">
        <v>15728</v>
      </c>
      <c r="CQ121" s="81">
        <v>1756</v>
      </c>
      <c r="CR121" s="81">
        <v>54</v>
      </c>
      <c r="CS121" s="81">
        <v>3939</v>
      </c>
      <c r="CT121" s="81">
        <v>246</v>
      </c>
      <c r="CU121" s="81">
        <v>19431</v>
      </c>
      <c r="CV121" s="81">
        <v>0</v>
      </c>
      <c r="CW121" s="81">
        <v>14648</v>
      </c>
      <c r="CX121" s="81">
        <v>6097</v>
      </c>
      <c r="CY121" s="81">
        <v>0</v>
      </c>
      <c r="CZ121" s="81">
        <v>0</v>
      </c>
      <c r="DA121" s="81">
        <v>0</v>
      </c>
      <c r="DB121" s="81">
        <v>7</v>
      </c>
      <c r="DC121" s="81">
        <v>0</v>
      </c>
      <c r="DD121" s="81">
        <v>18</v>
      </c>
      <c r="DE121" s="2"/>
      <c r="DG121" s="2">
        <f t="shared" si="56"/>
        <v>1621835</v>
      </c>
      <c r="DH121" s="2">
        <f>SUM(L121:M121,O121:AW121,AZ121:BB121,CQ121,CR121)</f>
        <v>293025</v>
      </c>
      <c r="DI121" s="2">
        <f t="shared" ref="DI121" si="81">SUM(DG121:DH121)</f>
        <v>1914860</v>
      </c>
      <c r="DJ121" s="2"/>
      <c r="DK121" s="2">
        <f t="shared" si="61"/>
        <v>87228</v>
      </c>
      <c r="DL121" s="2">
        <f t="shared" si="62"/>
        <v>139172</v>
      </c>
      <c r="DM121" s="2">
        <f t="shared" si="63"/>
        <v>16301</v>
      </c>
      <c r="DN121" s="2">
        <f t="shared" si="64"/>
        <v>48513</v>
      </c>
      <c r="DO121" s="2">
        <f t="shared" si="65"/>
        <v>589355</v>
      </c>
      <c r="DP121" s="2">
        <f t="shared" si="73"/>
        <v>143806</v>
      </c>
      <c r="DQ121" s="2">
        <f t="shared" si="66"/>
        <v>22555</v>
      </c>
      <c r="DR121" s="2">
        <f t="shared" si="67"/>
        <v>30982</v>
      </c>
      <c r="DS121" s="2">
        <f t="shared" si="68"/>
        <v>53091</v>
      </c>
      <c r="DT121" s="2">
        <f t="shared" si="69"/>
        <v>15120</v>
      </c>
      <c r="DU121" s="2">
        <f t="shared" si="58"/>
        <v>138422</v>
      </c>
      <c r="DV121" s="2">
        <f t="shared" si="59"/>
        <v>503986</v>
      </c>
      <c r="DW121" s="2">
        <f t="shared" si="74"/>
        <v>35159</v>
      </c>
      <c r="DX121" s="2">
        <f t="shared" si="77"/>
        <v>1823690</v>
      </c>
      <c r="DY121" s="2"/>
      <c r="DZ121" s="2">
        <f t="shared" si="70"/>
        <v>792373</v>
      </c>
      <c r="EA121" s="2">
        <f t="shared" si="57"/>
        <v>108094</v>
      </c>
      <c r="EB121" s="2"/>
      <c r="EC121" s="2">
        <f t="shared" ref="EC121" si="82">EA121+DI121</f>
        <v>2022954</v>
      </c>
      <c r="EH121" s="2"/>
    </row>
    <row r="122" spans="1:138" ht="14.4" x14ac:dyDescent="0.3">
      <c r="A122" s="160">
        <v>45413</v>
      </c>
      <c r="B122" s="159">
        <v>0</v>
      </c>
      <c r="C122" s="159">
        <v>0</v>
      </c>
      <c r="D122" s="159">
        <v>0</v>
      </c>
      <c r="E122" s="159">
        <v>0</v>
      </c>
      <c r="F122" s="159">
        <v>3669</v>
      </c>
      <c r="G122" s="159">
        <v>20912</v>
      </c>
      <c r="H122" s="159">
        <v>60485</v>
      </c>
      <c r="I122" s="159">
        <v>3697</v>
      </c>
      <c r="J122" s="159">
        <v>11341</v>
      </c>
      <c r="K122" s="159">
        <v>2032</v>
      </c>
      <c r="L122" s="159">
        <v>36646</v>
      </c>
      <c r="M122" s="159">
        <v>1107</v>
      </c>
      <c r="N122" s="159">
        <v>1212</v>
      </c>
      <c r="O122" s="159">
        <v>1443</v>
      </c>
      <c r="P122" s="159">
        <v>11402</v>
      </c>
      <c r="Q122" s="159">
        <v>336</v>
      </c>
      <c r="R122" s="159">
        <v>4822</v>
      </c>
      <c r="S122" s="159">
        <v>16669</v>
      </c>
      <c r="T122" s="159">
        <v>28</v>
      </c>
      <c r="U122" s="159">
        <v>4218</v>
      </c>
      <c r="V122" s="159">
        <v>28</v>
      </c>
      <c r="W122" s="159">
        <v>27291</v>
      </c>
      <c r="X122" s="159">
        <v>543</v>
      </c>
      <c r="Y122" s="159">
        <v>4</v>
      </c>
      <c r="Z122" s="159">
        <v>1</v>
      </c>
      <c r="AA122" s="159">
        <v>1</v>
      </c>
      <c r="AB122" s="159">
        <v>67</v>
      </c>
      <c r="AC122" s="159">
        <v>28</v>
      </c>
      <c r="AD122" s="159">
        <v>24</v>
      </c>
      <c r="AE122" s="159">
        <v>14</v>
      </c>
      <c r="AF122" s="159">
        <v>58</v>
      </c>
      <c r="AG122" s="159">
        <v>81</v>
      </c>
      <c r="AH122" s="159">
        <v>2525</v>
      </c>
      <c r="AI122" s="159">
        <v>1</v>
      </c>
      <c r="AJ122" s="159">
        <v>10657</v>
      </c>
      <c r="AK122" s="159">
        <v>104237</v>
      </c>
      <c r="AL122" s="159">
        <v>1332</v>
      </c>
      <c r="AM122" s="159">
        <v>22939</v>
      </c>
      <c r="AN122" s="159">
        <v>7</v>
      </c>
      <c r="AO122" s="159">
        <v>8</v>
      </c>
      <c r="AP122" s="159">
        <v>12997</v>
      </c>
      <c r="AQ122" s="159">
        <v>0</v>
      </c>
      <c r="AR122" s="159">
        <v>239</v>
      </c>
      <c r="AS122" s="159">
        <v>63</v>
      </c>
      <c r="AT122" s="159">
        <v>12164</v>
      </c>
      <c r="AU122" s="159">
        <v>2344</v>
      </c>
      <c r="AV122" s="159">
        <v>3160</v>
      </c>
      <c r="AW122" s="159">
        <v>13372</v>
      </c>
      <c r="AX122" s="159">
        <v>3</v>
      </c>
      <c r="AY122" s="159">
        <v>0</v>
      </c>
      <c r="AZ122" s="159">
        <v>650</v>
      </c>
      <c r="BA122" s="159">
        <v>0</v>
      </c>
      <c r="BB122" s="159">
        <v>55</v>
      </c>
      <c r="BC122" s="159">
        <v>2442</v>
      </c>
      <c r="BD122" s="159">
        <v>0</v>
      </c>
      <c r="BE122" s="159">
        <v>0</v>
      </c>
      <c r="BF122" s="159">
        <v>9256</v>
      </c>
      <c r="BG122" s="159">
        <v>0</v>
      </c>
      <c r="BH122" s="159">
        <v>0</v>
      </c>
      <c r="BI122" s="159">
        <v>0</v>
      </c>
      <c r="BJ122" s="159">
        <v>2</v>
      </c>
      <c r="BK122" s="159">
        <v>5526</v>
      </c>
      <c r="BL122" s="159">
        <v>0</v>
      </c>
      <c r="BM122" s="159">
        <v>18</v>
      </c>
      <c r="BN122" s="159">
        <v>0</v>
      </c>
      <c r="BO122" s="159">
        <v>53567</v>
      </c>
      <c r="BP122" s="159">
        <v>99762</v>
      </c>
      <c r="BQ122" s="159">
        <v>3380</v>
      </c>
      <c r="BR122" s="159">
        <v>26</v>
      </c>
      <c r="BS122" s="159">
        <v>41412</v>
      </c>
      <c r="BT122" s="159">
        <v>2944</v>
      </c>
      <c r="BU122" s="159">
        <v>1</v>
      </c>
      <c r="BV122" s="159">
        <v>1</v>
      </c>
      <c r="BW122" s="159">
        <v>0</v>
      </c>
      <c r="BX122" s="159">
        <v>0</v>
      </c>
      <c r="BY122" s="159">
        <v>299</v>
      </c>
      <c r="BZ122" s="159">
        <v>0</v>
      </c>
      <c r="CA122" s="159">
        <v>31091</v>
      </c>
      <c r="CB122" s="159">
        <v>27780</v>
      </c>
      <c r="CC122" s="159">
        <v>133591</v>
      </c>
      <c r="CD122" s="159">
        <v>356229</v>
      </c>
      <c r="CE122" s="159">
        <v>50024</v>
      </c>
      <c r="CF122" s="159">
        <v>90203</v>
      </c>
      <c r="CG122" s="159">
        <v>0</v>
      </c>
      <c r="CH122" s="159">
        <v>118</v>
      </c>
      <c r="CI122" s="159">
        <v>0</v>
      </c>
      <c r="CJ122" s="159">
        <v>56</v>
      </c>
      <c r="CK122" s="159">
        <v>75321</v>
      </c>
      <c r="CL122" s="159">
        <v>60887</v>
      </c>
      <c r="CM122" s="159">
        <v>423711</v>
      </c>
      <c r="CN122" s="159">
        <v>75739</v>
      </c>
      <c r="CO122" s="159">
        <v>33</v>
      </c>
      <c r="CP122" s="159">
        <v>15772</v>
      </c>
      <c r="CQ122" s="159">
        <v>1795</v>
      </c>
      <c r="CR122" s="159">
        <v>49</v>
      </c>
      <c r="CS122" s="159">
        <v>4056</v>
      </c>
      <c r="CT122" s="159">
        <v>257</v>
      </c>
      <c r="CU122" s="159">
        <v>21048</v>
      </c>
      <c r="CV122" s="159">
        <v>1</v>
      </c>
      <c r="CW122" s="159">
        <v>14859</v>
      </c>
      <c r="CX122" s="159">
        <v>6497</v>
      </c>
      <c r="CY122" s="159">
        <v>0</v>
      </c>
      <c r="CZ122" s="159">
        <v>0</v>
      </c>
      <c r="DA122" s="159">
        <v>0</v>
      </c>
      <c r="DB122" s="159">
        <v>7</v>
      </c>
      <c r="DC122" s="159">
        <v>0</v>
      </c>
      <c r="DD122" s="159">
        <v>18</v>
      </c>
      <c r="DE122" s="2"/>
      <c r="DG122" s="2">
        <f t="shared" si="56"/>
        <v>1601599</v>
      </c>
      <c r="DH122" s="2">
        <f>SUM(L122:M122,O122:AW122,AZ122:BB122,CQ122,CR122)</f>
        <v>293405</v>
      </c>
      <c r="DI122" s="2">
        <f t="shared" ref="DI122" si="83">SUM(DG122:DH122)</f>
        <v>1895004</v>
      </c>
      <c r="DJ122" s="2"/>
      <c r="DK122" s="2">
        <f t="shared" si="61"/>
        <v>87321</v>
      </c>
      <c r="DL122" s="2">
        <f t="shared" si="62"/>
        <v>138196</v>
      </c>
      <c r="DM122" s="2">
        <f t="shared" si="63"/>
        <v>16669</v>
      </c>
      <c r="DN122" s="2">
        <f t="shared" si="64"/>
        <v>49374</v>
      </c>
      <c r="DO122" s="2">
        <f t="shared" si="65"/>
        <v>577646</v>
      </c>
      <c r="DP122" s="2">
        <f t="shared" si="73"/>
        <v>143634</v>
      </c>
      <c r="DQ122" s="2">
        <f t="shared" si="66"/>
        <v>23200</v>
      </c>
      <c r="DR122" s="2">
        <f t="shared" si="67"/>
        <v>27899</v>
      </c>
      <c r="DS122" s="2">
        <f t="shared" si="68"/>
        <v>53568</v>
      </c>
      <c r="DT122" s="2">
        <f t="shared" si="69"/>
        <v>14782</v>
      </c>
      <c r="DU122" s="2">
        <f t="shared" si="58"/>
        <v>136208</v>
      </c>
      <c r="DV122" s="2">
        <f t="shared" si="59"/>
        <v>499483</v>
      </c>
      <c r="DW122" s="2">
        <f t="shared" si="74"/>
        <v>36821</v>
      </c>
      <c r="DX122" s="2">
        <f t="shared" si="77"/>
        <v>1804801</v>
      </c>
      <c r="DY122" s="2"/>
      <c r="DZ122" s="2">
        <f t="shared" si="70"/>
        <v>779066</v>
      </c>
      <c r="EA122" s="2">
        <f t="shared" si="57"/>
        <v>107661</v>
      </c>
      <c r="EB122" s="2"/>
      <c r="EC122" s="2">
        <f t="shared" ref="EC122" si="84">EA122+DI122</f>
        <v>2002665</v>
      </c>
      <c r="EH122" s="2"/>
    </row>
    <row r="123" spans="1:138" ht="14.4" x14ac:dyDescent="0.3">
      <c r="A123" s="82">
        <v>45444</v>
      </c>
      <c r="B123" s="161">
        <v>0</v>
      </c>
      <c r="C123" s="161">
        <v>0</v>
      </c>
      <c r="D123" s="161">
        <v>0</v>
      </c>
      <c r="E123" s="161">
        <v>0</v>
      </c>
      <c r="F123" s="161">
        <v>3844</v>
      </c>
      <c r="G123" s="161">
        <v>20471</v>
      </c>
      <c r="H123" s="161">
        <v>59787</v>
      </c>
      <c r="I123" s="161">
        <v>3521</v>
      </c>
      <c r="J123" s="161">
        <v>11018</v>
      </c>
      <c r="K123" s="161">
        <v>2053</v>
      </c>
      <c r="L123" s="161">
        <v>36599</v>
      </c>
      <c r="M123" s="161">
        <v>1122</v>
      </c>
      <c r="N123" s="161">
        <v>1185</v>
      </c>
      <c r="O123" s="161">
        <v>1451</v>
      </c>
      <c r="P123" s="161">
        <v>11510</v>
      </c>
      <c r="Q123" s="161">
        <v>334</v>
      </c>
      <c r="R123" s="161">
        <v>4898</v>
      </c>
      <c r="S123" s="161">
        <v>16954</v>
      </c>
      <c r="T123" s="161">
        <v>23</v>
      </c>
      <c r="U123" s="161">
        <v>4288</v>
      </c>
      <c r="V123" s="161">
        <v>31</v>
      </c>
      <c r="W123" s="161">
        <v>27531</v>
      </c>
      <c r="X123" s="161">
        <v>535</v>
      </c>
      <c r="Y123" s="161">
        <v>5</v>
      </c>
      <c r="Z123" s="161">
        <v>0</v>
      </c>
      <c r="AA123" s="161">
        <v>1</v>
      </c>
      <c r="AB123" s="161">
        <v>68</v>
      </c>
      <c r="AC123" s="161">
        <v>29</v>
      </c>
      <c r="AD123" s="161">
        <v>22</v>
      </c>
      <c r="AE123" s="161">
        <v>14</v>
      </c>
      <c r="AF123" s="161">
        <v>61</v>
      </c>
      <c r="AG123" s="161">
        <v>82</v>
      </c>
      <c r="AH123" s="161">
        <v>2585</v>
      </c>
      <c r="AI123" s="161">
        <v>1</v>
      </c>
      <c r="AJ123" s="161">
        <v>10648</v>
      </c>
      <c r="AK123" s="161">
        <v>103845</v>
      </c>
      <c r="AL123" s="161">
        <v>1344</v>
      </c>
      <c r="AM123" s="161">
        <v>23308</v>
      </c>
      <c r="AN123" s="161">
        <v>8</v>
      </c>
      <c r="AO123" s="161">
        <v>7</v>
      </c>
      <c r="AP123" s="161">
        <v>13270</v>
      </c>
      <c r="AQ123" s="161">
        <v>0</v>
      </c>
      <c r="AR123" s="161">
        <v>225</v>
      </c>
      <c r="AS123" s="161">
        <v>69</v>
      </c>
      <c r="AT123" s="161">
        <v>12291</v>
      </c>
      <c r="AU123" s="161">
        <v>2368</v>
      </c>
      <c r="AV123" s="161">
        <v>3206</v>
      </c>
      <c r="AW123" s="161">
        <v>13557</v>
      </c>
      <c r="AX123" s="161">
        <v>2</v>
      </c>
      <c r="AY123" s="161">
        <v>0</v>
      </c>
      <c r="AZ123" s="161">
        <v>613</v>
      </c>
      <c r="BA123" s="161">
        <v>0</v>
      </c>
      <c r="BB123" s="161">
        <v>65</v>
      </c>
      <c r="BC123" s="161">
        <v>2406</v>
      </c>
      <c r="BD123" s="161">
        <v>0</v>
      </c>
      <c r="BE123" s="161">
        <v>0</v>
      </c>
      <c r="BF123" s="161">
        <v>9210</v>
      </c>
      <c r="BG123" s="161">
        <v>0</v>
      </c>
      <c r="BH123" s="161">
        <v>0</v>
      </c>
      <c r="BI123" s="161">
        <v>0</v>
      </c>
      <c r="BJ123" s="161">
        <v>2</v>
      </c>
      <c r="BK123" s="161">
        <v>5471</v>
      </c>
      <c r="BL123" s="161">
        <v>0</v>
      </c>
      <c r="BM123" s="161">
        <v>18</v>
      </c>
      <c r="BN123" s="161">
        <v>0</v>
      </c>
      <c r="BO123" s="161">
        <v>53162</v>
      </c>
      <c r="BP123" s="161">
        <v>98912</v>
      </c>
      <c r="BQ123" s="161">
        <v>3317</v>
      </c>
      <c r="BR123" s="161">
        <v>24</v>
      </c>
      <c r="BS123" s="161">
        <v>40789</v>
      </c>
      <c r="BT123" s="161">
        <v>2926</v>
      </c>
      <c r="BU123" s="161">
        <v>0</v>
      </c>
      <c r="BV123" s="161">
        <v>1</v>
      </c>
      <c r="BW123" s="161">
        <v>0</v>
      </c>
      <c r="BX123" s="161">
        <v>0</v>
      </c>
      <c r="BY123" s="161">
        <v>299</v>
      </c>
      <c r="BZ123" s="161">
        <v>0</v>
      </c>
      <c r="CA123" s="161">
        <v>32356</v>
      </c>
      <c r="CB123" s="161">
        <v>28514</v>
      </c>
      <c r="CC123" s="161">
        <v>132718</v>
      </c>
      <c r="CD123" s="161">
        <v>354830</v>
      </c>
      <c r="CE123" s="161">
        <v>49620</v>
      </c>
      <c r="CF123" s="161">
        <v>92496</v>
      </c>
      <c r="CG123" s="161">
        <v>0</v>
      </c>
      <c r="CH123" s="161">
        <v>139</v>
      </c>
      <c r="CI123" s="161">
        <v>0</v>
      </c>
      <c r="CJ123" s="161">
        <v>49</v>
      </c>
      <c r="CK123" s="161">
        <v>74286</v>
      </c>
      <c r="CL123" s="161">
        <v>59819</v>
      </c>
      <c r="CM123" s="161">
        <v>418445</v>
      </c>
      <c r="CN123" s="161">
        <v>74076</v>
      </c>
      <c r="CO123" s="161">
        <v>25</v>
      </c>
      <c r="CP123" s="161">
        <v>16093</v>
      </c>
      <c r="CQ123" s="161">
        <v>1840</v>
      </c>
      <c r="CR123" s="161">
        <v>58</v>
      </c>
      <c r="CS123" s="161">
        <v>4147</v>
      </c>
      <c r="CT123" s="161">
        <v>247</v>
      </c>
      <c r="CU123" s="161">
        <v>21795</v>
      </c>
      <c r="CV123" s="161">
        <v>0</v>
      </c>
      <c r="CW123" s="161">
        <v>15233</v>
      </c>
      <c r="CX123" s="161">
        <v>6835</v>
      </c>
      <c r="CY123" s="161">
        <v>0</v>
      </c>
      <c r="CZ123" s="161">
        <v>0</v>
      </c>
      <c r="DA123" s="161">
        <v>0</v>
      </c>
      <c r="DB123" s="161">
        <v>3</v>
      </c>
      <c r="DC123" s="161">
        <v>0</v>
      </c>
      <c r="DD123" s="161">
        <v>8</v>
      </c>
      <c r="DE123" s="2"/>
      <c r="DG123" s="2">
        <f t="shared" si="56"/>
        <v>1593868</v>
      </c>
      <c r="DH123" s="2">
        <f>SUM(L123:M123,O123:AW123,AZ123:BB123,CQ123,CR123)</f>
        <v>294866</v>
      </c>
      <c r="DI123" s="2">
        <f t="shared" ref="DI123" si="85">SUM(DG123:DH123)</f>
        <v>1888734</v>
      </c>
      <c r="DJ123" s="2"/>
      <c r="DK123" s="2">
        <f t="shared" si="61"/>
        <v>87787</v>
      </c>
      <c r="DL123" s="2">
        <f t="shared" si="62"/>
        <v>138024</v>
      </c>
      <c r="DM123" s="2">
        <f t="shared" si="63"/>
        <v>16954</v>
      </c>
      <c r="DN123" s="2">
        <f t="shared" si="64"/>
        <v>50203</v>
      </c>
      <c r="DO123" s="2">
        <f t="shared" si="65"/>
        <v>576144</v>
      </c>
      <c r="DP123" s="2">
        <f t="shared" si="73"/>
        <v>142125</v>
      </c>
      <c r="DQ123" s="2">
        <f t="shared" si="66"/>
        <v>23966</v>
      </c>
      <c r="DR123" s="2">
        <f t="shared" si="67"/>
        <v>28653</v>
      </c>
      <c r="DS123" s="2">
        <f t="shared" si="68"/>
        <v>53162</v>
      </c>
      <c r="DT123" s="2">
        <f t="shared" si="69"/>
        <v>14681</v>
      </c>
      <c r="DU123" s="2">
        <f t="shared" si="58"/>
        <v>134105</v>
      </c>
      <c r="DV123" s="2">
        <f t="shared" si="59"/>
        <v>492546</v>
      </c>
      <c r="DW123" s="2">
        <f t="shared" si="74"/>
        <v>37888</v>
      </c>
      <c r="DX123" s="2">
        <f t="shared" ref="DX123" si="86">SUM(DK123:DW123)</f>
        <v>1796238</v>
      </c>
      <c r="DY123" s="2"/>
      <c r="DZ123" s="2">
        <f t="shared" si="70"/>
        <v>778118</v>
      </c>
      <c r="EA123" s="2">
        <f t="shared" si="57"/>
        <v>106273</v>
      </c>
      <c r="EB123" s="2"/>
      <c r="EC123" s="2">
        <f t="shared" ref="EC123" si="87">EA123+DI123</f>
        <v>1995007</v>
      </c>
    </row>
    <row r="124" spans="1:138" ht="14.4" x14ac:dyDescent="0.3">
      <c r="A124" s="82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</row>
    <row r="125" spans="1:138" ht="14.4" x14ac:dyDescent="0.3">
      <c r="A125" s="13"/>
      <c r="Z125" s="81"/>
      <c r="AX125" s="81"/>
      <c r="AY125" s="81"/>
      <c r="AZ125" s="81"/>
      <c r="BA125" s="81"/>
      <c r="DE125" s="51"/>
      <c r="DG125" s="2"/>
      <c r="DH125" s="2"/>
      <c r="DI125" s="2"/>
      <c r="DJ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EB125" s="2"/>
    </row>
    <row r="126" spans="1:138" x14ac:dyDescent="0.25">
      <c r="A126" s="12" t="s">
        <v>109</v>
      </c>
      <c r="B126" s="89">
        <f t="shared" ref="B126:AG126" si="88">AVERAGE(B4:B15)</f>
        <v>0</v>
      </c>
      <c r="C126" s="89">
        <f t="shared" si="88"/>
        <v>0</v>
      </c>
      <c r="D126" s="89">
        <f t="shared" si="88"/>
        <v>0</v>
      </c>
      <c r="E126" s="89">
        <f t="shared" si="88"/>
        <v>0</v>
      </c>
      <c r="F126" s="89">
        <f t="shared" si="88"/>
        <v>326.25</v>
      </c>
      <c r="G126" s="89">
        <f t="shared" si="88"/>
        <v>16048.25</v>
      </c>
      <c r="H126" s="89">
        <f t="shared" si="88"/>
        <v>36561</v>
      </c>
      <c r="I126" s="89">
        <f t="shared" si="88"/>
        <v>2523.1666666666665</v>
      </c>
      <c r="J126" s="89">
        <f t="shared" si="88"/>
        <v>5883.5</v>
      </c>
      <c r="K126" s="89">
        <f t="shared" si="88"/>
        <v>707.75</v>
      </c>
      <c r="L126" s="89">
        <f t="shared" si="88"/>
        <v>23845.75</v>
      </c>
      <c r="M126" s="89">
        <f t="shared" si="88"/>
        <v>1379.5833333333333</v>
      </c>
      <c r="N126" s="89">
        <f t="shared" si="88"/>
        <v>15.5</v>
      </c>
      <c r="O126" s="89">
        <f t="shared" si="88"/>
        <v>1276.5833333333333</v>
      </c>
      <c r="P126" s="89">
        <f t="shared" si="88"/>
        <v>11701.75</v>
      </c>
      <c r="Q126" s="89">
        <f t="shared" si="88"/>
        <v>291.41666666666669</v>
      </c>
      <c r="R126" s="89">
        <f t="shared" si="88"/>
        <v>7310</v>
      </c>
      <c r="S126" s="89">
        <f t="shared" si="88"/>
        <v>11573.916666666666</v>
      </c>
      <c r="T126" s="89">
        <f t="shared" si="88"/>
        <v>31.75</v>
      </c>
      <c r="U126" s="89">
        <f t="shared" si="88"/>
        <v>1316.4166666666667</v>
      </c>
      <c r="V126" s="89">
        <f t="shared" si="88"/>
        <v>225.08333333333334</v>
      </c>
      <c r="W126" s="89">
        <f t="shared" si="88"/>
        <v>10037.166666666666</v>
      </c>
      <c r="X126" s="89">
        <f t="shared" si="88"/>
        <v>350.66666666666669</v>
      </c>
      <c r="Y126" s="89">
        <f t="shared" si="88"/>
        <v>10.75</v>
      </c>
      <c r="Z126" s="89">
        <f t="shared" si="88"/>
        <v>14.166666666666666</v>
      </c>
      <c r="AA126" s="89">
        <f t="shared" si="88"/>
        <v>5.25</v>
      </c>
      <c r="AB126" s="89">
        <f t="shared" si="88"/>
        <v>288.75</v>
      </c>
      <c r="AC126" s="89">
        <f t="shared" si="88"/>
        <v>24.25</v>
      </c>
      <c r="AD126" s="89">
        <f t="shared" si="88"/>
        <v>35.416666666666664</v>
      </c>
      <c r="AE126" s="89">
        <f t="shared" si="88"/>
        <v>40.583333333333336</v>
      </c>
      <c r="AF126" s="89">
        <f t="shared" si="88"/>
        <v>76.166666666666671</v>
      </c>
      <c r="AG126" s="89">
        <f t="shared" si="88"/>
        <v>57.083333333333336</v>
      </c>
      <c r="AH126" s="89">
        <f t="shared" ref="AH126:BM126" si="89">AVERAGE(AH4:AH15)</f>
        <v>638.33333333333337</v>
      </c>
      <c r="AI126" s="89">
        <f t="shared" si="89"/>
        <v>11.833333333333334</v>
      </c>
      <c r="AJ126" s="89">
        <f t="shared" si="89"/>
        <v>13843.25</v>
      </c>
      <c r="AK126" s="89">
        <f t="shared" si="89"/>
        <v>114179.75</v>
      </c>
      <c r="AL126" s="89">
        <f t="shared" si="89"/>
        <v>2860.25</v>
      </c>
      <c r="AM126" s="89">
        <f t="shared" si="89"/>
        <v>21870.416666666668</v>
      </c>
      <c r="AN126" s="89">
        <f t="shared" si="89"/>
        <v>18</v>
      </c>
      <c r="AO126" s="89">
        <f t="shared" si="89"/>
        <v>3.8333333333333335</v>
      </c>
      <c r="AP126" s="89">
        <f t="shared" si="89"/>
        <v>9642.8333333333339</v>
      </c>
      <c r="AQ126" s="89">
        <f t="shared" si="89"/>
        <v>0</v>
      </c>
      <c r="AR126" s="89">
        <f t="shared" si="89"/>
        <v>980.5</v>
      </c>
      <c r="AS126" s="89">
        <f t="shared" si="89"/>
        <v>45.583333333333336</v>
      </c>
      <c r="AT126" s="89">
        <f t="shared" si="89"/>
        <v>10241.333333333334</v>
      </c>
      <c r="AU126" s="89">
        <f t="shared" si="89"/>
        <v>2584.75</v>
      </c>
      <c r="AV126" s="89">
        <f t="shared" si="89"/>
        <v>5142.666666666667</v>
      </c>
      <c r="AW126" s="89">
        <f t="shared" si="89"/>
        <v>16835.666666666668</v>
      </c>
      <c r="AX126" s="89">
        <f t="shared" si="89"/>
        <v>44.75</v>
      </c>
      <c r="AY126" s="89">
        <f t="shared" si="89"/>
        <v>64.916666666666671</v>
      </c>
      <c r="AZ126" s="89">
        <f t="shared" si="89"/>
        <v>972</v>
      </c>
      <c r="BA126" s="89">
        <f t="shared" si="89"/>
        <v>0</v>
      </c>
      <c r="BB126" s="89">
        <f t="shared" si="89"/>
        <v>234.75</v>
      </c>
      <c r="BC126" s="89">
        <f t="shared" si="89"/>
        <v>400.08333333333331</v>
      </c>
      <c r="BD126" s="89">
        <f t="shared" si="89"/>
        <v>0</v>
      </c>
      <c r="BE126" s="89">
        <f t="shared" si="89"/>
        <v>0</v>
      </c>
      <c r="BF126" s="89">
        <f t="shared" si="89"/>
        <v>7670.083333333333</v>
      </c>
      <c r="BG126" s="89">
        <f t="shared" si="89"/>
        <v>0</v>
      </c>
      <c r="BH126" s="89">
        <f t="shared" si="89"/>
        <v>0</v>
      </c>
      <c r="BI126" s="89">
        <f t="shared" si="89"/>
        <v>0</v>
      </c>
      <c r="BJ126" s="89">
        <f t="shared" si="89"/>
        <v>64.333333333333329</v>
      </c>
      <c r="BK126" s="89">
        <f t="shared" si="89"/>
        <v>5309.833333333333</v>
      </c>
      <c r="BL126" s="89">
        <f t="shared" si="89"/>
        <v>0.83333333333333337</v>
      </c>
      <c r="BM126" s="89">
        <f t="shared" si="89"/>
        <v>469.41666666666669</v>
      </c>
      <c r="BN126" s="89">
        <f t="shared" ref="BN126:DD126" si="90">AVERAGE(BN4:BN15)</f>
        <v>4.333333333333333</v>
      </c>
      <c r="BO126" s="89">
        <f t="shared" si="90"/>
        <v>78291.166666666672</v>
      </c>
      <c r="BP126" s="89">
        <f t="shared" si="90"/>
        <v>78740.166666666672</v>
      </c>
      <c r="BQ126" s="89">
        <f t="shared" si="90"/>
        <v>289</v>
      </c>
      <c r="BR126" s="89">
        <f t="shared" si="90"/>
        <v>120</v>
      </c>
      <c r="BS126" s="89">
        <f t="shared" si="90"/>
        <v>18145.416666666668</v>
      </c>
      <c r="BT126" s="89">
        <f t="shared" si="90"/>
        <v>68.75</v>
      </c>
      <c r="BU126" s="89">
        <f t="shared" si="90"/>
        <v>2.5833333333333335</v>
      </c>
      <c r="BV126" s="89">
        <f t="shared" si="90"/>
        <v>3.75</v>
      </c>
      <c r="BW126" s="89">
        <f t="shared" si="90"/>
        <v>13.5</v>
      </c>
      <c r="BX126" s="89">
        <f t="shared" si="90"/>
        <v>1619.4</v>
      </c>
      <c r="BY126" s="89">
        <f t="shared" si="90"/>
        <v>16.666666666666668</v>
      </c>
      <c r="BZ126" s="89">
        <f t="shared" si="90"/>
        <v>0</v>
      </c>
      <c r="CA126" s="89">
        <f t="shared" si="90"/>
        <v>22374.083333333332</v>
      </c>
      <c r="CB126" s="89">
        <f t="shared" si="90"/>
        <v>16379.666666666666</v>
      </c>
      <c r="CC126" s="89">
        <f t="shared" si="90"/>
        <v>140126.91666666666</v>
      </c>
      <c r="CD126" s="89">
        <f t="shared" si="90"/>
        <v>269983.33333333331</v>
      </c>
      <c r="CE126" s="89">
        <f t="shared" si="90"/>
        <v>27944.25</v>
      </c>
      <c r="CF126" s="89">
        <f t="shared" si="90"/>
        <v>48332.75</v>
      </c>
      <c r="CG126" s="89">
        <f t="shared" si="90"/>
        <v>0</v>
      </c>
      <c r="CH126" s="89">
        <f t="shared" si="90"/>
        <v>28.083333333333332</v>
      </c>
      <c r="CI126" s="89">
        <f t="shared" si="90"/>
        <v>5.166666666666667</v>
      </c>
      <c r="CJ126" s="89">
        <f t="shared" si="90"/>
        <v>20.833333333333332</v>
      </c>
      <c r="CK126" s="89">
        <v>0</v>
      </c>
      <c r="CL126" s="89">
        <v>0</v>
      </c>
      <c r="CM126" s="89">
        <v>0</v>
      </c>
      <c r="CN126" s="89">
        <v>0</v>
      </c>
      <c r="CO126" s="89">
        <v>0</v>
      </c>
      <c r="CP126" s="89">
        <v>0</v>
      </c>
      <c r="CQ126" s="89">
        <f t="shared" si="90"/>
        <v>67.444444444444443</v>
      </c>
      <c r="CR126" s="89">
        <f t="shared" si="90"/>
        <v>0.5</v>
      </c>
      <c r="CS126" s="89">
        <v>0</v>
      </c>
      <c r="CT126" s="89">
        <v>0</v>
      </c>
      <c r="CU126" s="89">
        <v>0</v>
      </c>
      <c r="CV126" s="89">
        <v>0</v>
      </c>
      <c r="CW126" s="89">
        <v>0</v>
      </c>
      <c r="CX126" s="89">
        <v>0</v>
      </c>
      <c r="CY126" s="89">
        <f t="shared" si="90"/>
        <v>0</v>
      </c>
      <c r="CZ126" s="89">
        <f t="shared" si="90"/>
        <v>0</v>
      </c>
      <c r="DA126" s="89">
        <f t="shared" si="90"/>
        <v>0</v>
      </c>
      <c r="DB126" s="89">
        <f t="shared" si="90"/>
        <v>15.666666666666666</v>
      </c>
      <c r="DC126" s="89">
        <f t="shared" si="90"/>
        <v>0</v>
      </c>
      <c r="DD126" s="89">
        <f t="shared" si="90"/>
        <v>28.75</v>
      </c>
      <c r="DE126" s="2"/>
      <c r="DF126" s="2"/>
      <c r="DG126" s="11">
        <f>AVERAGE(DG4:DG15)</f>
        <v>715589.41666666663</v>
      </c>
      <c r="DH126" s="11">
        <f t="shared" ref="DH126:EC126" si="91">AVERAGE(DH4:DH15)</f>
        <v>270049</v>
      </c>
      <c r="DI126" s="11">
        <f t="shared" si="91"/>
        <v>985638.41666666663</v>
      </c>
      <c r="DJ126" s="11"/>
      <c r="DK126" s="11">
        <f t="shared" si="91"/>
        <v>57415.5</v>
      </c>
      <c r="DL126" s="11">
        <f t="shared" si="91"/>
        <v>152565.75</v>
      </c>
      <c r="DM126" s="11">
        <f t="shared" si="91"/>
        <v>11573.916666666666</v>
      </c>
      <c r="DN126" s="11">
        <f t="shared" si="91"/>
        <v>48428.916666666664</v>
      </c>
      <c r="DO126" s="11">
        <f t="shared" si="91"/>
        <v>461066.16666666669</v>
      </c>
      <c r="DP126" s="11">
        <f t="shared" si="91"/>
        <v>97820</v>
      </c>
      <c r="DQ126" s="11">
        <v>0</v>
      </c>
      <c r="DR126" s="11">
        <f t="shared" si="91"/>
        <v>16421.916666666668</v>
      </c>
      <c r="DS126" s="11">
        <f t="shared" si="91"/>
        <v>78293.75</v>
      </c>
      <c r="DT126" s="11">
        <f t="shared" si="91"/>
        <v>12994.25</v>
      </c>
      <c r="DU126" s="11">
        <v>0</v>
      </c>
      <c r="DV126" s="11">
        <v>0</v>
      </c>
      <c r="DW126" s="11">
        <v>0</v>
      </c>
      <c r="DX126" s="11">
        <f t="shared" si="91"/>
        <v>936630.83333333337</v>
      </c>
      <c r="DY126" s="11"/>
      <c r="DZ126" s="11">
        <f t="shared" si="91"/>
        <v>583409.08333333337</v>
      </c>
      <c r="EA126" s="11">
        <f t="shared" si="91"/>
        <v>62065.416666666664</v>
      </c>
      <c r="EB126" s="11"/>
      <c r="EC126" s="11">
        <f t="shared" si="91"/>
        <v>1047703.8333333334</v>
      </c>
    </row>
    <row r="127" spans="1:138" x14ac:dyDescent="0.25">
      <c r="A127" s="12" t="s">
        <v>145</v>
      </c>
      <c r="B127" s="11">
        <f t="shared" ref="B127:AG127" si="92">AVERAGE(B16:B27)</f>
        <v>0</v>
      </c>
      <c r="C127" s="11">
        <f t="shared" si="92"/>
        <v>0</v>
      </c>
      <c r="D127" s="11">
        <f t="shared" si="92"/>
        <v>0</v>
      </c>
      <c r="E127" s="11">
        <f t="shared" si="92"/>
        <v>0</v>
      </c>
      <c r="F127" s="11">
        <f t="shared" si="92"/>
        <v>1060.0833333333333</v>
      </c>
      <c r="G127" s="11">
        <f t="shared" si="92"/>
        <v>15956.333333333334</v>
      </c>
      <c r="H127" s="11">
        <f t="shared" si="92"/>
        <v>37051.166666666664</v>
      </c>
      <c r="I127" s="11">
        <f t="shared" si="92"/>
        <v>1153.75</v>
      </c>
      <c r="J127" s="11">
        <f t="shared" si="92"/>
        <v>2673.6666666666665</v>
      </c>
      <c r="K127" s="11">
        <f t="shared" si="92"/>
        <v>552.66666666666663</v>
      </c>
      <c r="L127" s="11">
        <f t="shared" si="92"/>
        <v>23873.25</v>
      </c>
      <c r="M127" s="11">
        <f t="shared" si="92"/>
        <v>1345.9166666666667</v>
      </c>
      <c r="N127" s="11">
        <f t="shared" si="92"/>
        <v>300.75</v>
      </c>
      <c r="O127" s="11">
        <f t="shared" si="92"/>
        <v>1093.5</v>
      </c>
      <c r="P127" s="11">
        <f t="shared" si="92"/>
        <v>11500.083333333334</v>
      </c>
      <c r="Q127" s="11">
        <f t="shared" si="92"/>
        <v>280.33333333333331</v>
      </c>
      <c r="R127" s="11">
        <f t="shared" si="92"/>
        <v>7062.583333333333</v>
      </c>
      <c r="S127" s="11">
        <f t="shared" si="92"/>
        <v>11612.25</v>
      </c>
      <c r="T127" s="11">
        <f t="shared" si="92"/>
        <v>29.833333333333332</v>
      </c>
      <c r="U127" s="11">
        <f t="shared" si="92"/>
        <v>2089.0833333333335</v>
      </c>
      <c r="V127" s="11">
        <f t="shared" si="92"/>
        <v>108.66666666666667</v>
      </c>
      <c r="W127" s="11">
        <f t="shared" si="92"/>
        <v>11159.75</v>
      </c>
      <c r="X127" s="11">
        <f t="shared" si="92"/>
        <v>394.08333333333331</v>
      </c>
      <c r="Y127" s="11">
        <f t="shared" si="92"/>
        <v>12.083333333333334</v>
      </c>
      <c r="Z127" s="11">
        <f t="shared" si="92"/>
        <v>10.583333333333334</v>
      </c>
      <c r="AA127" s="11">
        <f t="shared" si="92"/>
        <v>6.166666666666667</v>
      </c>
      <c r="AB127" s="11">
        <f t="shared" si="92"/>
        <v>250.41666666666666</v>
      </c>
      <c r="AC127" s="11">
        <f t="shared" si="92"/>
        <v>25.916666666666668</v>
      </c>
      <c r="AD127" s="11">
        <f t="shared" si="92"/>
        <v>38.75</v>
      </c>
      <c r="AE127" s="11">
        <f t="shared" si="92"/>
        <v>36.5</v>
      </c>
      <c r="AF127" s="11">
        <f t="shared" si="92"/>
        <v>73.833333333333329</v>
      </c>
      <c r="AG127" s="11">
        <f t="shared" si="92"/>
        <v>49.166666666666664</v>
      </c>
      <c r="AH127" s="11">
        <f t="shared" ref="AH127:BM127" si="93">AVERAGE(AH16:AH27)</f>
        <v>941</v>
      </c>
      <c r="AI127" s="11">
        <f t="shared" si="93"/>
        <v>7.916666666666667</v>
      </c>
      <c r="AJ127" s="11">
        <f t="shared" si="93"/>
        <v>14103.666666666666</v>
      </c>
      <c r="AK127" s="11">
        <f t="shared" si="93"/>
        <v>115189.41666666667</v>
      </c>
      <c r="AL127" s="11">
        <f t="shared" si="93"/>
        <v>2790.4166666666665</v>
      </c>
      <c r="AM127" s="11">
        <f t="shared" si="93"/>
        <v>21992.583333333332</v>
      </c>
      <c r="AN127" s="11">
        <f t="shared" si="93"/>
        <v>20.166666666666668</v>
      </c>
      <c r="AO127" s="11">
        <f t="shared" si="93"/>
        <v>17.583333333333332</v>
      </c>
      <c r="AP127" s="11">
        <f t="shared" si="93"/>
        <v>10951.333333333334</v>
      </c>
      <c r="AQ127" s="11">
        <f t="shared" si="93"/>
        <v>0</v>
      </c>
      <c r="AR127" s="11">
        <f t="shared" si="93"/>
        <v>867.41666666666663</v>
      </c>
      <c r="AS127" s="11">
        <f t="shared" si="93"/>
        <v>50.916666666666664</v>
      </c>
      <c r="AT127" s="11">
        <f t="shared" si="93"/>
        <v>11399.25</v>
      </c>
      <c r="AU127" s="11">
        <f t="shared" si="93"/>
        <v>2630.25</v>
      </c>
      <c r="AV127" s="11">
        <f t="shared" si="93"/>
        <v>5184.916666666667</v>
      </c>
      <c r="AW127" s="11">
        <f t="shared" si="93"/>
        <v>16814.083333333332</v>
      </c>
      <c r="AX127" s="11">
        <f t="shared" si="93"/>
        <v>33.333333333333336</v>
      </c>
      <c r="AY127" s="11">
        <f t="shared" si="93"/>
        <v>25.666666666666668</v>
      </c>
      <c r="AZ127" s="11">
        <f t="shared" si="93"/>
        <v>1007.4166666666666</v>
      </c>
      <c r="BA127" s="11">
        <f t="shared" si="93"/>
        <v>0</v>
      </c>
      <c r="BB127" s="11">
        <f t="shared" si="93"/>
        <v>157.66666666666666</v>
      </c>
      <c r="BC127" s="11">
        <f t="shared" si="93"/>
        <v>610.91666666666663</v>
      </c>
      <c r="BD127" s="11">
        <f t="shared" si="93"/>
        <v>0</v>
      </c>
      <c r="BE127" s="11">
        <f t="shared" si="93"/>
        <v>0</v>
      </c>
      <c r="BF127" s="11">
        <f t="shared" si="93"/>
        <v>7688.25</v>
      </c>
      <c r="BG127" s="11">
        <f t="shared" si="93"/>
        <v>0</v>
      </c>
      <c r="BH127" s="11">
        <f t="shared" si="93"/>
        <v>0</v>
      </c>
      <c r="BI127" s="11">
        <f t="shared" si="93"/>
        <v>0</v>
      </c>
      <c r="BJ127" s="11">
        <f t="shared" si="93"/>
        <v>64.333333333333329</v>
      </c>
      <c r="BK127" s="11">
        <f t="shared" si="93"/>
        <v>5456.5</v>
      </c>
      <c r="BL127" s="11">
        <f t="shared" si="93"/>
        <v>0.41666666666666669</v>
      </c>
      <c r="BM127" s="11">
        <f t="shared" si="93"/>
        <v>338.91666666666669</v>
      </c>
      <c r="BN127" s="11">
        <f t="shared" ref="BN127:DD127" si="94">AVERAGE(BN16:BN27)</f>
        <v>2.5</v>
      </c>
      <c r="BO127" s="11">
        <f t="shared" si="94"/>
        <v>110094.41666666667</v>
      </c>
      <c r="BP127" s="11">
        <f t="shared" si="94"/>
        <v>76867.916666666672</v>
      </c>
      <c r="BQ127" s="11">
        <f t="shared" si="94"/>
        <v>503.16666666666669</v>
      </c>
      <c r="BR127" s="11">
        <f t="shared" si="94"/>
        <v>109.83333333333333</v>
      </c>
      <c r="BS127" s="11">
        <f t="shared" si="94"/>
        <v>24449.75</v>
      </c>
      <c r="BT127" s="11">
        <f t="shared" si="94"/>
        <v>295.58333333333331</v>
      </c>
      <c r="BU127" s="11">
        <f t="shared" si="94"/>
        <v>6.166666666666667</v>
      </c>
      <c r="BV127" s="11">
        <f t="shared" si="94"/>
        <v>1.6666666666666667</v>
      </c>
      <c r="BW127" s="11">
        <f t="shared" si="94"/>
        <v>4.833333333333333</v>
      </c>
      <c r="BX127" s="11">
        <f t="shared" si="94"/>
        <v>5691.666666666667</v>
      </c>
      <c r="BY127" s="11">
        <f t="shared" si="94"/>
        <v>119.58333333333333</v>
      </c>
      <c r="BZ127" s="11">
        <f t="shared" si="94"/>
        <v>0</v>
      </c>
      <c r="CA127" s="11">
        <f t="shared" si="94"/>
        <v>23309.416666666668</v>
      </c>
      <c r="CB127" s="11">
        <f t="shared" si="94"/>
        <v>16493</v>
      </c>
      <c r="CC127" s="11">
        <f t="shared" si="94"/>
        <v>136813.41666666666</v>
      </c>
      <c r="CD127" s="11">
        <f t="shared" si="94"/>
        <v>276857.75</v>
      </c>
      <c r="CE127" s="11">
        <f t="shared" si="94"/>
        <v>29840.083333333332</v>
      </c>
      <c r="CF127" s="11">
        <f t="shared" si="94"/>
        <v>49800.75</v>
      </c>
      <c r="CG127" s="11">
        <f t="shared" si="94"/>
        <v>0</v>
      </c>
      <c r="CH127" s="11">
        <f t="shared" si="94"/>
        <v>15.583333333333334</v>
      </c>
      <c r="CI127" s="11">
        <f t="shared" si="94"/>
        <v>2.4166666666666665</v>
      </c>
      <c r="CJ127" s="11">
        <f t="shared" si="94"/>
        <v>22.25</v>
      </c>
      <c r="CK127" s="89">
        <v>0</v>
      </c>
      <c r="CL127" s="89">
        <v>0</v>
      </c>
      <c r="CM127" s="89">
        <v>0</v>
      </c>
      <c r="CN127" s="89">
        <v>0</v>
      </c>
      <c r="CO127" s="89">
        <v>0</v>
      </c>
      <c r="CP127" s="89">
        <v>0</v>
      </c>
      <c r="CQ127" s="11">
        <f t="shared" si="94"/>
        <v>208.08333333333334</v>
      </c>
      <c r="CR127" s="11">
        <f t="shared" si="94"/>
        <v>5</v>
      </c>
      <c r="CS127" s="89">
        <v>0</v>
      </c>
      <c r="CT127" s="89">
        <v>0</v>
      </c>
      <c r="CU127" s="89">
        <v>0</v>
      </c>
      <c r="CV127" s="89">
        <v>0</v>
      </c>
      <c r="CW127" s="89">
        <v>0</v>
      </c>
      <c r="CX127" s="89">
        <v>0</v>
      </c>
      <c r="CY127" s="11">
        <f t="shared" si="94"/>
        <v>0</v>
      </c>
      <c r="CZ127" s="11">
        <f t="shared" si="94"/>
        <v>0</v>
      </c>
      <c r="DA127" s="11">
        <f t="shared" si="94"/>
        <v>0</v>
      </c>
      <c r="DB127" s="11">
        <f t="shared" si="94"/>
        <v>14.833333333333334</v>
      </c>
      <c r="DC127" s="11">
        <f t="shared" si="94"/>
        <v>0</v>
      </c>
      <c r="DD127" s="11">
        <f t="shared" si="94"/>
        <v>27.083333333333332</v>
      </c>
      <c r="DG127" s="11">
        <f>AVERAGE(DG16:DG27)</f>
        <v>765520.08333333337</v>
      </c>
      <c r="DH127" s="11">
        <f t="shared" ref="DH127:EC127" si="95">AVERAGE(DH16:DH27)</f>
        <v>275392.66666666669</v>
      </c>
      <c r="DI127" s="11">
        <f t="shared" si="95"/>
        <v>1040912.75</v>
      </c>
      <c r="DJ127" s="11"/>
      <c r="DK127" s="11">
        <f t="shared" si="95"/>
        <v>58543</v>
      </c>
      <c r="DL127" s="11">
        <f t="shared" si="95"/>
        <v>155163.5</v>
      </c>
      <c r="DM127" s="11">
        <f t="shared" si="95"/>
        <v>11612.25</v>
      </c>
      <c r="DN127" s="11">
        <f t="shared" si="95"/>
        <v>49849.416666666664</v>
      </c>
      <c r="DO127" s="11">
        <f t="shared" si="95"/>
        <v>467975.33333333331</v>
      </c>
      <c r="DP127" s="11">
        <f t="shared" si="95"/>
        <v>102293.16666666667</v>
      </c>
      <c r="DQ127" s="11">
        <v>0</v>
      </c>
      <c r="DR127" s="11">
        <f t="shared" si="95"/>
        <v>16519.166666666668</v>
      </c>
      <c r="DS127" s="11">
        <f t="shared" si="95"/>
        <v>110100.58333333333</v>
      </c>
      <c r="DT127" s="11">
        <f t="shared" si="95"/>
        <v>13150</v>
      </c>
      <c r="DU127" s="11">
        <v>0</v>
      </c>
      <c r="DV127" s="11">
        <v>0</v>
      </c>
      <c r="DW127" s="11">
        <v>0</v>
      </c>
      <c r="DX127" s="11">
        <f t="shared" si="95"/>
        <v>985419.5</v>
      </c>
      <c r="DY127" s="11"/>
      <c r="DZ127" s="11">
        <f t="shared" si="95"/>
        <v>587761</v>
      </c>
      <c r="EA127" s="11">
        <f t="shared" si="95"/>
        <v>58748.416666666664</v>
      </c>
      <c r="EB127" s="11"/>
      <c r="EC127" s="11">
        <f t="shared" si="95"/>
        <v>1099661.1666666667</v>
      </c>
    </row>
    <row r="128" spans="1:138" x14ac:dyDescent="0.25">
      <c r="A128" s="12" t="s">
        <v>148</v>
      </c>
      <c r="B128" s="11">
        <f t="shared" ref="B128:AG128" si="96">AVERAGE(B28:B39)</f>
        <v>0</v>
      </c>
      <c r="C128" s="11">
        <f t="shared" si="96"/>
        <v>0</v>
      </c>
      <c r="D128" s="11">
        <f t="shared" si="96"/>
        <v>0</v>
      </c>
      <c r="E128" s="11">
        <f t="shared" si="96"/>
        <v>0</v>
      </c>
      <c r="F128" s="11">
        <f t="shared" si="96"/>
        <v>1064.4166666666667</v>
      </c>
      <c r="G128" s="11">
        <f t="shared" si="96"/>
        <v>16305.416666666666</v>
      </c>
      <c r="H128" s="11">
        <f t="shared" si="96"/>
        <v>39301.416666666664</v>
      </c>
      <c r="I128" s="11">
        <f t="shared" si="96"/>
        <v>960.83333333333337</v>
      </c>
      <c r="J128" s="11">
        <f t="shared" si="96"/>
        <v>2301.8333333333335</v>
      </c>
      <c r="K128" s="11">
        <f t="shared" si="96"/>
        <v>1065.4166666666667</v>
      </c>
      <c r="L128" s="11">
        <f t="shared" si="96"/>
        <v>28446.75</v>
      </c>
      <c r="M128" s="11">
        <f t="shared" si="96"/>
        <v>1431.6666666666667</v>
      </c>
      <c r="N128" s="11">
        <f t="shared" si="96"/>
        <v>581.41666666666663</v>
      </c>
      <c r="O128" s="11">
        <f t="shared" si="96"/>
        <v>1394.1666666666667</v>
      </c>
      <c r="P128" s="11">
        <f t="shared" si="96"/>
        <v>10613.666666666666</v>
      </c>
      <c r="Q128" s="11">
        <f t="shared" si="96"/>
        <v>250</v>
      </c>
      <c r="R128" s="11">
        <f t="shared" si="96"/>
        <v>5756.916666666667</v>
      </c>
      <c r="S128" s="11">
        <f t="shared" si="96"/>
        <v>12604.083333333334</v>
      </c>
      <c r="T128" s="11">
        <f t="shared" si="96"/>
        <v>33</v>
      </c>
      <c r="U128" s="11">
        <f t="shared" si="96"/>
        <v>3445.9166666666665</v>
      </c>
      <c r="V128" s="11">
        <f t="shared" si="96"/>
        <v>60.75</v>
      </c>
      <c r="W128" s="11">
        <f t="shared" si="96"/>
        <v>14583.25</v>
      </c>
      <c r="X128" s="11">
        <f t="shared" si="96"/>
        <v>460.83333333333331</v>
      </c>
      <c r="Y128" s="11">
        <f t="shared" si="96"/>
        <v>7.083333333333333</v>
      </c>
      <c r="Z128" s="11">
        <f t="shared" si="96"/>
        <v>6</v>
      </c>
      <c r="AA128" s="11">
        <f t="shared" si="96"/>
        <v>2.5833333333333335</v>
      </c>
      <c r="AB128" s="11">
        <f t="shared" si="96"/>
        <v>206.25</v>
      </c>
      <c r="AC128" s="11">
        <f t="shared" si="96"/>
        <v>20.666666666666668</v>
      </c>
      <c r="AD128" s="11">
        <f t="shared" si="96"/>
        <v>31.666666666666668</v>
      </c>
      <c r="AE128" s="11">
        <f t="shared" si="96"/>
        <v>24.583333333333332</v>
      </c>
      <c r="AF128" s="11">
        <f t="shared" si="96"/>
        <v>57.583333333333336</v>
      </c>
      <c r="AG128" s="11">
        <f t="shared" si="96"/>
        <v>75</v>
      </c>
      <c r="AH128" s="11">
        <f t="shared" ref="AH128:BM128" si="97">AVERAGE(AH28:AH39)</f>
        <v>1736.4166666666667</v>
      </c>
      <c r="AI128" s="11">
        <f t="shared" si="97"/>
        <v>2.9166666666666665</v>
      </c>
      <c r="AJ128" s="11">
        <f t="shared" si="97"/>
        <v>15428.166666666666</v>
      </c>
      <c r="AK128" s="11">
        <f t="shared" si="97"/>
        <v>111845.33333333333</v>
      </c>
      <c r="AL128" s="11">
        <f t="shared" si="97"/>
        <v>2600.1666666666665</v>
      </c>
      <c r="AM128" s="11">
        <f t="shared" si="97"/>
        <v>21455.083333333332</v>
      </c>
      <c r="AN128" s="11">
        <f t="shared" si="97"/>
        <v>22.666666666666668</v>
      </c>
      <c r="AO128" s="11">
        <f t="shared" si="97"/>
        <v>91.416666666666671</v>
      </c>
      <c r="AP128" s="11">
        <f t="shared" si="97"/>
        <v>10905.666666666666</v>
      </c>
      <c r="AQ128" s="11">
        <f t="shared" si="97"/>
        <v>0</v>
      </c>
      <c r="AR128" s="11">
        <f t="shared" si="97"/>
        <v>872</v>
      </c>
      <c r="AS128" s="11">
        <f t="shared" si="97"/>
        <v>49.166666666666664</v>
      </c>
      <c r="AT128" s="11">
        <f t="shared" si="97"/>
        <v>10916</v>
      </c>
      <c r="AU128" s="11">
        <f t="shared" si="97"/>
        <v>2356.75</v>
      </c>
      <c r="AV128" s="11">
        <f t="shared" si="97"/>
        <v>4062.4166666666665</v>
      </c>
      <c r="AW128" s="11">
        <f t="shared" si="97"/>
        <v>15812.25</v>
      </c>
      <c r="AX128" s="11">
        <f t="shared" si="97"/>
        <v>12.583333333333334</v>
      </c>
      <c r="AY128" s="11">
        <f t="shared" si="97"/>
        <v>7</v>
      </c>
      <c r="AZ128" s="11">
        <f t="shared" si="97"/>
        <v>973.33333333333337</v>
      </c>
      <c r="BA128" s="11">
        <f t="shared" si="97"/>
        <v>0.5</v>
      </c>
      <c r="BB128" s="11">
        <f t="shared" si="97"/>
        <v>124.91666666666667</v>
      </c>
      <c r="BC128" s="11">
        <f t="shared" si="97"/>
        <v>726.83333333333337</v>
      </c>
      <c r="BD128" s="11">
        <f t="shared" si="97"/>
        <v>0</v>
      </c>
      <c r="BE128" s="11">
        <f t="shared" si="97"/>
        <v>0</v>
      </c>
      <c r="BF128" s="11">
        <f t="shared" si="97"/>
        <v>7798.666666666667</v>
      </c>
      <c r="BG128" s="11">
        <f t="shared" si="97"/>
        <v>0</v>
      </c>
      <c r="BH128" s="11">
        <f t="shared" si="97"/>
        <v>0</v>
      </c>
      <c r="BI128" s="11">
        <f t="shared" si="97"/>
        <v>0</v>
      </c>
      <c r="BJ128" s="11">
        <f t="shared" si="97"/>
        <v>48.25</v>
      </c>
      <c r="BK128" s="11">
        <f t="shared" si="97"/>
        <v>5543.083333333333</v>
      </c>
      <c r="BL128" s="11">
        <f t="shared" si="97"/>
        <v>0</v>
      </c>
      <c r="BM128" s="11">
        <f t="shared" si="97"/>
        <v>442.75</v>
      </c>
      <c r="BN128" s="11">
        <f t="shared" ref="BN128:DD128" si="98">AVERAGE(BN28:BN39)</f>
        <v>0.5</v>
      </c>
      <c r="BO128" s="11">
        <f t="shared" si="98"/>
        <v>110940.33333333333</v>
      </c>
      <c r="BP128" s="11">
        <f t="shared" si="98"/>
        <v>80284</v>
      </c>
      <c r="BQ128" s="11">
        <f t="shared" si="98"/>
        <v>1488.5</v>
      </c>
      <c r="BR128" s="11">
        <f t="shared" si="98"/>
        <v>41.416666666666664</v>
      </c>
      <c r="BS128" s="11">
        <f t="shared" si="98"/>
        <v>27632.75</v>
      </c>
      <c r="BT128" s="11">
        <f t="shared" si="98"/>
        <v>1115.75</v>
      </c>
      <c r="BU128" s="11">
        <f t="shared" si="98"/>
        <v>1.25</v>
      </c>
      <c r="BV128" s="11">
        <f t="shared" si="98"/>
        <v>0</v>
      </c>
      <c r="BW128" s="11">
        <f t="shared" si="98"/>
        <v>4.083333333333333</v>
      </c>
      <c r="BX128" s="11">
        <f t="shared" si="98"/>
        <v>9751.1666666666661</v>
      </c>
      <c r="BY128" s="11">
        <f t="shared" si="98"/>
        <v>352.75</v>
      </c>
      <c r="BZ128" s="11">
        <f t="shared" si="98"/>
        <v>0</v>
      </c>
      <c r="CA128" s="11">
        <f t="shared" si="98"/>
        <v>24450.416666666668</v>
      </c>
      <c r="CB128" s="11">
        <f t="shared" si="98"/>
        <v>15724.25</v>
      </c>
      <c r="CC128" s="11">
        <f t="shared" si="98"/>
        <v>132788.5</v>
      </c>
      <c r="CD128" s="11">
        <f t="shared" si="98"/>
        <v>279358.58333333331</v>
      </c>
      <c r="CE128" s="11">
        <f t="shared" si="98"/>
        <v>33505.083333333336</v>
      </c>
      <c r="CF128" s="11">
        <f t="shared" si="98"/>
        <v>52420.666666666664</v>
      </c>
      <c r="CG128" s="11">
        <f t="shared" si="98"/>
        <v>0</v>
      </c>
      <c r="CH128" s="11">
        <f t="shared" si="98"/>
        <v>11.75</v>
      </c>
      <c r="CI128" s="11">
        <f t="shared" si="98"/>
        <v>3.1666666666666665</v>
      </c>
      <c r="CJ128" s="11">
        <f t="shared" si="98"/>
        <v>52.666666666666664</v>
      </c>
      <c r="CK128" s="89">
        <v>0</v>
      </c>
      <c r="CL128" s="89">
        <v>0</v>
      </c>
      <c r="CM128" s="89">
        <v>0</v>
      </c>
      <c r="CN128" s="89">
        <v>0</v>
      </c>
      <c r="CO128" s="89">
        <v>0</v>
      </c>
      <c r="CP128" s="89">
        <v>0</v>
      </c>
      <c r="CQ128" s="11">
        <f t="shared" si="98"/>
        <v>375.5</v>
      </c>
      <c r="CR128" s="11">
        <f t="shared" si="98"/>
        <v>11.583333333333334</v>
      </c>
      <c r="CS128" s="89">
        <v>0</v>
      </c>
      <c r="CT128" s="89">
        <v>0</v>
      </c>
      <c r="CU128" s="89">
        <v>0</v>
      </c>
      <c r="CV128" s="89">
        <v>0</v>
      </c>
      <c r="CW128" s="89">
        <v>0</v>
      </c>
      <c r="CX128" s="89">
        <v>0</v>
      </c>
      <c r="CY128" s="11">
        <f t="shared" si="98"/>
        <v>0</v>
      </c>
      <c r="CZ128" s="11">
        <f t="shared" si="98"/>
        <v>0</v>
      </c>
      <c r="DA128" s="11">
        <f t="shared" si="98"/>
        <v>0</v>
      </c>
      <c r="DB128" s="11">
        <f t="shared" si="98"/>
        <v>14</v>
      </c>
      <c r="DC128" s="11">
        <f t="shared" si="98"/>
        <v>0</v>
      </c>
      <c r="DD128" s="11">
        <f t="shared" si="98"/>
        <v>26.5</v>
      </c>
      <c r="DG128" s="11">
        <f>AVERAGE(DG28:DG39)</f>
        <v>784506.75</v>
      </c>
      <c r="DH128" s="11">
        <f t="shared" ref="DH128:EC128" si="99">AVERAGE(DH28:DH39)</f>
        <v>279155.25</v>
      </c>
      <c r="DI128" s="11">
        <f t="shared" si="99"/>
        <v>1063662</v>
      </c>
      <c r="DJ128" s="11"/>
      <c r="DK128" s="11">
        <f t="shared" si="99"/>
        <v>66016.083333333328</v>
      </c>
      <c r="DL128" s="11">
        <f t="shared" si="99"/>
        <v>151819.41666666666</v>
      </c>
      <c r="DM128" s="11">
        <f t="shared" si="99"/>
        <v>12604.083333333334</v>
      </c>
      <c r="DN128" s="11">
        <f t="shared" si="99"/>
        <v>48322</v>
      </c>
      <c r="DO128" s="11">
        <f t="shared" si="99"/>
        <v>473218.16666666669</v>
      </c>
      <c r="DP128" s="11">
        <f t="shared" si="99"/>
        <v>109093.33333333333</v>
      </c>
      <c r="DQ128" s="11">
        <v>0</v>
      </c>
      <c r="DR128" s="11">
        <f t="shared" si="99"/>
        <v>15742</v>
      </c>
      <c r="DS128" s="11">
        <f t="shared" si="99"/>
        <v>110941.58333333333</v>
      </c>
      <c r="DT128" s="11">
        <f t="shared" si="99"/>
        <v>13345.833333333334</v>
      </c>
      <c r="DU128" s="11">
        <v>0</v>
      </c>
      <c r="DV128" s="11">
        <v>0</v>
      </c>
      <c r="DW128" s="11">
        <v>0</v>
      </c>
      <c r="DX128" s="11">
        <f t="shared" si="99"/>
        <v>1001489.5833333334</v>
      </c>
      <c r="DY128" s="11"/>
      <c r="DZ128" s="11">
        <f t="shared" si="99"/>
        <v>597854.16666666663</v>
      </c>
      <c r="EA128" s="11">
        <f t="shared" si="99"/>
        <v>61580.75</v>
      </c>
      <c r="EB128" s="11"/>
      <c r="EC128" s="11">
        <f t="shared" si="99"/>
        <v>1125242.75</v>
      </c>
    </row>
    <row r="129" spans="1:133" x14ac:dyDescent="0.25">
      <c r="A129" s="12" t="s">
        <v>149</v>
      </c>
      <c r="B129" s="11">
        <f>AVERAGE(B40:B51)</f>
        <v>0</v>
      </c>
      <c r="C129" s="11">
        <f t="shared" ref="C129:BN129" si="100">AVERAGE(C40:C51)</f>
        <v>0</v>
      </c>
      <c r="D129" s="11">
        <f t="shared" si="100"/>
        <v>0</v>
      </c>
      <c r="E129" s="11">
        <f t="shared" si="100"/>
        <v>0</v>
      </c>
      <c r="F129" s="11">
        <f t="shared" si="100"/>
        <v>1151.5</v>
      </c>
      <c r="G129" s="11">
        <f t="shared" si="100"/>
        <v>18049.583333333332</v>
      </c>
      <c r="H129" s="11">
        <f t="shared" si="100"/>
        <v>45024.833333333336</v>
      </c>
      <c r="I129" s="11">
        <f t="shared" si="100"/>
        <v>901.5</v>
      </c>
      <c r="J129" s="11">
        <f t="shared" si="100"/>
        <v>2129.8333333333335</v>
      </c>
      <c r="K129" s="11">
        <f t="shared" si="100"/>
        <v>1210.0833333333333</v>
      </c>
      <c r="L129" s="11">
        <f t="shared" si="100"/>
        <v>32613.583333333332</v>
      </c>
      <c r="M129" s="11">
        <f t="shared" si="100"/>
        <v>1512.0833333333333</v>
      </c>
      <c r="N129" s="11">
        <f t="shared" si="100"/>
        <v>696.83333333333337</v>
      </c>
      <c r="O129" s="11">
        <f t="shared" si="100"/>
        <v>1651.1666666666667</v>
      </c>
      <c r="P129" s="11">
        <f t="shared" si="100"/>
        <v>10110.25</v>
      </c>
      <c r="Q129" s="11">
        <f t="shared" si="100"/>
        <v>234.41666666666666</v>
      </c>
      <c r="R129" s="11">
        <f t="shared" si="100"/>
        <v>4900.666666666667</v>
      </c>
      <c r="S129" s="11">
        <f t="shared" si="100"/>
        <v>13684.75</v>
      </c>
      <c r="T129" s="11">
        <f t="shared" si="100"/>
        <v>39.916666666666664</v>
      </c>
      <c r="U129" s="11">
        <f t="shared" si="100"/>
        <v>4444.25</v>
      </c>
      <c r="V129" s="11">
        <f t="shared" si="100"/>
        <v>41.416666666666664</v>
      </c>
      <c r="W129" s="11">
        <f t="shared" si="100"/>
        <v>17052.083333333332</v>
      </c>
      <c r="X129" s="11">
        <f t="shared" si="100"/>
        <v>398.41666666666669</v>
      </c>
      <c r="Y129" s="11">
        <f t="shared" si="100"/>
        <v>4.666666666666667</v>
      </c>
      <c r="Z129" s="11">
        <f t="shared" si="100"/>
        <v>3.5</v>
      </c>
      <c r="AA129" s="11">
        <f t="shared" si="100"/>
        <v>1.25</v>
      </c>
      <c r="AB129" s="11">
        <f t="shared" si="100"/>
        <v>124.83333333333333</v>
      </c>
      <c r="AC129" s="11">
        <f t="shared" si="100"/>
        <v>20.166666666666668</v>
      </c>
      <c r="AD129" s="11">
        <f t="shared" si="100"/>
        <v>26.583333333333332</v>
      </c>
      <c r="AE129" s="11">
        <f t="shared" si="100"/>
        <v>15.083333333333334</v>
      </c>
      <c r="AF129" s="11">
        <f t="shared" si="100"/>
        <v>40.416666666666664</v>
      </c>
      <c r="AG129" s="11">
        <f t="shared" si="100"/>
        <v>104.58333333333333</v>
      </c>
      <c r="AH129" s="11">
        <f t="shared" si="100"/>
        <v>2434.1666666666665</v>
      </c>
      <c r="AI129" s="11">
        <f t="shared" si="100"/>
        <v>1.9166666666666667</v>
      </c>
      <c r="AJ129" s="11">
        <f t="shared" si="100"/>
        <v>16300.833333333334</v>
      </c>
      <c r="AK129" s="11">
        <f t="shared" si="100"/>
        <v>111163.58333333333</v>
      </c>
      <c r="AL129" s="11">
        <f t="shared" si="100"/>
        <v>2250.9166666666665</v>
      </c>
      <c r="AM129" s="11">
        <f t="shared" si="100"/>
        <v>21217.666666666668</v>
      </c>
      <c r="AN129" s="11">
        <f t="shared" si="100"/>
        <v>16.5</v>
      </c>
      <c r="AO129" s="11">
        <f t="shared" si="100"/>
        <v>136.08333333333334</v>
      </c>
      <c r="AP129" s="11">
        <f t="shared" si="100"/>
        <v>10765.416666666666</v>
      </c>
      <c r="AQ129" s="11">
        <f t="shared" si="100"/>
        <v>0</v>
      </c>
      <c r="AR129" s="11">
        <f t="shared" si="100"/>
        <v>865.5</v>
      </c>
      <c r="AS129" s="11">
        <f t="shared" si="100"/>
        <v>37.083333333333336</v>
      </c>
      <c r="AT129" s="11">
        <f t="shared" si="100"/>
        <v>10256.583333333334</v>
      </c>
      <c r="AU129" s="11">
        <f t="shared" si="100"/>
        <v>2188.9166666666665</v>
      </c>
      <c r="AV129" s="11">
        <f t="shared" si="100"/>
        <v>3128.8333333333335</v>
      </c>
      <c r="AW129" s="11">
        <f t="shared" si="100"/>
        <v>15015.833333333334</v>
      </c>
      <c r="AX129" s="11">
        <f t="shared" si="100"/>
        <v>10</v>
      </c>
      <c r="AY129" s="11">
        <f t="shared" si="100"/>
        <v>5</v>
      </c>
      <c r="AZ129" s="11">
        <f t="shared" si="100"/>
        <v>924.41666666666663</v>
      </c>
      <c r="BA129" s="11">
        <f t="shared" si="100"/>
        <v>1</v>
      </c>
      <c r="BB129" s="11">
        <f t="shared" si="100"/>
        <v>143.66666666666666</v>
      </c>
      <c r="BC129" s="11">
        <f t="shared" si="100"/>
        <v>941.83333333333337</v>
      </c>
      <c r="BD129" s="11">
        <f t="shared" si="100"/>
        <v>0</v>
      </c>
      <c r="BE129" s="11">
        <f t="shared" si="100"/>
        <v>0</v>
      </c>
      <c r="BF129" s="11">
        <f t="shared" si="100"/>
        <v>8009.25</v>
      </c>
      <c r="BG129" s="11">
        <f t="shared" si="100"/>
        <v>0</v>
      </c>
      <c r="BH129" s="11">
        <f t="shared" si="100"/>
        <v>0</v>
      </c>
      <c r="BI129" s="11">
        <f t="shared" si="100"/>
        <v>0</v>
      </c>
      <c r="BJ129" s="11">
        <f t="shared" si="100"/>
        <v>36.166666666666664</v>
      </c>
      <c r="BK129" s="11">
        <f t="shared" si="100"/>
        <v>5373.916666666667</v>
      </c>
      <c r="BL129" s="11">
        <f t="shared" si="100"/>
        <v>0</v>
      </c>
      <c r="BM129" s="11">
        <f t="shared" si="100"/>
        <v>257.58333333333331</v>
      </c>
      <c r="BN129" s="11">
        <f t="shared" si="100"/>
        <v>0</v>
      </c>
      <c r="BO129" s="11">
        <f t="shared" ref="BO129:DD129" si="101">AVERAGE(BO40:BO51)</f>
        <v>123288.75</v>
      </c>
      <c r="BP129" s="11">
        <f t="shared" si="101"/>
        <v>84668.583333333328</v>
      </c>
      <c r="BQ129" s="11">
        <f t="shared" si="101"/>
        <v>2725.1666666666665</v>
      </c>
      <c r="BR129" s="11">
        <f t="shared" si="101"/>
        <v>23.75</v>
      </c>
      <c r="BS129" s="11">
        <f t="shared" si="101"/>
        <v>30300.916666666668</v>
      </c>
      <c r="BT129" s="11">
        <f t="shared" si="101"/>
        <v>1865.0833333333333</v>
      </c>
      <c r="BU129" s="11">
        <f t="shared" si="101"/>
        <v>0</v>
      </c>
      <c r="BV129" s="11">
        <f t="shared" si="101"/>
        <v>0.75</v>
      </c>
      <c r="BW129" s="11">
        <f t="shared" si="101"/>
        <v>3.0833333333333335</v>
      </c>
      <c r="BX129" s="11">
        <f t="shared" si="101"/>
        <v>13531</v>
      </c>
      <c r="BY129" s="11">
        <f t="shared" si="101"/>
        <v>289.08333333333331</v>
      </c>
      <c r="BZ129" s="11">
        <f t="shared" si="101"/>
        <v>0</v>
      </c>
      <c r="CA129" s="11">
        <f t="shared" si="101"/>
        <v>27146.833333333332</v>
      </c>
      <c r="CB129" s="11">
        <f t="shared" si="101"/>
        <v>15825.416666666666</v>
      </c>
      <c r="CC129" s="11">
        <f t="shared" si="101"/>
        <v>131688.25</v>
      </c>
      <c r="CD129" s="11">
        <f t="shared" si="101"/>
        <v>281153.91666666669</v>
      </c>
      <c r="CE129" s="11">
        <f t="shared" si="101"/>
        <v>36764.75</v>
      </c>
      <c r="CF129" s="11">
        <f t="shared" si="101"/>
        <v>60757.166666666664</v>
      </c>
      <c r="CG129" s="11">
        <f t="shared" si="101"/>
        <v>0</v>
      </c>
      <c r="CH129" s="11">
        <f t="shared" si="101"/>
        <v>9.25</v>
      </c>
      <c r="CI129" s="11">
        <f t="shared" si="101"/>
        <v>8.3333333333333329E-2</v>
      </c>
      <c r="CJ129" s="11">
        <f t="shared" si="101"/>
        <v>83.833333333333329</v>
      </c>
      <c r="CK129" s="11">
        <f t="shared" si="101"/>
        <v>0</v>
      </c>
      <c r="CL129" s="11">
        <f t="shared" si="101"/>
        <v>0</v>
      </c>
      <c r="CM129" s="11">
        <f t="shared" si="101"/>
        <v>0</v>
      </c>
      <c r="CN129" s="11">
        <f t="shared" si="101"/>
        <v>0</v>
      </c>
      <c r="CO129" s="11">
        <f t="shared" si="101"/>
        <v>0</v>
      </c>
      <c r="CP129" s="11">
        <f t="shared" si="101"/>
        <v>0</v>
      </c>
      <c r="CQ129" s="11">
        <f t="shared" si="101"/>
        <v>425</v>
      </c>
      <c r="CR129" s="11">
        <f t="shared" si="101"/>
        <v>18.416666666666668</v>
      </c>
      <c r="CS129" s="89">
        <v>0</v>
      </c>
      <c r="CT129" s="89">
        <v>0</v>
      </c>
      <c r="CU129" s="89">
        <v>0</v>
      </c>
      <c r="CV129" s="89">
        <v>0</v>
      </c>
      <c r="CW129" s="89">
        <v>0</v>
      </c>
      <c r="CX129" s="89">
        <v>0</v>
      </c>
      <c r="CY129" s="11">
        <f t="shared" si="101"/>
        <v>0</v>
      </c>
      <c r="CZ129" s="11">
        <f t="shared" si="101"/>
        <v>0</v>
      </c>
      <c r="DA129" s="11">
        <f t="shared" si="101"/>
        <v>0</v>
      </c>
      <c r="DB129" s="11">
        <f t="shared" si="101"/>
        <v>14</v>
      </c>
      <c r="DC129" s="11">
        <f t="shared" si="101"/>
        <v>0</v>
      </c>
      <c r="DD129" s="11">
        <f t="shared" si="101"/>
        <v>25.75</v>
      </c>
      <c r="DE129" s="7"/>
      <c r="DF129" s="7"/>
      <c r="DG129" s="11">
        <f>AVERAGE(DG40:DG51)</f>
        <v>824759.41666666663</v>
      </c>
      <c r="DH129" s="11">
        <f t="shared" ref="DH129:EC129" si="102">AVERAGE(DH40:DH51)</f>
        <v>284317</v>
      </c>
      <c r="DI129" s="11">
        <f t="shared" si="102"/>
        <v>1109076.4166666667</v>
      </c>
      <c r="DJ129" s="11"/>
      <c r="DK129" s="11">
        <f t="shared" si="102"/>
        <v>72599.833333333328</v>
      </c>
      <c r="DL129" s="11">
        <f t="shared" si="102"/>
        <v>150409.5</v>
      </c>
      <c r="DM129" s="11">
        <f t="shared" si="102"/>
        <v>13684.75</v>
      </c>
      <c r="DN129" s="11">
        <f t="shared" si="102"/>
        <v>47175.416666666664</v>
      </c>
      <c r="DO129" s="11">
        <f t="shared" si="102"/>
        <v>481787.66666666669</v>
      </c>
      <c r="DP129" s="11">
        <f t="shared" si="102"/>
        <v>116173.91666666667</v>
      </c>
      <c r="DQ129" s="11">
        <v>0</v>
      </c>
      <c r="DR129" s="11">
        <f t="shared" si="102"/>
        <v>15838.166666666666</v>
      </c>
      <c r="DS129" s="11">
        <f t="shared" si="102"/>
        <v>123288.75</v>
      </c>
      <c r="DT129" s="11">
        <f t="shared" si="102"/>
        <v>13386.25</v>
      </c>
      <c r="DU129" s="11">
        <v>0</v>
      </c>
      <c r="DV129" s="11">
        <v>0</v>
      </c>
      <c r="DW129" s="11">
        <v>0</v>
      </c>
      <c r="DX129" s="11">
        <f t="shared" si="102"/>
        <v>1034787.6666666666</v>
      </c>
      <c r="DY129" s="11"/>
      <c r="DZ129" s="11">
        <f t="shared" si="102"/>
        <v>622036.83333333337</v>
      </c>
      <c r="EA129" s="11">
        <f t="shared" si="102"/>
        <v>69164.166666666672</v>
      </c>
      <c r="EB129" s="11"/>
      <c r="EC129" s="11">
        <f t="shared" si="102"/>
        <v>1178240.5833333333</v>
      </c>
    </row>
    <row r="130" spans="1:133" x14ac:dyDescent="0.25">
      <c r="A130" s="12" t="s">
        <v>176</v>
      </c>
      <c r="B130" s="11">
        <f>AVERAGE(B52:B63)</f>
        <v>0</v>
      </c>
      <c r="C130" s="11">
        <f t="shared" ref="C130:BN130" si="103">AVERAGE(C52:C63)</f>
        <v>0</v>
      </c>
      <c r="D130" s="11">
        <f t="shared" si="103"/>
        <v>0</v>
      </c>
      <c r="E130" s="11">
        <f t="shared" si="103"/>
        <v>0</v>
      </c>
      <c r="F130" s="11">
        <f t="shared" si="103"/>
        <v>1218.8333333333333</v>
      </c>
      <c r="G130" s="11">
        <f t="shared" si="103"/>
        <v>18236.166666666668</v>
      </c>
      <c r="H130" s="11">
        <f t="shared" si="103"/>
        <v>47732.333333333336</v>
      </c>
      <c r="I130" s="11">
        <f t="shared" si="103"/>
        <v>945.66666666666663</v>
      </c>
      <c r="J130" s="11">
        <f t="shared" si="103"/>
        <v>2353.5833333333335</v>
      </c>
      <c r="K130" s="11">
        <f t="shared" si="103"/>
        <v>1271.3333333333333</v>
      </c>
      <c r="L130" s="11">
        <f t="shared" si="103"/>
        <v>33255.666666666664</v>
      </c>
      <c r="M130" s="11">
        <f t="shared" si="103"/>
        <v>1418.9166666666667</v>
      </c>
      <c r="N130" s="11">
        <f t="shared" si="103"/>
        <v>785.66666666666663</v>
      </c>
      <c r="O130" s="11">
        <f t="shared" si="103"/>
        <v>1734.25</v>
      </c>
      <c r="P130" s="11">
        <f t="shared" si="103"/>
        <v>10636</v>
      </c>
      <c r="Q130" s="11">
        <f t="shared" si="103"/>
        <v>253.58333333333334</v>
      </c>
      <c r="R130" s="11">
        <f t="shared" si="103"/>
        <v>5775.75</v>
      </c>
      <c r="S130" s="11">
        <f t="shared" si="103"/>
        <v>13972</v>
      </c>
      <c r="T130" s="11">
        <f t="shared" si="103"/>
        <v>49.333333333333336</v>
      </c>
      <c r="U130" s="11">
        <f t="shared" si="103"/>
        <v>4530.75</v>
      </c>
      <c r="V130" s="11">
        <f t="shared" si="103"/>
        <v>41.583333333333336</v>
      </c>
      <c r="W130" s="11">
        <f t="shared" si="103"/>
        <v>15848.5</v>
      </c>
      <c r="X130" s="11">
        <f t="shared" si="103"/>
        <v>435.66666666666669</v>
      </c>
      <c r="Y130" s="11">
        <f t="shared" si="103"/>
        <v>5.25</v>
      </c>
      <c r="Z130" s="11">
        <f t="shared" si="103"/>
        <v>5.833333333333333</v>
      </c>
      <c r="AA130" s="11">
        <f t="shared" si="103"/>
        <v>1.25</v>
      </c>
      <c r="AB130" s="11">
        <f t="shared" si="103"/>
        <v>85.833333333333329</v>
      </c>
      <c r="AC130" s="11">
        <f t="shared" si="103"/>
        <v>25.916666666666668</v>
      </c>
      <c r="AD130" s="11">
        <f t="shared" si="103"/>
        <v>23.083333333333332</v>
      </c>
      <c r="AE130" s="11">
        <f t="shared" si="103"/>
        <v>14.833333333333334</v>
      </c>
      <c r="AF130" s="11">
        <f t="shared" si="103"/>
        <v>41.083333333333336</v>
      </c>
      <c r="AG130" s="11">
        <f t="shared" si="103"/>
        <v>130.25</v>
      </c>
      <c r="AH130" s="11">
        <f t="shared" si="103"/>
        <v>2476.3333333333335</v>
      </c>
      <c r="AI130" s="11">
        <f t="shared" si="103"/>
        <v>1</v>
      </c>
      <c r="AJ130" s="11">
        <f t="shared" si="103"/>
        <v>13678.916666666666</v>
      </c>
      <c r="AK130" s="11">
        <f t="shared" si="103"/>
        <v>112682.33333333333</v>
      </c>
      <c r="AL130" s="11">
        <f t="shared" si="103"/>
        <v>2094</v>
      </c>
      <c r="AM130" s="11">
        <f t="shared" si="103"/>
        <v>21689.166666666668</v>
      </c>
      <c r="AN130" s="11">
        <f t="shared" si="103"/>
        <v>19.416666666666668</v>
      </c>
      <c r="AO130" s="11">
        <f t="shared" si="103"/>
        <v>137.41666666666666</v>
      </c>
      <c r="AP130" s="11">
        <f t="shared" si="103"/>
        <v>11410.583333333334</v>
      </c>
      <c r="AQ130" s="11">
        <f t="shared" si="103"/>
        <v>0</v>
      </c>
      <c r="AR130" s="11">
        <f t="shared" si="103"/>
        <v>730.66666666666663</v>
      </c>
      <c r="AS130" s="11">
        <f t="shared" si="103"/>
        <v>38.333333333333336</v>
      </c>
      <c r="AT130" s="11">
        <f t="shared" si="103"/>
        <v>10710.583333333334</v>
      </c>
      <c r="AU130" s="11">
        <f t="shared" si="103"/>
        <v>2319.5</v>
      </c>
      <c r="AV130" s="11">
        <f t="shared" si="103"/>
        <v>3460</v>
      </c>
      <c r="AW130" s="11">
        <f t="shared" si="103"/>
        <v>14949.666666666666</v>
      </c>
      <c r="AX130" s="11">
        <f t="shared" si="103"/>
        <v>35.666666666666664</v>
      </c>
      <c r="AY130" s="11">
        <f t="shared" si="103"/>
        <v>6.416666666666667</v>
      </c>
      <c r="AZ130" s="11">
        <f t="shared" si="103"/>
        <v>868.33333333333337</v>
      </c>
      <c r="BA130" s="11">
        <f t="shared" si="103"/>
        <v>0.25</v>
      </c>
      <c r="BB130" s="11">
        <f t="shared" si="103"/>
        <v>157.66666666666666</v>
      </c>
      <c r="BC130" s="11">
        <f t="shared" si="103"/>
        <v>1171.4166666666667</v>
      </c>
      <c r="BD130" s="11">
        <f t="shared" si="103"/>
        <v>0</v>
      </c>
      <c r="BE130" s="11">
        <f t="shared" si="103"/>
        <v>0</v>
      </c>
      <c r="BF130" s="11">
        <f t="shared" si="103"/>
        <v>8306.0833333333339</v>
      </c>
      <c r="BG130" s="11">
        <f t="shared" si="103"/>
        <v>0</v>
      </c>
      <c r="BH130" s="11">
        <f t="shared" si="103"/>
        <v>0</v>
      </c>
      <c r="BI130" s="11">
        <f t="shared" si="103"/>
        <v>0</v>
      </c>
      <c r="BJ130" s="11">
        <f t="shared" si="103"/>
        <v>36.5</v>
      </c>
      <c r="BK130" s="11">
        <f t="shared" si="103"/>
        <v>5296.416666666667</v>
      </c>
      <c r="BL130" s="11">
        <f t="shared" si="103"/>
        <v>0</v>
      </c>
      <c r="BM130" s="11">
        <f t="shared" si="103"/>
        <v>75.166666666666671</v>
      </c>
      <c r="BN130" s="11">
        <f t="shared" si="103"/>
        <v>0</v>
      </c>
      <c r="BO130" s="11">
        <f t="shared" ref="BO130:DD130" si="104">AVERAGE(BO52:BO63)</f>
        <v>88732.25</v>
      </c>
      <c r="BP130" s="11">
        <f t="shared" si="104"/>
        <v>83019.5</v>
      </c>
      <c r="BQ130" s="11">
        <f t="shared" si="104"/>
        <v>3024.3333333333335</v>
      </c>
      <c r="BR130" s="11">
        <f t="shared" si="104"/>
        <v>20.583333333333332</v>
      </c>
      <c r="BS130" s="11">
        <f t="shared" si="104"/>
        <v>28065.666666666668</v>
      </c>
      <c r="BT130" s="11">
        <f t="shared" si="104"/>
        <v>1925.6666666666667</v>
      </c>
      <c r="BU130" s="11">
        <f t="shared" si="104"/>
        <v>0.25</v>
      </c>
      <c r="BV130" s="11">
        <f t="shared" si="104"/>
        <v>8.3333333333333329E-2</v>
      </c>
      <c r="BW130" s="11">
        <f t="shared" si="104"/>
        <v>3</v>
      </c>
      <c r="BX130" s="11">
        <f t="shared" si="104"/>
        <v>8251.5833333333339</v>
      </c>
      <c r="BY130" s="11">
        <f t="shared" si="104"/>
        <v>237.75</v>
      </c>
      <c r="BZ130" s="11">
        <f t="shared" si="104"/>
        <v>0</v>
      </c>
      <c r="CA130" s="11">
        <f t="shared" si="104"/>
        <v>28050.75</v>
      </c>
      <c r="CB130" s="11">
        <f t="shared" si="104"/>
        <v>15098</v>
      </c>
      <c r="CC130" s="11">
        <f t="shared" si="104"/>
        <v>131836.16666666666</v>
      </c>
      <c r="CD130" s="11">
        <f t="shared" si="104"/>
        <v>288402.33333333331</v>
      </c>
      <c r="CE130" s="11">
        <f t="shared" si="104"/>
        <v>39544.666666666664</v>
      </c>
      <c r="CF130" s="11">
        <f t="shared" si="104"/>
        <v>64641.416666666664</v>
      </c>
      <c r="CG130" s="11">
        <f t="shared" si="104"/>
        <v>0</v>
      </c>
      <c r="CH130" s="11">
        <f t="shared" si="104"/>
        <v>7.666666666666667</v>
      </c>
      <c r="CI130" s="11">
        <f t="shared" si="104"/>
        <v>0</v>
      </c>
      <c r="CJ130" s="11">
        <f t="shared" si="104"/>
        <v>92.25</v>
      </c>
      <c r="CK130" s="11">
        <f t="shared" si="104"/>
        <v>26351.5</v>
      </c>
      <c r="CL130" s="11">
        <f t="shared" si="104"/>
        <v>17960.666666666668</v>
      </c>
      <c r="CM130" s="11">
        <f t="shared" si="104"/>
        <v>61595.25</v>
      </c>
      <c r="CN130" s="11">
        <f t="shared" si="104"/>
        <v>15055.583333333334</v>
      </c>
      <c r="CO130" s="11">
        <f t="shared" si="104"/>
        <v>262</v>
      </c>
      <c r="CP130" s="11">
        <f t="shared" si="104"/>
        <v>1064.9166666666667</v>
      </c>
      <c r="CQ130" s="11">
        <f t="shared" si="104"/>
        <v>791.5</v>
      </c>
      <c r="CR130" s="11">
        <f t="shared" si="104"/>
        <v>24.666666666666668</v>
      </c>
      <c r="CS130" s="89">
        <v>0</v>
      </c>
      <c r="CT130" s="89">
        <v>0</v>
      </c>
      <c r="CU130" s="89">
        <v>0</v>
      </c>
      <c r="CV130" s="89">
        <v>0</v>
      </c>
      <c r="CW130" s="89">
        <v>0</v>
      </c>
      <c r="CX130" s="89">
        <v>0</v>
      </c>
      <c r="CY130" s="11">
        <f t="shared" si="104"/>
        <v>0</v>
      </c>
      <c r="CZ130" s="11">
        <f t="shared" si="104"/>
        <v>0</v>
      </c>
      <c r="DA130" s="11">
        <f t="shared" si="104"/>
        <v>0</v>
      </c>
      <c r="DB130" s="11">
        <f t="shared" si="104"/>
        <v>13.166666666666666</v>
      </c>
      <c r="DC130" s="11">
        <f t="shared" si="104"/>
        <v>0</v>
      </c>
      <c r="DD130" s="11">
        <f t="shared" si="104"/>
        <v>23.916666666666668</v>
      </c>
      <c r="DE130" s="7"/>
      <c r="DF130" s="7"/>
      <c r="DG130" s="11">
        <f>AVERAGE(DG52:DG63)</f>
        <v>918075.91666666663</v>
      </c>
      <c r="DH130" s="11">
        <f t="shared" ref="DH130:EC130" si="105">AVERAGE(DH52:DH63)</f>
        <v>286526.08333333331</v>
      </c>
      <c r="DI130" s="11">
        <f t="shared" si="105"/>
        <v>1204602</v>
      </c>
      <c r="DJ130" s="11"/>
      <c r="DK130" s="11">
        <f t="shared" si="105"/>
        <v>73544.333333333328</v>
      </c>
      <c r="DL130" s="11">
        <f t="shared" si="105"/>
        <v>149959.41666666666</v>
      </c>
      <c r="DM130" s="11">
        <f t="shared" si="105"/>
        <v>13972</v>
      </c>
      <c r="DN130" s="11">
        <f t="shared" si="105"/>
        <v>48227.916666666664</v>
      </c>
      <c r="DO130" s="11">
        <f t="shared" si="105"/>
        <v>493206.75</v>
      </c>
      <c r="DP130" s="11">
        <f t="shared" si="105"/>
        <v>112338.16666666667</v>
      </c>
      <c r="DQ130" s="11">
        <v>0</v>
      </c>
      <c r="DR130" s="11">
        <f t="shared" si="105"/>
        <v>15111.5</v>
      </c>
      <c r="DS130" s="11">
        <f t="shared" si="105"/>
        <v>88732.5</v>
      </c>
      <c r="DT130" s="11">
        <f t="shared" si="105"/>
        <v>13605.5</v>
      </c>
      <c r="DU130" s="11">
        <f t="shared" si="105"/>
        <v>88624.333333333328</v>
      </c>
      <c r="DV130" s="11">
        <f t="shared" si="105"/>
        <v>153825.66666666666</v>
      </c>
      <c r="DW130" s="11">
        <v>0</v>
      </c>
      <c r="DX130" s="11">
        <f t="shared" si="105"/>
        <v>1130739.25</v>
      </c>
      <c r="DY130" s="11"/>
      <c r="DZ130" s="11">
        <f t="shared" si="105"/>
        <v>640721.41666666663</v>
      </c>
      <c r="EA130" s="11">
        <f t="shared" si="105"/>
        <v>72543.583333333328</v>
      </c>
      <c r="EB130" s="11"/>
      <c r="EC130" s="11">
        <f t="shared" si="105"/>
        <v>1277145.5833333333</v>
      </c>
    </row>
    <row r="131" spans="1:133" x14ac:dyDescent="0.25">
      <c r="A131" s="12" t="s">
        <v>177</v>
      </c>
      <c r="B131" s="11">
        <f>AVERAGE(B64:B75)</f>
        <v>0</v>
      </c>
      <c r="C131" s="11">
        <f t="shared" ref="C131:BN131" si="106">AVERAGE(C64:C75)</f>
        <v>0</v>
      </c>
      <c r="D131" s="11">
        <f t="shared" si="106"/>
        <v>0</v>
      </c>
      <c r="E131" s="11">
        <f t="shared" si="106"/>
        <v>0</v>
      </c>
      <c r="F131" s="11">
        <f t="shared" si="106"/>
        <v>1586.9166666666667</v>
      </c>
      <c r="G131" s="11">
        <f t="shared" si="106"/>
        <v>19199.166666666668</v>
      </c>
      <c r="H131" s="11">
        <f t="shared" si="106"/>
        <v>49891.666666666664</v>
      </c>
      <c r="I131" s="11">
        <f t="shared" si="106"/>
        <v>920.5</v>
      </c>
      <c r="J131" s="11">
        <f t="shared" si="106"/>
        <v>2349.8333333333335</v>
      </c>
      <c r="K131" s="11">
        <f t="shared" si="106"/>
        <v>1403.0833333333333</v>
      </c>
      <c r="L131" s="11">
        <f t="shared" si="106"/>
        <v>33796.083333333336</v>
      </c>
      <c r="M131" s="11">
        <f t="shared" si="106"/>
        <v>1363.25</v>
      </c>
      <c r="N131" s="11">
        <f t="shared" si="106"/>
        <v>904.91666666666663</v>
      </c>
      <c r="O131" s="11">
        <f t="shared" si="106"/>
        <v>1770.75</v>
      </c>
      <c r="P131" s="11">
        <f t="shared" si="106"/>
        <v>11168.5</v>
      </c>
      <c r="Q131" s="11">
        <f t="shared" si="106"/>
        <v>278.91666666666669</v>
      </c>
      <c r="R131" s="11">
        <f t="shared" si="106"/>
        <v>6280.5</v>
      </c>
      <c r="S131" s="11">
        <f t="shared" si="106"/>
        <v>14899.25</v>
      </c>
      <c r="T131" s="11">
        <f t="shared" si="106"/>
        <v>51.75</v>
      </c>
      <c r="U131" s="11">
        <f t="shared" si="106"/>
        <v>4683.75</v>
      </c>
      <c r="V131" s="11">
        <f t="shared" si="106"/>
        <v>47.166666666666664</v>
      </c>
      <c r="W131" s="11">
        <f t="shared" si="106"/>
        <v>16813.25</v>
      </c>
      <c r="X131" s="11">
        <f t="shared" si="106"/>
        <v>459.91666666666669</v>
      </c>
      <c r="Y131" s="11">
        <f t="shared" si="106"/>
        <v>3.6666666666666665</v>
      </c>
      <c r="Z131" s="11">
        <f t="shared" si="106"/>
        <v>2.9166666666666665</v>
      </c>
      <c r="AA131" s="11">
        <f t="shared" si="106"/>
        <v>0.66666666666666663</v>
      </c>
      <c r="AB131" s="11">
        <f t="shared" si="106"/>
        <v>72.666666666666671</v>
      </c>
      <c r="AC131" s="11">
        <f t="shared" si="106"/>
        <v>22.583333333333332</v>
      </c>
      <c r="AD131" s="11">
        <f t="shared" si="106"/>
        <v>24.583333333333332</v>
      </c>
      <c r="AE131" s="11">
        <f t="shared" si="106"/>
        <v>17.166666666666668</v>
      </c>
      <c r="AF131" s="11">
        <f t="shared" si="106"/>
        <v>42.833333333333336</v>
      </c>
      <c r="AG131" s="11">
        <f t="shared" si="106"/>
        <v>155.41666666666666</v>
      </c>
      <c r="AH131" s="11">
        <f t="shared" si="106"/>
        <v>2565.4166666666665</v>
      </c>
      <c r="AI131" s="11">
        <f t="shared" si="106"/>
        <v>1.5</v>
      </c>
      <c r="AJ131" s="11">
        <f t="shared" si="106"/>
        <v>10893.5</v>
      </c>
      <c r="AK131" s="11">
        <f t="shared" si="106"/>
        <v>112373.58333333333</v>
      </c>
      <c r="AL131" s="11">
        <f t="shared" si="106"/>
        <v>1984.3333333333333</v>
      </c>
      <c r="AM131" s="11">
        <f t="shared" si="106"/>
        <v>22469.083333333332</v>
      </c>
      <c r="AN131" s="11">
        <f t="shared" si="106"/>
        <v>9.5833333333333339</v>
      </c>
      <c r="AO131" s="11">
        <f t="shared" si="106"/>
        <v>34.583333333333336</v>
      </c>
      <c r="AP131" s="11">
        <f t="shared" si="106"/>
        <v>12177.083333333334</v>
      </c>
      <c r="AQ131" s="11">
        <f t="shared" si="106"/>
        <v>0</v>
      </c>
      <c r="AR131" s="11">
        <f t="shared" si="106"/>
        <v>493.41666666666669</v>
      </c>
      <c r="AS131" s="11">
        <f t="shared" si="106"/>
        <v>39.083333333333336</v>
      </c>
      <c r="AT131" s="11">
        <f t="shared" si="106"/>
        <v>10536.666666666666</v>
      </c>
      <c r="AU131" s="11">
        <f t="shared" si="106"/>
        <v>2400.25</v>
      </c>
      <c r="AV131" s="11">
        <f t="shared" si="106"/>
        <v>3783.3333333333335</v>
      </c>
      <c r="AW131" s="11">
        <f t="shared" si="106"/>
        <v>15257.416666666666</v>
      </c>
      <c r="AX131" s="11">
        <f t="shared" si="106"/>
        <v>40.833333333333336</v>
      </c>
      <c r="AY131" s="11">
        <f t="shared" si="106"/>
        <v>1.9166666666666667</v>
      </c>
      <c r="AZ131" s="11">
        <f t="shared" si="106"/>
        <v>767.08333333333337</v>
      </c>
      <c r="BA131" s="11">
        <f t="shared" si="106"/>
        <v>0</v>
      </c>
      <c r="BB131" s="11">
        <f t="shared" si="106"/>
        <v>178.16666666666666</v>
      </c>
      <c r="BC131" s="11">
        <f t="shared" si="106"/>
        <v>1487.5</v>
      </c>
      <c r="BD131" s="11">
        <f t="shared" si="106"/>
        <v>0</v>
      </c>
      <c r="BE131" s="11">
        <f t="shared" si="106"/>
        <v>0</v>
      </c>
      <c r="BF131" s="11">
        <f t="shared" si="106"/>
        <v>8485.0833333333339</v>
      </c>
      <c r="BG131" s="11">
        <f t="shared" si="106"/>
        <v>0</v>
      </c>
      <c r="BH131" s="11">
        <f t="shared" si="106"/>
        <v>0</v>
      </c>
      <c r="BI131" s="11">
        <f t="shared" si="106"/>
        <v>0</v>
      </c>
      <c r="BJ131" s="11">
        <f t="shared" si="106"/>
        <v>20</v>
      </c>
      <c r="BK131" s="11">
        <f t="shared" si="106"/>
        <v>5362.666666666667</v>
      </c>
      <c r="BL131" s="11">
        <f t="shared" si="106"/>
        <v>0.41666666666666669</v>
      </c>
      <c r="BM131" s="11">
        <f t="shared" si="106"/>
        <v>7.583333333333333</v>
      </c>
      <c r="BN131" s="11">
        <f t="shared" si="106"/>
        <v>0</v>
      </c>
      <c r="BO131" s="11">
        <f t="shared" ref="BO131:DD131" si="107">AVERAGE(BO64:BO75)</f>
        <v>43786.583333333336</v>
      </c>
      <c r="BP131" s="11">
        <f t="shared" si="107"/>
        <v>80068.25</v>
      </c>
      <c r="BQ131" s="11">
        <f t="shared" si="107"/>
        <v>1849.5</v>
      </c>
      <c r="BR131" s="11">
        <f t="shared" si="107"/>
        <v>20.916666666666668</v>
      </c>
      <c r="BS131" s="11">
        <f t="shared" si="107"/>
        <v>27139.25</v>
      </c>
      <c r="BT131" s="11">
        <f t="shared" si="107"/>
        <v>1222.1666666666667</v>
      </c>
      <c r="BU131" s="11">
        <f t="shared" si="107"/>
        <v>0.91666666666666663</v>
      </c>
      <c r="BV131" s="11">
        <f t="shared" si="107"/>
        <v>0</v>
      </c>
      <c r="BW131" s="11">
        <f t="shared" si="107"/>
        <v>1.25</v>
      </c>
      <c r="BX131" s="11">
        <f t="shared" si="107"/>
        <v>0</v>
      </c>
      <c r="BY131" s="11">
        <f t="shared" si="107"/>
        <v>264.83333333333331</v>
      </c>
      <c r="BZ131" s="11">
        <f t="shared" si="107"/>
        <v>0</v>
      </c>
      <c r="CA131" s="11">
        <f t="shared" si="107"/>
        <v>30599.166666666668</v>
      </c>
      <c r="CB131" s="11">
        <f t="shared" si="107"/>
        <v>14159</v>
      </c>
      <c r="CC131" s="11">
        <f t="shared" si="107"/>
        <v>133017.08333333334</v>
      </c>
      <c r="CD131" s="11">
        <f t="shared" si="107"/>
        <v>300362.91666666669</v>
      </c>
      <c r="CE131" s="11">
        <f t="shared" si="107"/>
        <v>41130.916666666664</v>
      </c>
      <c r="CF131" s="11">
        <f t="shared" si="107"/>
        <v>71743.333333333328</v>
      </c>
      <c r="CG131" s="11">
        <f t="shared" si="107"/>
        <v>0</v>
      </c>
      <c r="CH131" s="11">
        <f t="shared" si="107"/>
        <v>8.8333333333333339</v>
      </c>
      <c r="CI131" s="11">
        <f t="shared" si="107"/>
        <v>0</v>
      </c>
      <c r="CJ131" s="11">
        <f t="shared" si="107"/>
        <v>80.583333333333329</v>
      </c>
      <c r="CK131" s="11">
        <f t="shared" si="107"/>
        <v>66011</v>
      </c>
      <c r="CL131" s="11">
        <f t="shared" si="107"/>
        <v>46502.333333333336</v>
      </c>
      <c r="CM131" s="11">
        <f t="shared" si="107"/>
        <v>188194.41666666666</v>
      </c>
      <c r="CN131" s="11">
        <f t="shared" si="107"/>
        <v>43081.083333333336</v>
      </c>
      <c r="CO131" s="11">
        <f t="shared" si="107"/>
        <v>420.33333333333331</v>
      </c>
      <c r="CP131" s="11">
        <f t="shared" si="107"/>
        <v>12667</v>
      </c>
      <c r="CQ131" s="11">
        <f t="shared" si="107"/>
        <v>1369.3333333333333</v>
      </c>
      <c r="CR131" s="11">
        <f t="shared" si="107"/>
        <v>39.166666666666664</v>
      </c>
      <c r="CS131" s="89">
        <v>0</v>
      </c>
      <c r="CT131" s="89">
        <v>0</v>
      </c>
      <c r="CU131" s="89">
        <v>0</v>
      </c>
      <c r="CV131" s="89">
        <v>0</v>
      </c>
      <c r="CW131" s="89">
        <v>0</v>
      </c>
      <c r="CX131" s="89">
        <v>0</v>
      </c>
      <c r="CY131" s="11">
        <f t="shared" si="107"/>
        <v>0</v>
      </c>
      <c r="CZ131" s="11">
        <f t="shared" si="107"/>
        <v>0</v>
      </c>
      <c r="DA131" s="11">
        <f t="shared" si="107"/>
        <v>0</v>
      </c>
      <c r="DB131" s="11">
        <f t="shared" si="107"/>
        <v>13</v>
      </c>
      <c r="DC131" s="11">
        <f t="shared" si="107"/>
        <v>0</v>
      </c>
      <c r="DD131" s="11">
        <f t="shared" si="107"/>
        <v>23</v>
      </c>
      <c r="DE131" s="7"/>
      <c r="DF131" s="7"/>
      <c r="DG131" s="11">
        <f>AVERAGE(DG64:DG75)</f>
        <v>1117737.6666666667</v>
      </c>
      <c r="DH131" s="11">
        <f t="shared" ref="DH131:EC131" si="108">AVERAGE(DH64:DH75)</f>
        <v>289328.33333333331</v>
      </c>
      <c r="DI131" s="11">
        <f t="shared" si="108"/>
        <v>1407066</v>
      </c>
      <c r="DJ131" s="11"/>
      <c r="DK131" s="11">
        <f t="shared" si="108"/>
        <v>76253.916666666672</v>
      </c>
      <c r="DL131" s="11">
        <f t="shared" si="108"/>
        <v>146782.58333333334</v>
      </c>
      <c r="DM131" s="11">
        <f t="shared" si="108"/>
        <v>14899.25</v>
      </c>
      <c r="DN131" s="11">
        <f t="shared" si="108"/>
        <v>49981</v>
      </c>
      <c r="DO131" s="11">
        <f t="shared" si="108"/>
        <v>508608.91666666669</v>
      </c>
      <c r="DP131" s="11">
        <f t="shared" si="108"/>
        <v>108704.5</v>
      </c>
      <c r="DQ131" s="11">
        <v>0</v>
      </c>
      <c r="DR131" s="11">
        <f t="shared" si="108"/>
        <v>14170.75</v>
      </c>
      <c r="DS131" s="11">
        <f t="shared" si="108"/>
        <v>43787.5</v>
      </c>
      <c r="DT131" s="11">
        <f t="shared" si="108"/>
        <v>13849.416666666666</v>
      </c>
      <c r="DU131" s="11">
        <f t="shared" si="108"/>
        <v>112513.33333333333</v>
      </c>
      <c r="DV131" s="11">
        <f t="shared" si="108"/>
        <v>231695.83333333334</v>
      </c>
      <c r="DW131" s="11">
        <v>0</v>
      </c>
      <c r="DX131" s="11">
        <f t="shared" si="108"/>
        <v>1322655.5</v>
      </c>
      <c r="DY131" s="11"/>
      <c r="DZ131" s="11">
        <f t="shared" si="108"/>
        <v>666562.83333333337</v>
      </c>
      <c r="EA131" s="11">
        <f t="shared" si="108"/>
        <v>76256.083333333328</v>
      </c>
      <c r="EB131" s="11"/>
      <c r="EC131" s="11">
        <f t="shared" si="108"/>
        <v>1483322.0833333333</v>
      </c>
    </row>
    <row r="132" spans="1:133" x14ac:dyDescent="0.25">
      <c r="A132" s="12" t="s">
        <v>192</v>
      </c>
      <c r="B132" s="11">
        <f>AVERAGE(B76:B87)</f>
        <v>0</v>
      </c>
      <c r="C132" s="11">
        <f t="shared" ref="C132:BN132" si="109">AVERAGE(C76:C87)</f>
        <v>0</v>
      </c>
      <c r="D132" s="11">
        <f t="shared" si="109"/>
        <v>0</v>
      </c>
      <c r="E132" s="11">
        <f t="shared" si="109"/>
        <v>0</v>
      </c>
      <c r="F132" s="11">
        <f t="shared" si="109"/>
        <v>1634.5833333333333</v>
      </c>
      <c r="G132" s="11">
        <f t="shared" si="109"/>
        <v>17918.333333333332</v>
      </c>
      <c r="H132" s="11">
        <f t="shared" si="109"/>
        <v>51003.416666666664</v>
      </c>
      <c r="I132" s="11">
        <f t="shared" si="109"/>
        <v>2060.9166666666665</v>
      </c>
      <c r="J132" s="11">
        <f t="shared" si="109"/>
        <v>5086.833333333333</v>
      </c>
      <c r="K132" s="11">
        <f t="shared" si="109"/>
        <v>1757.3333333333333</v>
      </c>
      <c r="L132" s="11">
        <f t="shared" si="109"/>
        <v>34472.083333333336</v>
      </c>
      <c r="M132" s="11">
        <f t="shared" si="109"/>
        <v>1296.25</v>
      </c>
      <c r="N132" s="11">
        <f t="shared" si="109"/>
        <v>1128.6666666666667</v>
      </c>
      <c r="O132" s="11">
        <f t="shared" si="109"/>
        <v>1842.9166666666667</v>
      </c>
      <c r="P132" s="11">
        <f t="shared" si="109"/>
        <v>11282.333333333334</v>
      </c>
      <c r="Q132" s="11">
        <f t="shared" si="109"/>
        <v>306.33333333333331</v>
      </c>
      <c r="R132" s="11">
        <f t="shared" si="109"/>
        <v>5002.083333333333</v>
      </c>
      <c r="S132" s="11">
        <f t="shared" si="109"/>
        <v>15827.583333333334</v>
      </c>
      <c r="T132" s="11">
        <f t="shared" si="109"/>
        <v>81.333333333333329</v>
      </c>
      <c r="U132" s="11">
        <f t="shared" si="109"/>
        <v>4567.916666666667</v>
      </c>
      <c r="V132" s="11">
        <f t="shared" si="109"/>
        <v>75.666666666666671</v>
      </c>
      <c r="W132" s="11">
        <f t="shared" si="109"/>
        <v>21261.25</v>
      </c>
      <c r="X132" s="11">
        <f t="shared" si="109"/>
        <v>490.08333333333331</v>
      </c>
      <c r="Y132" s="11">
        <f t="shared" si="109"/>
        <v>3.9166666666666665</v>
      </c>
      <c r="Z132" s="11">
        <f t="shared" si="109"/>
        <v>2</v>
      </c>
      <c r="AA132" s="11">
        <f t="shared" si="109"/>
        <v>2.75</v>
      </c>
      <c r="AB132" s="11">
        <f t="shared" si="109"/>
        <v>81.416666666666671</v>
      </c>
      <c r="AC132" s="11">
        <f t="shared" si="109"/>
        <v>20.083333333333332</v>
      </c>
      <c r="AD132" s="11">
        <f t="shared" si="109"/>
        <v>25.916666666666668</v>
      </c>
      <c r="AE132" s="11">
        <f t="shared" si="109"/>
        <v>15.833333333333334</v>
      </c>
      <c r="AF132" s="11">
        <f t="shared" si="109"/>
        <v>46.916666666666664</v>
      </c>
      <c r="AG132" s="11">
        <f t="shared" si="109"/>
        <v>234.5</v>
      </c>
      <c r="AH132" s="11">
        <f t="shared" si="109"/>
        <v>2570.9166666666665</v>
      </c>
      <c r="AI132" s="11">
        <f t="shared" si="109"/>
        <v>1.9166666666666667</v>
      </c>
      <c r="AJ132" s="11">
        <f t="shared" si="109"/>
        <v>12875.416666666666</v>
      </c>
      <c r="AK132" s="11">
        <f t="shared" si="109"/>
        <v>114508.5</v>
      </c>
      <c r="AL132" s="11">
        <f t="shared" si="109"/>
        <v>1788.6666666666667</v>
      </c>
      <c r="AM132" s="11">
        <f t="shared" si="109"/>
        <v>23141.75</v>
      </c>
      <c r="AN132" s="11">
        <f t="shared" si="109"/>
        <v>6.583333333333333</v>
      </c>
      <c r="AO132" s="11">
        <f t="shared" si="109"/>
        <v>7.25</v>
      </c>
      <c r="AP132" s="11">
        <f t="shared" si="109"/>
        <v>12393.583333333334</v>
      </c>
      <c r="AQ132" s="11">
        <f t="shared" si="109"/>
        <v>0</v>
      </c>
      <c r="AR132" s="11">
        <f t="shared" si="109"/>
        <v>656.91666666666663</v>
      </c>
      <c r="AS132" s="11">
        <f t="shared" si="109"/>
        <v>40.833333333333336</v>
      </c>
      <c r="AT132" s="11">
        <f t="shared" si="109"/>
        <v>10650.166666666666</v>
      </c>
      <c r="AU132" s="11">
        <f t="shared" si="109"/>
        <v>2511.1666666666665</v>
      </c>
      <c r="AV132" s="11">
        <f t="shared" si="109"/>
        <v>3429.0833333333335</v>
      </c>
      <c r="AW132" s="11">
        <f t="shared" si="109"/>
        <v>15550.25</v>
      </c>
      <c r="AX132" s="11">
        <f t="shared" si="109"/>
        <v>10.25</v>
      </c>
      <c r="AY132" s="11">
        <f t="shared" si="109"/>
        <v>0.33333333333333331</v>
      </c>
      <c r="AZ132" s="11">
        <f t="shared" si="109"/>
        <v>806.25</v>
      </c>
      <c r="BA132" s="11">
        <f t="shared" si="109"/>
        <v>0</v>
      </c>
      <c r="BB132" s="11">
        <f t="shared" si="109"/>
        <v>261.58333333333331</v>
      </c>
      <c r="BC132" s="11">
        <f t="shared" si="109"/>
        <v>1853.9166666666667</v>
      </c>
      <c r="BD132" s="11">
        <f t="shared" si="109"/>
        <v>0</v>
      </c>
      <c r="BE132" s="11">
        <f t="shared" si="109"/>
        <v>0</v>
      </c>
      <c r="BF132" s="11">
        <f t="shared" si="109"/>
        <v>8909.5833333333339</v>
      </c>
      <c r="BG132" s="11">
        <f t="shared" si="109"/>
        <v>0</v>
      </c>
      <c r="BH132" s="11">
        <f t="shared" si="109"/>
        <v>0</v>
      </c>
      <c r="BI132" s="11">
        <f t="shared" si="109"/>
        <v>0</v>
      </c>
      <c r="BJ132" s="11">
        <f t="shared" si="109"/>
        <v>11.75</v>
      </c>
      <c r="BK132" s="11">
        <f t="shared" si="109"/>
        <v>5528.25</v>
      </c>
      <c r="BL132" s="11">
        <f t="shared" si="109"/>
        <v>0</v>
      </c>
      <c r="BM132" s="11">
        <f t="shared" si="109"/>
        <v>2.6666666666666665</v>
      </c>
      <c r="BN132" s="11">
        <f t="shared" si="109"/>
        <v>0</v>
      </c>
      <c r="BO132" s="11">
        <f t="shared" ref="BO132:DD132" si="110">AVERAGE(BO76:BO87)</f>
        <v>45732</v>
      </c>
      <c r="BP132" s="11">
        <f t="shared" si="110"/>
        <v>93435.916666666672</v>
      </c>
      <c r="BQ132" s="11">
        <f t="shared" si="110"/>
        <v>1640.5833333333333</v>
      </c>
      <c r="BR132" s="11">
        <f t="shared" si="110"/>
        <v>25.666666666666668</v>
      </c>
      <c r="BS132" s="11">
        <f t="shared" si="110"/>
        <v>35562.583333333336</v>
      </c>
      <c r="BT132" s="11">
        <f t="shared" si="110"/>
        <v>1142.5833333333333</v>
      </c>
      <c r="BU132" s="11">
        <f t="shared" si="110"/>
        <v>5.583333333333333</v>
      </c>
      <c r="BV132" s="11">
        <f t="shared" si="110"/>
        <v>0</v>
      </c>
      <c r="BW132" s="11">
        <f t="shared" si="110"/>
        <v>1</v>
      </c>
      <c r="BX132" s="11">
        <f t="shared" si="110"/>
        <v>0</v>
      </c>
      <c r="BY132" s="11">
        <f t="shared" si="110"/>
        <v>283.91666666666669</v>
      </c>
      <c r="BZ132" s="11">
        <f t="shared" si="110"/>
        <v>0</v>
      </c>
      <c r="CA132" s="11">
        <f t="shared" si="110"/>
        <v>30305</v>
      </c>
      <c r="CB132" s="11">
        <f t="shared" si="110"/>
        <v>20543.333333333332</v>
      </c>
      <c r="CC132" s="11">
        <f t="shared" si="110"/>
        <v>141532.08333333334</v>
      </c>
      <c r="CD132" s="11">
        <f t="shared" si="110"/>
        <v>343367.16666666669</v>
      </c>
      <c r="CE132" s="11">
        <f t="shared" si="110"/>
        <v>51220</v>
      </c>
      <c r="CF132" s="11">
        <f t="shared" si="110"/>
        <v>79719.833333333328</v>
      </c>
      <c r="CG132" s="11">
        <f t="shared" si="110"/>
        <v>0</v>
      </c>
      <c r="CH132" s="11">
        <f t="shared" si="110"/>
        <v>13.75</v>
      </c>
      <c r="CI132" s="11">
        <f t="shared" si="110"/>
        <v>0</v>
      </c>
      <c r="CJ132" s="11">
        <f t="shared" si="110"/>
        <v>79</v>
      </c>
      <c r="CK132" s="11">
        <f t="shared" si="110"/>
        <v>78644</v>
      </c>
      <c r="CL132" s="11">
        <f t="shared" si="110"/>
        <v>56078.666666666664</v>
      </c>
      <c r="CM132" s="11">
        <f t="shared" si="110"/>
        <v>284138</v>
      </c>
      <c r="CN132" s="11">
        <f t="shared" si="110"/>
        <v>61741.333333333336</v>
      </c>
      <c r="CO132" s="11">
        <f t="shared" si="110"/>
        <v>193.16666666666666</v>
      </c>
      <c r="CP132" s="11">
        <f t="shared" si="110"/>
        <v>18296.416666666668</v>
      </c>
      <c r="CQ132" s="11">
        <f t="shared" si="110"/>
        <v>1591.4166666666667</v>
      </c>
      <c r="CR132" s="11">
        <f t="shared" si="110"/>
        <v>20.916666666666668</v>
      </c>
      <c r="CS132" s="89">
        <v>0</v>
      </c>
      <c r="CT132" s="89">
        <v>0</v>
      </c>
      <c r="CU132" s="89">
        <v>0</v>
      </c>
      <c r="CV132" s="89">
        <v>0</v>
      </c>
      <c r="CW132" s="89">
        <v>0</v>
      </c>
      <c r="CX132" s="89">
        <v>0</v>
      </c>
      <c r="CY132" s="11">
        <f t="shared" si="110"/>
        <v>0</v>
      </c>
      <c r="CZ132" s="11">
        <f t="shared" si="110"/>
        <v>0</v>
      </c>
      <c r="DA132" s="11">
        <f t="shared" si="110"/>
        <v>0</v>
      </c>
      <c r="DB132" s="11">
        <f t="shared" si="110"/>
        <v>12.5</v>
      </c>
      <c r="DC132" s="11">
        <f t="shared" si="110"/>
        <v>0</v>
      </c>
      <c r="DD132" s="11">
        <f t="shared" si="110"/>
        <v>23</v>
      </c>
      <c r="DE132" s="7"/>
      <c r="DF132" s="7"/>
      <c r="DG132" s="11">
        <f>AVERAGE(DG76:DG87)</f>
        <v>1360018.3333333333</v>
      </c>
      <c r="DH132" s="11">
        <f t="shared" ref="DH132:EC132" si="111">AVERAGE(DH76:DH87)</f>
        <v>299750.58333333331</v>
      </c>
      <c r="DI132" s="11">
        <f t="shared" si="111"/>
        <v>1659768.9166666667</v>
      </c>
      <c r="DJ132" s="11"/>
      <c r="DK132" s="11">
        <f t="shared" si="111"/>
        <v>80188.166666666672</v>
      </c>
      <c r="DL132" s="11">
        <f t="shared" si="111"/>
        <v>150982.5</v>
      </c>
      <c r="DM132" s="11">
        <f t="shared" si="111"/>
        <v>15827.583333333334</v>
      </c>
      <c r="DN132" s="11">
        <f t="shared" si="111"/>
        <v>51139.75</v>
      </c>
      <c r="DO132" s="11">
        <f t="shared" si="111"/>
        <v>569618</v>
      </c>
      <c r="DP132" s="11">
        <f t="shared" si="111"/>
        <v>130855.41666666667</v>
      </c>
      <c r="DQ132" s="11">
        <v>0</v>
      </c>
      <c r="DR132" s="11">
        <f t="shared" si="111"/>
        <v>20559.083333333332</v>
      </c>
      <c r="DS132" s="11">
        <f t="shared" si="111"/>
        <v>45737.583333333336</v>
      </c>
      <c r="DT132" s="11">
        <f t="shared" si="111"/>
        <v>14438.833333333334</v>
      </c>
      <c r="DU132" s="11">
        <f t="shared" si="111"/>
        <v>134722.66666666666</v>
      </c>
      <c r="DV132" s="11">
        <f t="shared" si="111"/>
        <v>346072.5</v>
      </c>
      <c r="DW132" s="11">
        <v>0</v>
      </c>
      <c r="DX132" s="11">
        <f t="shared" si="111"/>
        <v>1561754.4166666667</v>
      </c>
      <c r="DY132" s="11"/>
      <c r="DZ132" s="11">
        <f t="shared" si="111"/>
        <v>739846.16666666663</v>
      </c>
      <c r="EA132" s="11">
        <f t="shared" si="111"/>
        <v>80590.083333333328</v>
      </c>
      <c r="EB132" s="11"/>
      <c r="EC132" s="11">
        <f t="shared" si="111"/>
        <v>1740359</v>
      </c>
    </row>
    <row r="133" spans="1:133" x14ac:dyDescent="0.25">
      <c r="A133" s="12" t="s">
        <v>211</v>
      </c>
      <c r="B133" s="11">
        <f>AVERAGE(B88:B99)</f>
        <v>0</v>
      </c>
      <c r="C133" s="11">
        <f t="shared" ref="C133:BN133" si="112">AVERAGE(C88:C99)</f>
        <v>0</v>
      </c>
      <c r="D133" s="11">
        <f t="shared" si="112"/>
        <v>0</v>
      </c>
      <c r="E133" s="11">
        <f t="shared" si="112"/>
        <v>0</v>
      </c>
      <c r="F133" s="11">
        <f t="shared" si="112"/>
        <v>4381</v>
      </c>
      <c r="G133" s="11">
        <f t="shared" si="112"/>
        <v>15978.416666666666</v>
      </c>
      <c r="H133" s="11">
        <f t="shared" si="112"/>
        <v>52126</v>
      </c>
      <c r="I133" s="11">
        <f t="shared" si="112"/>
        <v>2295.5</v>
      </c>
      <c r="J133" s="11">
        <f t="shared" si="112"/>
        <v>6385.166666666667</v>
      </c>
      <c r="K133" s="11">
        <f t="shared" si="112"/>
        <v>2155.9166666666665</v>
      </c>
      <c r="L133" s="11">
        <f t="shared" si="112"/>
        <v>34461.416666666664</v>
      </c>
      <c r="M133" s="11">
        <f t="shared" si="112"/>
        <v>1175</v>
      </c>
      <c r="N133" s="11">
        <f t="shared" si="112"/>
        <v>1285.25</v>
      </c>
      <c r="O133" s="11">
        <f t="shared" si="112"/>
        <v>1827.3333333333333</v>
      </c>
      <c r="P133" s="11">
        <f t="shared" si="112"/>
        <v>11007.583333333334</v>
      </c>
      <c r="Q133" s="11">
        <f t="shared" si="112"/>
        <v>306</v>
      </c>
      <c r="R133" s="11">
        <f t="shared" si="112"/>
        <v>4796.25</v>
      </c>
      <c r="S133" s="11">
        <f t="shared" si="112"/>
        <v>15782.666666666666</v>
      </c>
      <c r="T133" s="11">
        <f t="shared" si="112"/>
        <v>121.33333333333333</v>
      </c>
      <c r="U133" s="11">
        <f t="shared" si="112"/>
        <v>4238</v>
      </c>
      <c r="V133" s="11">
        <f t="shared" si="112"/>
        <v>99.833333333333329</v>
      </c>
      <c r="W133" s="11">
        <f t="shared" si="112"/>
        <v>24783.833333333332</v>
      </c>
      <c r="X133" s="11">
        <f t="shared" si="112"/>
        <v>526.91666666666663</v>
      </c>
      <c r="Y133" s="11">
        <f t="shared" si="112"/>
        <v>4.25</v>
      </c>
      <c r="Z133" s="11">
        <f t="shared" si="112"/>
        <v>0.41666666666666669</v>
      </c>
      <c r="AA133" s="11">
        <f t="shared" si="112"/>
        <v>2.8333333333333335</v>
      </c>
      <c r="AB133" s="11">
        <f t="shared" si="112"/>
        <v>100.66666666666667</v>
      </c>
      <c r="AC133" s="11">
        <f t="shared" si="112"/>
        <v>21.166666666666668</v>
      </c>
      <c r="AD133" s="11">
        <f t="shared" si="112"/>
        <v>25.75</v>
      </c>
      <c r="AE133" s="11">
        <f t="shared" si="112"/>
        <v>15.5</v>
      </c>
      <c r="AF133" s="11">
        <f t="shared" si="112"/>
        <v>50.333333333333336</v>
      </c>
      <c r="AG133" s="11">
        <f t="shared" si="112"/>
        <v>268.66666666666669</v>
      </c>
      <c r="AH133" s="11">
        <f t="shared" si="112"/>
        <v>2557.4166666666665</v>
      </c>
      <c r="AI133" s="11">
        <f t="shared" si="112"/>
        <v>2.9166666666666665</v>
      </c>
      <c r="AJ133" s="11">
        <f t="shared" si="112"/>
        <v>13806.083333333334</v>
      </c>
      <c r="AK133" s="11">
        <f t="shared" si="112"/>
        <v>114880.91666666667</v>
      </c>
      <c r="AL133" s="11">
        <f t="shared" si="112"/>
        <v>1609.4166666666667</v>
      </c>
      <c r="AM133" s="11">
        <f t="shared" si="112"/>
        <v>22738</v>
      </c>
      <c r="AN133" s="11">
        <f t="shared" si="112"/>
        <v>4.166666666666667</v>
      </c>
      <c r="AO133" s="11">
        <f t="shared" si="112"/>
        <v>5.416666666666667</v>
      </c>
      <c r="AP133" s="11">
        <f t="shared" si="112"/>
        <v>12376.166666666666</v>
      </c>
      <c r="AQ133" s="11">
        <f t="shared" si="112"/>
        <v>0</v>
      </c>
      <c r="AR133" s="11">
        <f t="shared" si="112"/>
        <v>717.16666666666663</v>
      </c>
      <c r="AS133" s="11">
        <f t="shared" si="112"/>
        <v>42.666666666666664</v>
      </c>
      <c r="AT133" s="11">
        <f t="shared" si="112"/>
        <v>11242</v>
      </c>
      <c r="AU133" s="11">
        <f t="shared" si="112"/>
        <v>2508.25</v>
      </c>
      <c r="AV133" s="11">
        <f t="shared" si="112"/>
        <v>3426.0833333333335</v>
      </c>
      <c r="AW133" s="11">
        <f t="shared" si="112"/>
        <v>15170.5</v>
      </c>
      <c r="AX133" s="11">
        <f t="shared" si="112"/>
        <v>2.0833333333333335</v>
      </c>
      <c r="AY133" s="11">
        <f t="shared" si="112"/>
        <v>0.33333333333333331</v>
      </c>
      <c r="AZ133" s="11">
        <f t="shared" si="112"/>
        <v>836.25</v>
      </c>
      <c r="BA133" s="11">
        <f t="shared" si="112"/>
        <v>0</v>
      </c>
      <c r="BB133" s="11">
        <f t="shared" si="112"/>
        <v>284.83333333333331</v>
      </c>
      <c r="BC133" s="11">
        <f t="shared" si="112"/>
        <v>2057.5833333333335</v>
      </c>
      <c r="BD133" s="11">
        <f t="shared" si="112"/>
        <v>0</v>
      </c>
      <c r="BE133" s="11">
        <f t="shared" si="112"/>
        <v>0</v>
      </c>
      <c r="BF133" s="11">
        <f t="shared" si="112"/>
        <v>9381.5833333333339</v>
      </c>
      <c r="BG133" s="11">
        <f t="shared" si="112"/>
        <v>0</v>
      </c>
      <c r="BH133" s="11">
        <f t="shared" si="112"/>
        <v>0</v>
      </c>
      <c r="BI133" s="11">
        <f t="shared" si="112"/>
        <v>0</v>
      </c>
      <c r="BJ133" s="11">
        <f t="shared" si="112"/>
        <v>12.916666666666666</v>
      </c>
      <c r="BK133" s="11">
        <f t="shared" si="112"/>
        <v>5853.333333333333</v>
      </c>
      <c r="BL133" s="11">
        <f t="shared" si="112"/>
        <v>0</v>
      </c>
      <c r="BM133" s="11">
        <f t="shared" si="112"/>
        <v>114.41666666666667</v>
      </c>
      <c r="BN133" s="11">
        <f t="shared" si="112"/>
        <v>0</v>
      </c>
      <c r="BO133" s="11">
        <f t="shared" ref="BO133:DD133" si="113">AVERAGE(BO88:BO99)</f>
        <v>48510.833333333336</v>
      </c>
      <c r="BP133" s="11">
        <f t="shared" si="113"/>
        <v>104797.16666666667</v>
      </c>
      <c r="BQ133" s="11">
        <f t="shared" si="113"/>
        <v>1539.9166666666667</v>
      </c>
      <c r="BR133" s="11">
        <f t="shared" si="113"/>
        <v>31.25</v>
      </c>
      <c r="BS133" s="11">
        <f t="shared" si="113"/>
        <v>43516.833333333336</v>
      </c>
      <c r="BT133" s="11">
        <f t="shared" si="113"/>
        <v>1121</v>
      </c>
      <c r="BU133" s="11">
        <f t="shared" si="113"/>
        <v>1.4166666666666667</v>
      </c>
      <c r="BV133" s="11">
        <f t="shared" si="113"/>
        <v>0</v>
      </c>
      <c r="BW133" s="11">
        <f t="shared" si="113"/>
        <v>1</v>
      </c>
      <c r="BX133" s="11">
        <f t="shared" si="113"/>
        <v>0</v>
      </c>
      <c r="BY133" s="11">
        <f t="shared" si="113"/>
        <v>318.25</v>
      </c>
      <c r="BZ133" s="11">
        <f t="shared" si="113"/>
        <v>0</v>
      </c>
      <c r="CA133" s="11">
        <f t="shared" si="113"/>
        <v>29588.75</v>
      </c>
      <c r="CB133" s="11">
        <f t="shared" si="113"/>
        <v>22924.75</v>
      </c>
      <c r="CC133" s="11">
        <f t="shared" si="113"/>
        <v>142514.5</v>
      </c>
      <c r="CD133" s="11">
        <f t="shared" si="113"/>
        <v>382482.16666666669</v>
      </c>
      <c r="CE133" s="11">
        <f t="shared" si="113"/>
        <v>62860.75</v>
      </c>
      <c r="CF133" s="11">
        <f t="shared" si="113"/>
        <v>89148.75</v>
      </c>
      <c r="CG133" s="11">
        <f t="shared" si="113"/>
        <v>0</v>
      </c>
      <c r="CH133" s="11">
        <f t="shared" si="113"/>
        <v>21.166666666666668</v>
      </c>
      <c r="CI133" s="11">
        <f t="shared" si="113"/>
        <v>0.16666666666666666</v>
      </c>
      <c r="CJ133" s="11">
        <f t="shared" si="113"/>
        <v>100.33333333333333</v>
      </c>
      <c r="CK133" s="11">
        <f t="shared" si="113"/>
        <v>86629.083333333328</v>
      </c>
      <c r="CL133" s="11">
        <f t="shared" si="113"/>
        <v>65493.5</v>
      </c>
      <c r="CM133" s="11">
        <f t="shared" si="113"/>
        <v>368112</v>
      </c>
      <c r="CN133" s="11">
        <f t="shared" si="113"/>
        <v>77348.25</v>
      </c>
      <c r="CO133" s="11">
        <f t="shared" si="113"/>
        <v>90.833333333333329</v>
      </c>
      <c r="CP133" s="11">
        <f t="shared" si="113"/>
        <v>16750.833333333332</v>
      </c>
      <c r="CQ133" s="11">
        <f t="shared" si="113"/>
        <v>1529.9166666666667</v>
      </c>
      <c r="CR133" s="11">
        <f t="shared" si="113"/>
        <v>10.083333333333334</v>
      </c>
      <c r="CS133" s="11">
        <f t="shared" si="113"/>
        <v>0</v>
      </c>
      <c r="CT133" s="11">
        <f t="shared" si="113"/>
        <v>0</v>
      </c>
      <c r="CU133" s="11">
        <f t="shared" si="113"/>
        <v>0</v>
      </c>
      <c r="CV133" s="11">
        <f t="shared" si="113"/>
        <v>0</v>
      </c>
      <c r="CW133" s="11">
        <f t="shared" si="113"/>
        <v>0</v>
      </c>
      <c r="CX133" s="11">
        <f t="shared" si="113"/>
        <v>0</v>
      </c>
      <c r="CY133" s="11">
        <f t="shared" si="113"/>
        <v>0</v>
      </c>
      <c r="CZ133" s="11">
        <f t="shared" si="113"/>
        <v>0</v>
      </c>
      <c r="DA133" s="11">
        <f t="shared" si="113"/>
        <v>0</v>
      </c>
      <c r="DB133" s="11">
        <f t="shared" si="113"/>
        <v>10.166666666666666</v>
      </c>
      <c r="DC133" s="11">
        <f t="shared" si="113"/>
        <v>0</v>
      </c>
      <c r="DD133" s="11">
        <f t="shared" si="113"/>
        <v>22.5</v>
      </c>
      <c r="DE133" s="7"/>
      <c r="DF133" s="7"/>
      <c r="DG133" s="11">
        <f>AVERAGE(DG88:DG99)</f>
        <v>1561325.75</v>
      </c>
      <c r="DH133" s="11">
        <f t="shared" ref="DH133:EC133" si="114">AVERAGE(DH88:DH99)</f>
        <v>303364.08333333331</v>
      </c>
      <c r="DI133" s="11">
        <f t="shared" si="114"/>
        <v>1864689.8333333333</v>
      </c>
      <c r="DJ133" s="11"/>
      <c r="DK133" s="11">
        <f t="shared" si="114"/>
        <v>82816.583333333328</v>
      </c>
      <c r="DL133" s="11">
        <f t="shared" si="114"/>
        <v>152883.91666666666</v>
      </c>
      <c r="DM133" s="11">
        <f t="shared" si="114"/>
        <v>15782.666666666666</v>
      </c>
      <c r="DN133" s="11">
        <f t="shared" si="114"/>
        <v>50340.416666666664</v>
      </c>
      <c r="DO133" s="11">
        <f t="shared" si="114"/>
        <v>620572.08333333337</v>
      </c>
      <c r="DP133" s="11">
        <f t="shared" si="114"/>
        <v>150486.33333333334</v>
      </c>
      <c r="DQ133" s="11">
        <v>0</v>
      </c>
      <c r="DR133" s="11">
        <f t="shared" si="114"/>
        <v>22946.333333333332</v>
      </c>
      <c r="DS133" s="11">
        <f t="shared" si="114"/>
        <v>48512.25</v>
      </c>
      <c r="DT133" s="11">
        <f t="shared" si="114"/>
        <v>15235.916666666666</v>
      </c>
      <c r="DU133" s="11">
        <f t="shared" si="114"/>
        <v>152122.58333333334</v>
      </c>
      <c r="DV133" s="11">
        <f t="shared" si="114"/>
        <v>445551.08333333331</v>
      </c>
      <c r="DW133" s="11">
        <v>0</v>
      </c>
      <c r="DX133" s="11">
        <f t="shared" si="114"/>
        <v>1758790.1666666667</v>
      </c>
      <c r="DY133" s="11"/>
      <c r="DZ133" s="11">
        <f t="shared" si="114"/>
        <v>801741.83333333337</v>
      </c>
      <c r="EA133" s="11">
        <f t="shared" si="114"/>
        <v>84607.25</v>
      </c>
      <c r="EB133" s="11"/>
      <c r="EC133" s="11">
        <f t="shared" si="114"/>
        <v>1949297.0833333333</v>
      </c>
    </row>
    <row r="134" spans="1:133" x14ac:dyDescent="0.25">
      <c r="A134" s="12" t="s">
        <v>225</v>
      </c>
      <c r="B134" s="11">
        <f>AVERAGE(B100:B111)</f>
        <v>0</v>
      </c>
      <c r="C134" s="11">
        <f t="shared" ref="C134:BN134" si="115">AVERAGE(C100:C111)</f>
        <v>0</v>
      </c>
      <c r="D134" s="11">
        <f t="shared" si="115"/>
        <v>0</v>
      </c>
      <c r="E134" s="11">
        <f t="shared" si="115"/>
        <v>0</v>
      </c>
      <c r="F134" s="11">
        <f t="shared" si="115"/>
        <v>5032.083333333333</v>
      </c>
      <c r="G134" s="11">
        <f t="shared" si="115"/>
        <v>15018.25</v>
      </c>
      <c r="H134" s="11">
        <f t="shared" si="115"/>
        <v>52814.083333333336</v>
      </c>
      <c r="I134" s="11">
        <f t="shared" si="115"/>
        <v>2451.8333333333335</v>
      </c>
      <c r="J134" s="11">
        <f t="shared" si="115"/>
        <v>7177</v>
      </c>
      <c r="K134" s="11">
        <f t="shared" si="115"/>
        <v>2439.5</v>
      </c>
      <c r="L134" s="11">
        <f t="shared" si="115"/>
        <v>34705</v>
      </c>
      <c r="M134" s="11">
        <f t="shared" si="115"/>
        <v>1091.5</v>
      </c>
      <c r="N134" s="11">
        <f t="shared" si="115"/>
        <v>1422</v>
      </c>
      <c r="O134" s="11">
        <f t="shared" si="115"/>
        <v>1905.3333333333333</v>
      </c>
      <c r="P134" s="11">
        <f t="shared" si="115"/>
        <v>11254.916666666666</v>
      </c>
      <c r="Q134" s="11">
        <f t="shared" si="115"/>
        <v>300.25</v>
      </c>
      <c r="R134" s="11">
        <f t="shared" si="115"/>
        <v>4799.583333333333</v>
      </c>
      <c r="S134" s="11">
        <f t="shared" si="115"/>
        <v>15499.416666666666</v>
      </c>
      <c r="T134" s="11">
        <f t="shared" si="115"/>
        <v>140.83333333333334</v>
      </c>
      <c r="U134" s="11">
        <f t="shared" si="115"/>
        <v>4185.083333333333</v>
      </c>
      <c r="V134" s="11">
        <f t="shared" si="115"/>
        <v>105.33333333333333</v>
      </c>
      <c r="W134" s="11">
        <f t="shared" si="115"/>
        <v>28191.333333333332</v>
      </c>
      <c r="X134" s="11">
        <f t="shared" si="115"/>
        <v>567.41666666666663</v>
      </c>
      <c r="Y134" s="11">
        <f t="shared" si="115"/>
        <v>2.5</v>
      </c>
      <c r="Z134" s="11">
        <f t="shared" si="115"/>
        <v>8.3333333333333329E-2</v>
      </c>
      <c r="AA134" s="11">
        <f t="shared" si="115"/>
        <v>3.9166666666666665</v>
      </c>
      <c r="AB134" s="11">
        <f t="shared" si="115"/>
        <v>128</v>
      </c>
      <c r="AC134" s="11">
        <f t="shared" si="115"/>
        <v>23</v>
      </c>
      <c r="AD134" s="11">
        <f t="shared" si="115"/>
        <v>25.166666666666668</v>
      </c>
      <c r="AE134" s="11">
        <f t="shared" si="115"/>
        <v>17.25</v>
      </c>
      <c r="AF134" s="11">
        <f t="shared" si="115"/>
        <v>57.166666666666664</v>
      </c>
      <c r="AG134" s="11">
        <f t="shared" si="115"/>
        <v>264</v>
      </c>
      <c r="AH134" s="11">
        <f t="shared" si="115"/>
        <v>2581.5</v>
      </c>
      <c r="AI134" s="11">
        <f t="shared" si="115"/>
        <v>4.416666666666667</v>
      </c>
      <c r="AJ134" s="11">
        <f t="shared" si="115"/>
        <v>14570.416666666666</v>
      </c>
      <c r="AK134" s="11">
        <f t="shared" si="115"/>
        <v>113575.91666666667</v>
      </c>
      <c r="AL134" s="11">
        <f t="shared" si="115"/>
        <v>1436</v>
      </c>
      <c r="AM134" s="11">
        <f t="shared" si="115"/>
        <v>22310.5</v>
      </c>
      <c r="AN134" s="11">
        <f t="shared" si="115"/>
        <v>6.166666666666667</v>
      </c>
      <c r="AO134" s="11">
        <f t="shared" si="115"/>
        <v>4</v>
      </c>
      <c r="AP134" s="11">
        <f t="shared" si="115"/>
        <v>12371</v>
      </c>
      <c r="AQ134" s="11">
        <f t="shared" si="115"/>
        <v>0</v>
      </c>
      <c r="AR134" s="11">
        <f t="shared" si="115"/>
        <v>709.66666666666663</v>
      </c>
      <c r="AS134" s="11">
        <f t="shared" si="115"/>
        <v>52.833333333333336</v>
      </c>
      <c r="AT134" s="11">
        <f t="shared" si="115"/>
        <v>11977.083333333334</v>
      </c>
      <c r="AU134" s="11">
        <f t="shared" si="115"/>
        <v>2493.8333333333335</v>
      </c>
      <c r="AV134" s="11">
        <f t="shared" si="115"/>
        <v>3470.5833333333335</v>
      </c>
      <c r="AW134" s="11">
        <f t="shared" si="115"/>
        <v>14678</v>
      </c>
      <c r="AX134" s="11">
        <f t="shared" si="115"/>
        <v>0.91666666666666663</v>
      </c>
      <c r="AY134" s="11">
        <f t="shared" si="115"/>
        <v>0.66666666666666663</v>
      </c>
      <c r="AZ134" s="11">
        <f t="shared" si="115"/>
        <v>860.83333333333337</v>
      </c>
      <c r="BA134" s="11">
        <f t="shared" si="115"/>
        <v>0</v>
      </c>
      <c r="BB134" s="11">
        <f t="shared" si="115"/>
        <v>278.33333333333331</v>
      </c>
      <c r="BC134" s="11">
        <f t="shared" si="115"/>
        <v>2168</v>
      </c>
      <c r="BD134" s="11">
        <f t="shared" si="115"/>
        <v>0</v>
      </c>
      <c r="BE134" s="11">
        <f t="shared" si="115"/>
        <v>0</v>
      </c>
      <c r="BF134" s="11">
        <f t="shared" si="115"/>
        <v>9838.3333333333339</v>
      </c>
      <c r="BG134" s="11">
        <f t="shared" si="115"/>
        <v>0</v>
      </c>
      <c r="BH134" s="11">
        <f t="shared" si="115"/>
        <v>0</v>
      </c>
      <c r="BI134" s="11">
        <f t="shared" si="115"/>
        <v>0</v>
      </c>
      <c r="BJ134" s="11">
        <f t="shared" si="115"/>
        <v>9.9166666666666661</v>
      </c>
      <c r="BK134" s="11">
        <f t="shared" si="115"/>
        <v>6288.5</v>
      </c>
      <c r="BL134" s="11">
        <f t="shared" si="115"/>
        <v>0</v>
      </c>
      <c r="BM134" s="11">
        <f t="shared" si="115"/>
        <v>2.8333333333333335</v>
      </c>
      <c r="BN134" s="11">
        <f t="shared" si="115"/>
        <v>0</v>
      </c>
      <c r="BO134" s="11">
        <f t="shared" ref="BO134:DD134" si="116">AVERAGE(BO100:BO111)</f>
        <v>50088.333333333336</v>
      </c>
      <c r="BP134" s="11">
        <f t="shared" si="116"/>
        <v>110397.58333333333</v>
      </c>
      <c r="BQ134" s="11">
        <f t="shared" si="116"/>
        <v>1396.4166666666667</v>
      </c>
      <c r="BR134" s="11">
        <f t="shared" si="116"/>
        <v>34.666666666666664</v>
      </c>
      <c r="BS134" s="11">
        <f t="shared" si="116"/>
        <v>48286.083333333336</v>
      </c>
      <c r="BT134" s="11">
        <f t="shared" si="116"/>
        <v>1170</v>
      </c>
      <c r="BU134" s="11">
        <f t="shared" si="116"/>
        <v>1.1666666666666667</v>
      </c>
      <c r="BV134" s="11">
        <f t="shared" si="116"/>
        <v>0</v>
      </c>
      <c r="BW134" s="11">
        <f t="shared" si="116"/>
        <v>1.0833333333333333</v>
      </c>
      <c r="BX134" s="11">
        <f t="shared" si="116"/>
        <v>0</v>
      </c>
      <c r="BY134" s="11">
        <f t="shared" si="116"/>
        <v>377.08333333333331</v>
      </c>
      <c r="BZ134" s="11">
        <f t="shared" si="116"/>
        <v>0</v>
      </c>
      <c r="CA134" s="11">
        <f t="shared" si="116"/>
        <v>30207.75</v>
      </c>
      <c r="CB134" s="11">
        <f t="shared" si="116"/>
        <v>25454.916666666668</v>
      </c>
      <c r="CC134" s="11">
        <f t="shared" si="116"/>
        <v>143499.41666666666</v>
      </c>
      <c r="CD134" s="11">
        <f t="shared" si="116"/>
        <v>411420.75</v>
      </c>
      <c r="CE134" s="11">
        <f t="shared" si="116"/>
        <v>67763.416666666672</v>
      </c>
      <c r="CF134" s="11">
        <f t="shared" si="116"/>
        <v>101018.41666666667</v>
      </c>
      <c r="CG134" s="11">
        <f t="shared" si="116"/>
        <v>0</v>
      </c>
      <c r="CH134" s="11">
        <f t="shared" si="116"/>
        <v>49.166666666666664</v>
      </c>
      <c r="CI134" s="11">
        <f t="shared" si="116"/>
        <v>1</v>
      </c>
      <c r="CJ134" s="11">
        <f t="shared" si="116"/>
        <v>96.833333333333329</v>
      </c>
      <c r="CK134" s="11">
        <f t="shared" si="116"/>
        <v>90463.583333333328</v>
      </c>
      <c r="CL134" s="11">
        <f t="shared" si="116"/>
        <v>74292.25</v>
      </c>
      <c r="CM134" s="11">
        <f t="shared" si="116"/>
        <v>437618.08333333331</v>
      </c>
      <c r="CN134" s="11">
        <f t="shared" si="116"/>
        <v>90740.25</v>
      </c>
      <c r="CO134" s="11">
        <f t="shared" si="116"/>
        <v>51.833333333333336</v>
      </c>
      <c r="CP134" s="11">
        <f t="shared" si="116"/>
        <v>15063.083333333334</v>
      </c>
      <c r="CQ134" s="11">
        <f t="shared" si="116"/>
        <v>1573</v>
      </c>
      <c r="CR134" s="11">
        <f t="shared" si="116"/>
        <v>14.666666666666666</v>
      </c>
      <c r="CS134" s="11">
        <f t="shared" si="116"/>
        <v>2195.3333333333335</v>
      </c>
      <c r="CT134" s="11">
        <f t="shared" si="116"/>
        <v>145.75</v>
      </c>
      <c r="CU134" s="11">
        <f t="shared" si="116"/>
        <v>6082.916666666667</v>
      </c>
      <c r="CV134" s="11">
        <f t="shared" si="116"/>
        <v>0.16666666666666666</v>
      </c>
      <c r="CW134" s="11">
        <f t="shared" si="116"/>
        <v>4552.666666666667</v>
      </c>
      <c r="CX134" s="11">
        <f t="shared" si="116"/>
        <v>1610.1666666666667</v>
      </c>
      <c r="CY134" s="11">
        <f t="shared" si="116"/>
        <v>0</v>
      </c>
      <c r="CZ134" s="11">
        <f t="shared" si="116"/>
        <v>0</v>
      </c>
      <c r="DA134" s="11">
        <f t="shared" si="116"/>
        <v>0</v>
      </c>
      <c r="DB134" s="11">
        <f t="shared" si="116"/>
        <v>8.9166666666666661</v>
      </c>
      <c r="DC134" s="11">
        <f t="shared" si="116"/>
        <v>0</v>
      </c>
      <c r="DD134" s="11">
        <f t="shared" si="116"/>
        <v>19.666666666666668</v>
      </c>
      <c r="DE134" s="7"/>
      <c r="DF134" s="7"/>
      <c r="DG134" s="11">
        <f>AVERAGE(DG100:DG111)</f>
        <v>1730048.25</v>
      </c>
      <c r="DH134" s="11">
        <f t="shared" ref="DH134:EC134" si="117">AVERAGE(DH100:DH111)</f>
        <v>306237.25</v>
      </c>
      <c r="DI134" s="11">
        <f t="shared" si="117"/>
        <v>2036285.5</v>
      </c>
      <c r="DJ134" s="11"/>
      <c r="DK134" s="11">
        <f t="shared" si="117"/>
        <v>86679.166666666672</v>
      </c>
      <c r="DL134" s="11">
        <f t="shared" si="117"/>
        <v>153048.83333333334</v>
      </c>
      <c r="DM134" s="11">
        <f t="shared" si="117"/>
        <v>15499.416666666666</v>
      </c>
      <c r="DN134" s="11">
        <f t="shared" si="117"/>
        <v>49420.666666666664</v>
      </c>
      <c r="DO134" s="11">
        <f t="shared" si="117"/>
        <v>655978.16666666663</v>
      </c>
      <c r="DP134" s="11">
        <f t="shared" si="117"/>
        <v>160855.16666666666</v>
      </c>
      <c r="DQ134" s="11">
        <f t="shared" si="117"/>
        <v>7750.5</v>
      </c>
      <c r="DR134" s="11">
        <f t="shared" si="117"/>
        <v>25504.166666666668</v>
      </c>
      <c r="DS134" s="11">
        <f t="shared" si="117"/>
        <v>50089.5</v>
      </c>
      <c r="DT134" s="11">
        <f t="shared" si="117"/>
        <v>16127.916666666666</v>
      </c>
      <c r="DU134" s="11">
        <f t="shared" si="117"/>
        <v>164755.83333333334</v>
      </c>
      <c r="DV134" s="11">
        <f t="shared" si="117"/>
        <v>528410.16666666663</v>
      </c>
      <c r="DW134" s="11">
        <f t="shared" si="117"/>
        <v>21570.18181818182</v>
      </c>
      <c r="DX134" s="11">
        <f t="shared" si="117"/>
        <v>1933892.1666666667</v>
      </c>
      <c r="DY134" s="11"/>
      <c r="DZ134" s="11">
        <f t="shared" si="117"/>
        <v>850585.66666666663</v>
      </c>
      <c r="EA134" s="11">
        <f t="shared" si="117"/>
        <v>88695.833333333328</v>
      </c>
      <c r="EB134" s="11"/>
      <c r="EC134" s="11">
        <f t="shared" si="117"/>
        <v>2124981.3333333335</v>
      </c>
    </row>
    <row r="135" spans="1:133" x14ac:dyDescent="0.25">
      <c r="A135" s="12" t="s">
        <v>227</v>
      </c>
      <c r="B135" s="11">
        <f>AVERAGE(B112:B123)</f>
        <v>0</v>
      </c>
      <c r="C135" s="11">
        <f t="shared" ref="C135:BN135" si="118">AVERAGE(C112:C123)</f>
        <v>0</v>
      </c>
      <c r="D135" s="11">
        <f t="shared" si="118"/>
        <v>0</v>
      </c>
      <c r="E135" s="11">
        <f t="shared" si="118"/>
        <v>0</v>
      </c>
      <c r="F135" s="11">
        <f t="shared" si="118"/>
        <v>3901.5</v>
      </c>
      <c r="G135" s="11">
        <f t="shared" si="118"/>
        <v>18481.416666666668</v>
      </c>
      <c r="H135" s="11">
        <f t="shared" si="118"/>
        <v>57354.25</v>
      </c>
      <c r="I135" s="11">
        <f t="shared" si="118"/>
        <v>3416</v>
      </c>
      <c r="J135" s="11">
        <f t="shared" si="118"/>
        <v>10247.25</v>
      </c>
      <c r="K135" s="11">
        <f t="shared" si="118"/>
        <v>2179.6666666666665</v>
      </c>
      <c r="L135" s="11">
        <f t="shared" si="118"/>
        <v>35854.25</v>
      </c>
      <c r="M135" s="11">
        <f t="shared" si="118"/>
        <v>1078.8333333333333</v>
      </c>
      <c r="N135" s="11">
        <f t="shared" si="118"/>
        <v>1282.5833333333333</v>
      </c>
      <c r="O135" s="11">
        <f t="shared" si="118"/>
        <v>1537.5</v>
      </c>
      <c r="P135" s="11">
        <f t="shared" si="118"/>
        <v>11418</v>
      </c>
      <c r="Q135" s="11">
        <f t="shared" si="118"/>
        <v>323.66666666666669</v>
      </c>
      <c r="R135" s="11">
        <f t="shared" si="118"/>
        <v>4736.833333333333</v>
      </c>
      <c r="S135" s="11">
        <f t="shared" si="118"/>
        <v>15889.833333333334</v>
      </c>
      <c r="T135" s="11">
        <f t="shared" si="118"/>
        <v>83.666666666666671</v>
      </c>
      <c r="U135" s="11">
        <f t="shared" si="118"/>
        <v>4193.333333333333</v>
      </c>
      <c r="V135" s="11">
        <f t="shared" si="118"/>
        <v>67</v>
      </c>
      <c r="W135" s="11">
        <f t="shared" si="118"/>
        <v>28045.083333333332</v>
      </c>
      <c r="X135" s="11">
        <f t="shared" si="118"/>
        <v>550.91666666666663</v>
      </c>
      <c r="Y135" s="11">
        <f t="shared" si="118"/>
        <v>3.75</v>
      </c>
      <c r="Z135" s="11">
        <f t="shared" si="118"/>
        <v>0.5</v>
      </c>
      <c r="AA135" s="11">
        <f t="shared" si="118"/>
        <v>1.5833333333333333</v>
      </c>
      <c r="AB135" s="11">
        <f t="shared" si="118"/>
        <v>93.25</v>
      </c>
      <c r="AC135" s="11">
        <f t="shared" si="118"/>
        <v>25</v>
      </c>
      <c r="AD135" s="11">
        <f t="shared" si="118"/>
        <v>23.583333333333332</v>
      </c>
      <c r="AE135" s="11">
        <f t="shared" si="118"/>
        <v>14.833333333333334</v>
      </c>
      <c r="AF135" s="11">
        <f t="shared" si="118"/>
        <v>56.333333333333336</v>
      </c>
      <c r="AG135" s="11">
        <f t="shared" si="118"/>
        <v>141.58333333333334</v>
      </c>
      <c r="AH135" s="11">
        <f t="shared" si="118"/>
        <v>2486.75</v>
      </c>
      <c r="AI135" s="11">
        <f t="shared" si="118"/>
        <v>2.5</v>
      </c>
      <c r="AJ135" s="11">
        <f t="shared" si="118"/>
        <v>12163.25</v>
      </c>
      <c r="AK135" s="11">
        <f t="shared" si="118"/>
        <v>107785.75</v>
      </c>
      <c r="AL135" s="11">
        <f t="shared" si="118"/>
        <v>1362.9166666666667</v>
      </c>
      <c r="AM135" s="11">
        <f t="shared" si="118"/>
        <v>22274.833333333332</v>
      </c>
      <c r="AN135" s="11">
        <f t="shared" si="118"/>
        <v>8.9166666666666661</v>
      </c>
      <c r="AO135" s="11">
        <f t="shared" si="118"/>
        <v>5.166666666666667</v>
      </c>
      <c r="AP135" s="11">
        <f t="shared" si="118"/>
        <v>12344.583333333334</v>
      </c>
      <c r="AQ135" s="11">
        <f t="shared" si="118"/>
        <v>0</v>
      </c>
      <c r="AR135" s="11">
        <f t="shared" si="118"/>
        <v>271.16666666666669</v>
      </c>
      <c r="AS135" s="11">
        <f t="shared" si="118"/>
        <v>56</v>
      </c>
      <c r="AT135" s="11">
        <f t="shared" si="118"/>
        <v>12102.583333333334</v>
      </c>
      <c r="AU135" s="11">
        <f t="shared" si="118"/>
        <v>2342.4166666666665</v>
      </c>
      <c r="AV135" s="11">
        <f t="shared" si="118"/>
        <v>3195.6666666666665</v>
      </c>
      <c r="AW135" s="11">
        <f t="shared" si="118"/>
        <v>13429.25</v>
      </c>
      <c r="AX135" s="11">
        <f t="shared" si="118"/>
        <v>3.8333333333333335</v>
      </c>
      <c r="AY135" s="11">
        <f t="shared" si="118"/>
        <v>0.75</v>
      </c>
      <c r="AZ135" s="11">
        <f t="shared" si="118"/>
        <v>748.58333333333337</v>
      </c>
      <c r="BA135" s="11">
        <f t="shared" si="118"/>
        <v>0</v>
      </c>
      <c r="BB135" s="11">
        <f t="shared" si="118"/>
        <v>154.58333333333334</v>
      </c>
      <c r="BC135" s="11">
        <f t="shared" si="118"/>
        <v>2420.5833333333335</v>
      </c>
      <c r="BD135" s="11">
        <f t="shared" si="118"/>
        <v>0</v>
      </c>
      <c r="BE135" s="11">
        <f t="shared" si="118"/>
        <v>0</v>
      </c>
      <c r="BF135" s="11">
        <f t="shared" si="118"/>
        <v>9625.0833333333339</v>
      </c>
      <c r="BG135" s="11">
        <f t="shared" si="118"/>
        <v>0</v>
      </c>
      <c r="BH135" s="11">
        <f t="shared" si="118"/>
        <v>0</v>
      </c>
      <c r="BI135" s="11">
        <f t="shared" si="118"/>
        <v>0</v>
      </c>
      <c r="BJ135" s="11">
        <f t="shared" si="118"/>
        <v>5.916666666666667</v>
      </c>
      <c r="BK135" s="11">
        <f t="shared" si="118"/>
        <v>5859.416666666667</v>
      </c>
      <c r="BL135" s="11">
        <f t="shared" si="118"/>
        <v>0</v>
      </c>
      <c r="BM135" s="11">
        <f t="shared" si="118"/>
        <v>16.916666666666668</v>
      </c>
      <c r="BN135" s="11">
        <f t="shared" si="118"/>
        <v>0</v>
      </c>
      <c r="BO135" s="11">
        <f t="shared" ref="BO135:DD135" si="119">AVERAGE(BO112:BO123)</f>
        <v>53995.333333333336</v>
      </c>
      <c r="BP135" s="11">
        <f t="shared" si="119"/>
        <v>103915.66666666667</v>
      </c>
      <c r="BQ135" s="11">
        <f t="shared" si="119"/>
        <v>2615.8333333333335</v>
      </c>
      <c r="BR135" s="11">
        <f t="shared" si="119"/>
        <v>33.666666666666664</v>
      </c>
      <c r="BS135" s="11">
        <f t="shared" si="119"/>
        <v>44148</v>
      </c>
      <c r="BT135" s="11">
        <f t="shared" si="119"/>
        <v>2331.5</v>
      </c>
      <c r="BU135" s="11">
        <f t="shared" si="119"/>
        <v>0.41666666666666669</v>
      </c>
      <c r="BV135" s="11">
        <f t="shared" si="119"/>
        <v>0.33333333333333331</v>
      </c>
      <c r="BW135" s="11">
        <f t="shared" si="119"/>
        <v>1.0833333333333333</v>
      </c>
      <c r="BX135" s="11">
        <f t="shared" si="119"/>
        <v>0</v>
      </c>
      <c r="BY135" s="11">
        <f t="shared" si="119"/>
        <v>362.66666666666669</v>
      </c>
      <c r="BZ135" s="11">
        <f t="shared" si="119"/>
        <v>0</v>
      </c>
      <c r="CA135" s="11">
        <f t="shared" si="119"/>
        <v>30084.25</v>
      </c>
      <c r="CB135" s="11">
        <f t="shared" si="119"/>
        <v>29642.666666666668</v>
      </c>
      <c r="CC135" s="11">
        <f t="shared" si="119"/>
        <v>135885.41666666666</v>
      </c>
      <c r="CD135" s="11">
        <f t="shared" si="119"/>
        <v>386345.33333333331</v>
      </c>
      <c r="CE135" s="11">
        <f t="shared" si="119"/>
        <v>58256.75</v>
      </c>
      <c r="CF135" s="11">
        <f t="shared" si="119"/>
        <v>96356.333333333328</v>
      </c>
      <c r="CG135" s="11">
        <f t="shared" si="119"/>
        <v>0</v>
      </c>
      <c r="CH135" s="11">
        <f t="shared" si="119"/>
        <v>110.25</v>
      </c>
      <c r="CI135" s="11">
        <f t="shared" si="119"/>
        <v>8.3333333333333329E-2</v>
      </c>
      <c r="CJ135" s="11">
        <f t="shared" si="119"/>
        <v>68.916666666666671</v>
      </c>
      <c r="CK135" s="11">
        <f t="shared" si="119"/>
        <v>82229.833333333328</v>
      </c>
      <c r="CL135" s="11">
        <f t="shared" si="119"/>
        <v>67659.166666666672</v>
      </c>
      <c r="CM135" s="11">
        <f t="shared" si="119"/>
        <v>442836</v>
      </c>
      <c r="CN135" s="11">
        <f t="shared" si="119"/>
        <v>86202</v>
      </c>
      <c r="CO135" s="11">
        <f t="shared" si="119"/>
        <v>42.083333333333336</v>
      </c>
      <c r="CP135" s="11">
        <f t="shared" si="119"/>
        <v>15291</v>
      </c>
      <c r="CQ135" s="11">
        <f t="shared" si="119"/>
        <v>1744.75</v>
      </c>
      <c r="CR135" s="11">
        <f t="shared" si="119"/>
        <v>44.916666666666664</v>
      </c>
      <c r="CS135" s="11">
        <f t="shared" si="119"/>
        <v>3858.5833333333335</v>
      </c>
      <c r="CT135" s="11">
        <f t="shared" si="119"/>
        <v>238.5</v>
      </c>
      <c r="CU135" s="11">
        <f t="shared" si="119"/>
        <v>17029.416666666668</v>
      </c>
      <c r="CV135" s="11">
        <f t="shared" si="119"/>
        <v>0.25</v>
      </c>
      <c r="CW135" s="11">
        <f t="shared" si="119"/>
        <v>12220.666666666666</v>
      </c>
      <c r="CX135" s="11">
        <f t="shared" si="119"/>
        <v>5011.75</v>
      </c>
      <c r="CY135" s="11">
        <f t="shared" si="119"/>
        <v>0</v>
      </c>
      <c r="CZ135" s="11">
        <f t="shared" si="119"/>
        <v>0</v>
      </c>
      <c r="DA135" s="11">
        <f t="shared" si="119"/>
        <v>0</v>
      </c>
      <c r="DB135" s="11">
        <f t="shared" si="119"/>
        <v>6.666666666666667</v>
      </c>
      <c r="DC135" s="11">
        <f t="shared" si="119"/>
        <v>0</v>
      </c>
      <c r="DD135" s="11">
        <f t="shared" si="119"/>
        <v>17.166666666666668</v>
      </c>
      <c r="DE135" s="7"/>
      <c r="DF135" s="7"/>
      <c r="DG135" s="11">
        <f>AVERAGE(DG112:DG123)</f>
        <v>1690609.1666666667</v>
      </c>
      <c r="DH135" s="11">
        <f t="shared" ref="DH135:EC135" si="120">AVERAGE(DH112:DH123)</f>
        <v>296666</v>
      </c>
      <c r="DI135" s="11">
        <f t="shared" si="120"/>
        <v>1987275.1666666667</v>
      </c>
      <c r="DJ135" s="11"/>
      <c r="DK135" s="11">
        <f t="shared" si="120"/>
        <v>87338.166666666672</v>
      </c>
      <c r="DL135" s="11">
        <f t="shared" si="120"/>
        <v>143535.58333333334</v>
      </c>
      <c r="DM135" s="11">
        <f t="shared" si="120"/>
        <v>15889.833333333334</v>
      </c>
      <c r="DN135" s="11">
        <f t="shared" si="120"/>
        <v>48110.166666666664</v>
      </c>
      <c r="DO135" s="11">
        <f t="shared" si="120"/>
        <v>615994.5</v>
      </c>
      <c r="DP135" s="11">
        <f t="shared" si="120"/>
        <v>150501.91666666666</v>
      </c>
      <c r="DQ135" s="11">
        <f t="shared" si="120"/>
        <v>19022.083333333332</v>
      </c>
      <c r="DR135" s="11">
        <f t="shared" si="120"/>
        <v>29753.416666666668</v>
      </c>
      <c r="DS135" s="11">
        <f t="shared" si="120"/>
        <v>53995.75</v>
      </c>
      <c r="DT135" s="11">
        <f t="shared" si="120"/>
        <v>15485.583333333334</v>
      </c>
      <c r="DU135" s="11">
        <f t="shared" si="120"/>
        <v>149889</v>
      </c>
      <c r="DV135" s="11">
        <f t="shared" si="120"/>
        <v>529080.08333333337</v>
      </c>
      <c r="DW135" s="11">
        <f t="shared" si="120"/>
        <v>32320.666666666668</v>
      </c>
      <c r="DX135" s="11">
        <f t="shared" si="120"/>
        <v>1890916.75</v>
      </c>
      <c r="DY135" s="11"/>
      <c r="DZ135" s="11">
        <f t="shared" si="120"/>
        <v>817335.33333333337</v>
      </c>
      <c r="EA135" s="11">
        <f t="shared" si="120"/>
        <v>100959.75</v>
      </c>
      <c r="EB135" s="11"/>
      <c r="EC135" s="11">
        <f t="shared" si="120"/>
        <v>2088234.9166666667</v>
      </c>
    </row>
    <row r="136" spans="1:133" x14ac:dyDescent="0.25">
      <c r="A136" s="12" t="s">
        <v>378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89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89"/>
      <c r="AY136" s="89"/>
      <c r="AZ136" s="89"/>
      <c r="BA136" s="89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F136" s="7"/>
      <c r="DG136" s="11"/>
      <c r="DH136" s="11"/>
      <c r="DI136" s="11"/>
      <c r="DJ136" s="162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62"/>
      <c r="DZ136" s="11"/>
      <c r="EA136" s="11"/>
      <c r="EB136" s="163"/>
      <c r="EC136" s="11"/>
    </row>
    <row r="137" spans="1:133" x14ac:dyDescent="0.25">
      <c r="A137" s="12" t="s">
        <v>379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89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89"/>
      <c r="AY137" s="89"/>
      <c r="AZ137" s="89"/>
      <c r="BA137" s="89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G137" s="11"/>
      <c r="DH137" s="11"/>
      <c r="DI137" s="11"/>
      <c r="DJ137" s="162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62"/>
      <c r="DZ137" s="11"/>
      <c r="EA137" s="11"/>
      <c r="EB137" s="162"/>
      <c r="EC137" s="11"/>
    </row>
    <row r="138" spans="1:133" x14ac:dyDescent="0.25">
      <c r="DI138" s="7"/>
      <c r="DM138" s="2"/>
      <c r="DN138" s="6"/>
      <c r="DR138" s="2"/>
      <c r="DS138" s="6"/>
      <c r="DT138" s="2"/>
      <c r="DU138" s="2"/>
      <c r="DV138" s="2"/>
      <c r="DW138" s="2"/>
    </row>
    <row r="139" spans="1:133" x14ac:dyDescent="0.25">
      <c r="DI139" s="7"/>
      <c r="DK139" s="2"/>
      <c r="DL139" s="2"/>
      <c r="DM139" s="2"/>
      <c r="DN139" s="2"/>
      <c r="DO139" s="2"/>
      <c r="DP139" s="6"/>
      <c r="DQ139" s="6"/>
      <c r="DR139" s="6"/>
      <c r="DS139" s="6"/>
      <c r="DT139" s="2"/>
      <c r="DU139" s="2"/>
      <c r="DV139" s="2"/>
      <c r="DW139" s="2"/>
    </row>
    <row r="140" spans="1:133" x14ac:dyDescent="0.25">
      <c r="BX140" s="7"/>
      <c r="CC140" s="2"/>
      <c r="CD140" s="2"/>
      <c r="CE140" s="2"/>
      <c r="CF140" s="2"/>
      <c r="CG140" s="2"/>
      <c r="CH140" s="6"/>
      <c r="CI140" s="6"/>
      <c r="CJ140" s="6"/>
      <c r="CK140" s="6"/>
      <c r="CL140" s="2"/>
      <c r="CM140" s="2"/>
      <c r="CN140" s="2"/>
      <c r="CO140" s="2"/>
    </row>
    <row r="141" spans="1:133" x14ac:dyDescent="0.25">
      <c r="BX141" s="7"/>
      <c r="CC141" s="2"/>
      <c r="CD141" s="2"/>
      <c r="CE141" s="2"/>
      <c r="CF141" s="2"/>
      <c r="CG141" s="2"/>
      <c r="CH141" s="6"/>
      <c r="CI141" s="6"/>
      <c r="CJ141" s="6"/>
      <c r="CK141" s="6"/>
      <c r="CL141" s="2"/>
      <c r="CM141" s="2"/>
      <c r="CN141" s="2"/>
      <c r="CO141" s="2"/>
    </row>
    <row r="142" spans="1:133" x14ac:dyDescent="0.25">
      <c r="BX142" s="7"/>
      <c r="CC142" s="2"/>
      <c r="CD142" s="2"/>
      <c r="CE142" s="2"/>
      <c r="CF142" s="2"/>
      <c r="CG142" s="2"/>
      <c r="CH142" s="6"/>
      <c r="CI142" s="6"/>
      <c r="CJ142" s="6"/>
      <c r="CK142" s="6"/>
      <c r="CL142" s="2"/>
      <c r="CM142" s="2"/>
      <c r="CN142" s="2"/>
      <c r="CO142" s="2"/>
    </row>
    <row r="143" spans="1:133" x14ac:dyDescent="0.25">
      <c r="BX143" s="7"/>
      <c r="CE143" s="2"/>
      <c r="CF143" s="6"/>
      <c r="CJ143" s="2"/>
      <c r="CK143" s="6"/>
      <c r="CL143" s="2"/>
      <c r="CM143" s="2"/>
      <c r="CN143" s="2"/>
      <c r="CO143" s="2"/>
    </row>
    <row r="144" spans="1:133" x14ac:dyDescent="0.25">
      <c r="CC144" s="2"/>
      <c r="CD144" s="2"/>
      <c r="CE144" s="2"/>
      <c r="CF144" s="2"/>
      <c r="CG144" s="2"/>
      <c r="CH144" s="6"/>
      <c r="CI144" s="6"/>
      <c r="CJ144" s="6"/>
      <c r="CK144" s="6"/>
    </row>
    <row r="145" spans="81:118" x14ac:dyDescent="0.25">
      <c r="CC145" s="2"/>
      <c r="CD145" s="2"/>
      <c r="CE145" s="2"/>
      <c r="CF145" s="2"/>
      <c r="CG145" s="2"/>
      <c r="CH145" s="6"/>
      <c r="CI145" s="6"/>
      <c r="CJ145" s="6"/>
      <c r="CK145" s="6"/>
    </row>
    <row r="146" spans="81:118" x14ac:dyDescent="0.25">
      <c r="CC146" s="2"/>
      <c r="CD146" s="2"/>
      <c r="CE146" s="2"/>
      <c r="CF146" s="2"/>
      <c r="CG146" s="2"/>
      <c r="CH146" s="6"/>
      <c r="CI146" s="6"/>
      <c r="CJ146" s="6"/>
      <c r="CK146" s="6"/>
    </row>
    <row r="147" spans="81:118" x14ac:dyDescent="0.25">
      <c r="CC147" s="2"/>
      <c r="CD147" s="2"/>
      <c r="CE147" s="2"/>
      <c r="CF147" s="2"/>
      <c r="CG147" s="2"/>
      <c r="CH147" s="6"/>
      <c r="CI147" s="6"/>
      <c r="CJ147" s="6"/>
      <c r="CK147" s="6"/>
    </row>
    <row r="148" spans="81:118" x14ac:dyDescent="0.25">
      <c r="CE148" s="2"/>
      <c r="CF148" s="6"/>
    </row>
    <row r="149" spans="81:118" x14ac:dyDescent="0.25">
      <c r="CE149" s="2"/>
      <c r="CF149" s="6"/>
    </row>
    <row r="152" spans="81:118" x14ac:dyDescent="0.25">
      <c r="DM152" s="2"/>
      <c r="DN152" s="6"/>
    </row>
    <row r="153" spans="81:118" x14ac:dyDescent="0.25">
      <c r="DM153" s="2"/>
      <c r="DN153" s="6"/>
    </row>
    <row r="154" spans="81:118" x14ac:dyDescent="0.25">
      <c r="DM154" s="2"/>
      <c r="DN154" s="6"/>
    </row>
    <row r="159" spans="81:118" ht="84.6" customHeight="1" x14ac:dyDescent="0.25"/>
  </sheetData>
  <mergeCells count="2">
    <mergeCell ref="DG1:DI1"/>
    <mergeCell ref="DK1:DX1"/>
  </mergeCells>
  <phoneticPr fontId="18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Pop Monthly</vt:lpstr>
      <vt:lpstr>MCO Report</vt:lpstr>
      <vt:lpstr>Population</vt:lpstr>
      <vt:lpstr>'MCO Report'!Print_Area</vt:lpstr>
      <vt:lpstr>'Total Pop Monthly'!Print_Area</vt:lpstr>
    </vt:vector>
  </TitlesOfParts>
  <Company>DMAS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Robert (DMAS)</dc:creator>
  <cp:lastModifiedBy>Monica Chenault</cp:lastModifiedBy>
  <cp:lastPrinted>2024-02-06T14:53:01Z</cp:lastPrinted>
  <dcterms:created xsi:type="dcterms:W3CDTF">2008-07-14T21:10:59Z</dcterms:created>
  <dcterms:modified xsi:type="dcterms:W3CDTF">2024-06-10T21:10:33Z</dcterms:modified>
</cp:coreProperties>
</file>