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u39283\AppData\Local\Microsoft\Windows\INetCache\Content.Outlook\8JVAKXJL\"/>
    </mc:Choice>
  </mc:AlternateContent>
  <xr:revisionPtr revIDLastSave="0" documentId="13_ncr:1_{27F103AE-8FFC-458A-AC25-7B6053882C9C}" xr6:coauthVersionLast="47" xr6:coauthVersionMax="47" xr10:uidLastSave="{00000000-0000-0000-0000-000000000000}"/>
  <bookViews>
    <workbookView xWindow="-28920" yWindow="-12645" windowWidth="29040" windowHeight="15720" tabRatio="874" firstSheet="1" activeTab="1" xr2:uid="{00000000-000D-0000-FFFF-FFFF00000000}"/>
  </bookViews>
  <sheets>
    <sheet name="Population" sheetId="4" state="hidden" r:id="rId1"/>
    <sheet name="Enrollment Report" sheetId="36" r:id="rId2"/>
    <sheet name="MCO Report" sheetId="5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B">#REF!</definedName>
    <definedName name="_05Jun.wrn.Manpower" hidden="1">{"Manpower",#N/A,TRUE,"Manpower";"Manpower",#N/A,TRUE,"Manpower"}</definedName>
    <definedName name="_05JunManpower" hidden="1">{"Manpower",#N/A,TRUE,"Manpower";"Manpower",#N/A,TRUE,"Manpower"}</definedName>
    <definedName name="_05May.wrn.Manpower" hidden="1">{"Manpower",#N/A,TRUE,"Manpower";"Manpower",#N/A,TRUE,"Manpower"}</definedName>
    <definedName name="_05MayManPower" hidden="1">{"Manpower",#N/A,TRUE,"Manpower";"Manpower",#N/A,TRUE,"Manpower"}</definedName>
    <definedName name="CategoriesList">#REF!</definedName>
    <definedName name="DATAOUT">#REF!</definedName>
    <definedName name="FAMIS_BY_FIPS">[1]FAMIS_BY_FIPS!#REF!</definedName>
    <definedName name="FAMIS_BY_REGION">[1]FAMIS_BY_REGION!#REF!</definedName>
    <definedName name="HealthCover">[2]BenefitRates!$F$5:$F$8</definedName>
    <definedName name="HealthPrem">[2]Lists!#REF!</definedName>
    <definedName name="Leg">#REF!</definedName>
    <definedName name="list">#REF!</definedName>
    <definedName name="Manpower" localSheetId="1" hidden="1">{"Manpower",#N/A,TRUE,"Manpower";"Manpower",#N/A,TRUE,"Manpower"}</definedName>
    <definedName name="Manpower" localSheetId="2" hidden="1">{"Manpower",#N/A,TRUE,"Manpower";"Manpower",#N/A,TRUE,"Manpower"}</definedName>
    <definedName name="Manpower" hidden="1">{"Manpower",#N/A,TRUE,"Manpower";"Manpower",#N/A,TRUE,"Manpower"}</definedName>
    <definedName name="MEDICAID_BY_FIPS">[1]MEDICAID_BY_FIPS!#REF!</definedName>
    <definedName name="MEDICAID_BY_REGION">[1]MEDICAID_BY_REGION!#REF!</definedName>
    <definedName name="MEMMO">'[3]FY08 MemMo Data Source'!#REF!</definedName>
    <definedName name="new.wrn.Manpower" hidden="1">{"Manpower",#N/A,TRUE,"Manpower";"Manpower",#N/A,TRUE,"Manpower"}</definedName>
    <definedName name="New_Manpower" hidden="1">{"Manpower",#N/A,TRUE,"Manpower";"Manpower",#N/A,TRUE,"Manpower"}</definedName>
    <definedName name="Onetime">#REF!</definedName>
    <definedName name="POSITIONS">'[4]Ref-ALTC NP FORM'!$A$4:$Y$14</definedName>
    <definedName name="_xlnm.Print_Area" localSheetId="1">'Enrollment Report'!$A$1:$Y$426</definedName>
    <definedName name="_xlnm.Print_Area" localSheetId="2">'MCO Report'!$A$1:$Y$426</definedName>
    <definedName name="RetireList">[2]Lists!$D$9:$D$13</definedName>
    <definedName name="SFSDFSDFSD">#REF!</definedName>
    <definedName name="Summary">#REF!</definedName>
    <definedName name="wrn.Manpower." localSheetId="1" hidden="1">{"Manpower",#N/A,TRUE,"Manpower";"Manpower",#N/A,TRUE,"Manpower"}</definedName>
    <definedName name="wrn.Manpower." localSheetId="2" hidden="1">{"Manpower",#N/A,TRUE,"Manpower";"Manpower",#N/A,TRUE,"Manpower"}</definedName>
    <definedName name="wrn.Manpower." hidden="1">{"Manpower",#N/A,TRUE,"Manpower";"Manpower",#N/A,TRUE,"Manpower"}</definedName>
    <definedName name="YesNo">[2]Lists!$D$5:$D$6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3" i="51" l="1"/>
  <c r="I423" i="51"/>
  <c r="J423" i="51"/>
  <c r="K423" i="51"/>
  <c r="N423" i="51"/>
  <c r="O423" i="51"/>
  <c r="P423" i="51"/>
  <c r="R423" i="51"/>
  <c r="S423" i="51" s="1"/>
  <c r="Y423" i="51" s="1"/>
  <c r="T423" i="51"/>
  <c r="X423" i="51"/>
  <c r="D426" i="36"/>
  <c r="E426" i="36"/>
  <c r="F426" i="36"/>
  <c r="G426" i="36"/>
  <c r="H426" i="36"/>
  <c r="J426" i="36"/>
  <c r="K426" i="36"/>
  <c r="L426" i="36"/>
  <c r="M426" i="36"/>
  <c r="O426" i="36"/>
  <c r="P426" i="36"/>
  <c r="Q426" i="36"/>
  <c r="T426" i="36"/>
  <c r="U426" i="36"/>
  <c r="V426" i="36"/>
  <c r="W426" i="36"/>
  <c r="X426" i="36"/>
  <c r="Z426" i="36"/>
  <c r="C424" i="36"/>
  <c r="C426" i="36" s="1"/>
  <c r="N424" i="36"/>
  <c r="N426" i="36" s="1"/>
  <c r="O424" i="36"/>
  <c r="R424" i="36"/>
  <c r="R426" i="36" s="1"/>
  <c r="P424" i="36"/>
  <c r="I424" i="36"/>
  <c r="I426" i="36" s="1"/>
  <c r="J424" i="36"/>
  <c r="G424" i="36"/>
  <c r="K424" i="36"/>
  <c r="X424" i="36"/>
  <c r="T424" i="36"/>
  <c r="D216" i="36"/>
  <c r="G216" i="36"/>
  <c r="C216" i="36" s="1"/>
  <c r="H216" i="36"/>
  <c r="I216" i="36"/>
  <c r="J216" i="36"/>
  <c r="K216" i="36"/>
  <c r="L216" i="36"/>
  <c r="M216" i="36"/>
  <c r="O216" i="36"/>
  <c r="P216" i="36"/>
  <c r="Q216" i="36"/>
  <c r="T216" i="36"/>
  <c r="U216" i="36"/>
  <c r="V216" i="36"/>
  <c r="W216" i="36"/>
  <c r="DG438" i="4"/>
  <c r="DI438" i="4" s="1"/>
  <c r="DH438" i="4"/>
  <c r="DK438" i="4"/>
  <c r="DL438" i="4"/>
  <c r="DM438" i="4"/>
  <c r="DX438" i="4" s="1"/>
  <c r="EC438" i="4" s="1"/>
  <c r="ED438" i="4" s="1"/>
  <c r="DN438" i="4"/>
  <c r="DO438" i="4"/>
  <c r="DP438" i="4"/>
  <c r="DQ438" i="4"/>
  <c r="DR438" i="4"/>
  <c r="DS438" i="4"/>
  <c r="DT438" i="4"/>
  <c r="DU438" i="4"/>
  <c r="DV438" i="4"/>
  <c r="DW438" i="4"/>
  <c r="DZ438" i="4"/>
  <c r="EA438" i="4"/>
  <c r="DE438" i="4"/>
  <c r="E228" i="36"/>
  <c r="F228" i="36"/>
  <c r="W228" i="36"/>
  <c r="E229" i="36"/>
  <c r="F229" i="36"/>
  <c r="W229" i="36"/>
  <c r="E230" i="36"/>
  <c r="F230" i="36"/>
  <c r="W230" i="36"/>
  <c r="E231" i="36"/>
  <c r="F231" i="36"/>
  <c r="W231" i="36"/>
  <c r="Z231" i="36"/>
  <c r="E232" i="36"/>
  <c r="F232" i="36"/>
  <c r="V232" i="36"/>
  <c r="W232" i="36"/>
  <c r="E233" i="36"/>
  <c r="F233" i="36"/>
  <c r="V233" i="36"/>
  <c r="W233" i="36"/>
  <c r="Z233" i="36"/>
  <c r="F234" i="36"/>
  <c r="C423" i="51"/>
  <c r="T422" i="51"/>
  <c r="X422" i="51" s="1"/>
  <c r="P422" i="51"/>
  <c r="O422" i="51"/>
  <c r="K422" i="51"/>
  <c r="J422" i="51"/>
  <c r="I422" i="51"/>
  <c r="N422" i="51" s="1"/>
  <c r="G422" i="51"/>
  <c r="C422" i="51"/>
  <c r="X420" i="51"/>
  <c r="T420" i="51"/>
  <c r="P420" i="51"/>
  <c r="O420" i="51"/>
  <c r="R420" i="51" s="1"/>
  <c r="K420" i="51"/>
  <c r="J420" i="51"/>
  <c r="I420" i="51" s="1"/>
  <c r="G420" i="51"/>
  <c r="T419" i="51"/>
  <c r="X419" i="51" s="1"/>
  <c r="R419" i="51"/>
  <c r="P419" i="51"/>
  <c r="O419" i="51"/>
  <c r="K419" i="51"/>
  <c r="J419" i="51"/>
  <c r="I419" i="51"/>
  <c r="N419" i="51" s="1"/>
  <c r="G419" i="51"/>
  <c r="T418" i="51"/>
  <c r="X418" i="51" s="1"/>
  <c r="P418" i="51"/>
  <c r="O418" i="51"/>
  <c r="R418" i="51" s="1"/>
  <c r="K418" i="51"/>
  <c r="J418" i="51"/>
  <c r="I418" i="51"/>
  <c r="N418" i="51" s="1"/>
  <c r="G418" i="51"/>
  <c r="T417" i="51"/>
  <c r="X417" i="51" s="1"/>
  <c r="P417" i="51"/>
  <c r="O417" i="51"/>
  <c r="R417" i="51" s="1"/>
  <c r="K417" i="51"/>
  <c r="J417" i="51"/>
  <c r="I417" i="51" s="1"/>
  <c r="N417" i="51" s="1"/>
  <c r="G417" i="51"/>
  <c r="T416" i="51"/>
  <c r="X416" i="51" s="1"/>
  <c r="R416" i="51"/>
  <c r="P416" i="51"/>
  <c r="O416" i="51"/>
  <c r="K416" i="51"/>
  <c r="J416" i="51"/>
  <c r="I416" i="51"/>
  <c r="N416" i="51" s="1"/>
  <c r="G416" i="51"/>
  <c r="T415" i="51"/>
  <c r="X415" i="51" s="1"/>
  <c r="P415" i="51"/>
  <c r="O415" i="51"/>
  <c r="R415" i="51" s="1"/>
  <c r="K415" i="51"/>
  <c r="J415" i="51"/>
  <c r="I415" i="51" s="1"/>
  <c r="N415" i="51" s="1"/>
  <c r="G415" i="51"/>
  <c r="T414" i="51"/>
  <c r="X414" i="51" s="1"/>
  <c r="R414" i="51"/>
  <c r="P414" i="51"/>
  <c r="O414" i="51"/>
  <c r="K414" i="51"/>
  <c r="J414" i="51"/>
  <c r="I414" i="51"/>
  <c r="N414" i="51" s="1"/>
  <c r="G414" i="51"/>
  <c r="T413" i="51"/>
  <c r="X413" i="51" s="1"/>
  <c r="P413" i="51"/>
  <c r="O413" i="51"/>
  <c r="R413" i="51" s="1"/>
  <c r="K413" i="51"/>
  <c r="J413" i="51"/>
  <c r="I413" i="51" s="1"/>
  <c r="N413" i="51" s="1"/>
  <c r="G413" i="51"/>
  <c r="T412" i="51"/>
  <c r="X412" i="51" s="1"/>
  <c r="P412" i="51"/>
  <c r="O412" i="51"/>
  <c r="R412" i="51" s="1"/>
  <c r="K412" i="51"/>
  <c r="J412" i="51"/>
  <c r="I412" i="51" s="1"/>
  <c r="N412" i="51" s="1"/>
  <c r="G412" i="51"/>
  <c r="T411" i="51"/>
  <c r="X411" i="51" s="1"/>
  <c r="P411" i="51"/>
  <c r="R411" i="51" s="1"/>
  <c r="O411" i="51"/>
  <c r="K411" i="51"/>
  <c r="J411" i="51"/>
  <c r="I411" i="51"/>
  <c r="G411" i="51"/>
  <c r="T410" i="51"/>
  <c r="X410" i="51" s="1"/>
  <c r="P410" i="51"/>
  <c r="O410" i="51"/>
  <c r="R410" i="51" s="1"/>
  <c r="K410" i="51"/>
  <c r="J410" i="51"/>
  <c r="I410" i="51"/>
  <c r="N410" i="51" s="1"/>
  <c r="G410" i="51"/>
  <c r="T409" i="51"/>
  <c r="X409" i="51" s="1"/>
  <c r="P409" i="51"/>
  <c r="O409" i="51"/>
  <c r="K409" i="51"/>
  <c r="J409" i="51"/>
  <c r="I409" i="51" s="1"/>
  <c r="G409" i="51"/>
  <c r="S408" i="51"/>
  <c r="Y408" i="51" s="1"/>
  <c r="T407" i="51"/>
  <c r="X407" i="51" s="1"/>
  <c r="R407" i="51"/>
  <c r="P407" i="51"/>
  <c r="O407" i="51"/>
  <c r="K407" i="51"/>
  <c r="J407" i="51"/>
  <c r="I407" i="51"/>
  <c r="N407" i="51" s="1"/>
  <c r="G407" i="51"/>
  <c r="T406" i="51"/>
  <c r="X406" i="51" s="1"/>
  <c r="P406" i="51"/>
  <c r="O406" i="51"/>
  <c r="K406" i="51"/>
  <c r="J406" i="51"/>
  <c r="I406" i="51" s="1"/>
  <c r="N406" i="51" s="1"/>
  <c r="G406" i="51"/>
  <c r="X405" i="51"/>
  <c r="T405" i="51"/>
  <c r="P405" i="51"/>
  <c r="O405" i="51"/>
  <c r="K405" i="51"/>
  <c r="J405" i="51"/>
  <c r="I405" i="51" s="1"/>
  <c r="G405" i="51"/>
  <c r="T404" i="51"/>
  <c r="X404" i="51" s="1"/>
  <c r="P404" i="51"/>
  <c r="O404" i="51"/>
  <c r="R404" i="51" s="1"/>
  <c r="K404" i="51"/>
  <c r="J404" i="51"/>
  <c r="I404" i="51" s="1"/>
  <c r="N404" i="51" s="1"/>
  <c r="G404" i="51"/>
  <c r="T403" i="51"/>
  <c r="X403" i="51" s="1"/>
  <c r="P403" i="51"/>
  <c r="O403" i="51"/>
  <c r="K403" i="51"/>
  <c r="J403" i="51"/>
  <c r="I403" i="51" s="1"/>
  <c r="N403" i="51" s="1"/>
  <c r="G403" i="51"/>
  <c r="T402" i="51"/>
  <c r="X402" i="51" s="1"/>
  <c r="P402" i="51"/>
  <c r="O402" i="51"/>
  <c r="K402" i="51"/>
  <c r="J402" i="51"/>
  <c r="I402" i="51"/>
  <c r="G402" i="51"/>
  <c r="T401" i="51"/>
  <c r="X401" i="51" s="1"/>
  <c r="P401" i="51"/>
  <c r="O401" i="51"/>
  <c r="K401" i="51"/>
  <c r="J401" i="51"/>
  <c r="I401" i="51" s="1"/>
  <c r="N401" i="51" s="1"/>
  <c r="G401" i="51"/>
  <c r="T400" i="51"/>
  <c r="X400" i="51" s="1"/>
  <c r="P400" i="51"/>
  <c r="O400" i="51"/>
  <c r="R400" i="51" s="1"/>
  <c r="K400" i="51"/>
  <c r="N400" i="51" s="1"/>
  <c r="J400" i="51"/>
  <c r="I400" i="51" s="1"/>
  <c r="G400" i="51"/>
  <c r="T399" i="51"/>
  <c r="X399" i="51" s="1"/>
  <c r="P399" i="51"/>
  <c r="O399" i="51"/>
  <c r="R399" i="51" s="1"/>
  <c r="K399" i="51"/>
  <c r="J399" i="51"/>
  <c r="I399" i="51" s="1"/>
  <c r="N399" i="51" s="1"/>
  <c r="G399" i="51"/>
  <c r="T398" i="51"/>
  <c r="X398" i="51" s="1"/>
  <c r="P398" i="51"/>
  <c r="O398" i="51"/>
  <c r="R398" i="51" s="1"/>
  <c r="K398" i="51"/>
  <c r="J398" i="51"/>
  <c r="I398" i="51" s="1"/>
  <c r="N398" i="51" s="1"/>
  <c r="G398" i="51"/>
  <c r="X397" i="51"/>
  <c r="T397" i="51"/>
  <c r="P397" i="51"/>
  <c r="O397" i="51"/>
  <c r="K397" i="51"/>
  <c r="J397" i="51"/>
  <c r="I397" i="51" s="1"/>
  <c r="G397" i="51"/>
  <c r="T396" i="51"/>
  <c r="X396" i="51" s="1"/>
  <c r="P396" i="51"/>
  <c r="O396" i="51"/>
  <c r="R396" i="51" s="1"/>
  <c r="K396" i="51"/>
  <c r="J396" i="51"/>
  <c r="I396" i="51" s="1"/>
  <c r="N396" i="51" s="1"/>
  <c r="G396" i="51"/>
  <c r="S395" i="51"/>
  <c r="X394" i="51"/>
  <c r="T394" i="51"/>
  <c r="P394" i="51"/>
  <c r="R394" i="51" s="1"/>
  <c r="O394" i="51"/>
  <c r="K394" i="51"/>
  <c r="J394" i="51"/>
  <c r="I394" i="51" s="1"/>
  <c r="G394" i="51"/>
  <c r="X393" i="51"/>
  <c r="T393" i="51"/>
  <c r="P393" i="51"/>
  <c r="O393" i="51"/>
  <c r="R393" i="51" s="1"/>
  <c r="K393" i="51"/>
  <c r="J393" i="51"/>
  <c r="I393" i="51" s="1"/>
  <c r="G393" i="51"/>
  <c r="T392" i="51"/>
  <c r="X392" i="51" s="1"/>
  <c r="P392" i="51"/>
  <c r="O392" i="51"/>
  <c r="R392" i="51" s="1"/>
  <c r="K392" i="51"/>
  <c r="J392" i="51"/>
  <c r="I392" i="51" s="1"/>
  <c r="N392" i="51" s="1"/>
  <c r="G392" i="51"/>
  <c r="S392" i="51" s="1"/>
  <c r="T391" i="51"/>
  <c r="X391" i="51" s="1"/>
  <c r="P391" i="51"/>
  <c r="O391" i="51"/>
  <c r="K391" i="51"/>
  <c r="J391" i="51"/>
  <c r="I391" i="51" s="1"/>
  <c r="N391" i="51" s="1"/>
  <c r="G391" i="51"/>
  <c r="X390" i="51"/>
  <c r="T390" i="51"/>
  <c r="P390" i="51"/>
  <c r="O390" i="51"/>
  <c r="R390" i="51" s="1"/>
  <c r="K390" i="51"/>
  <c r="J390" i="51"/>
  <c r="I390" i="51" s="1"/>
  <c r="N390" i="51" s="1"/>
  <c r="G390" i="51"/>
  <c r="T389" i="51"/>
  <c r="X389" i="51" s="1"/>
  <c r="P389" i="51"/>
  <c r="O389" i="51"/>
  <c r="R389" i="51" s="1"/>
  <c r="K389" i="51"/>
  <c r="J389" i="51"/>
  <c r="I389" i="51" s="1"/>
  <c r="N389" i="51" s="1"/>
  <c r="G389" i="51"/>
  <c r="X388" i="51"/>
  <c r="T388" i="51"/>
  <c r="P388" i="51"/>
  <c r="O388" i="51"/>
  <c r="R388" i="51" s="1"/>
  <c r="K388" i="51"/>
  <c r="J388" i="51"/>
  <c r="I388" i="51" s="1"/>
  <c r="N388" i="51" s="1"/>
  <c r="G388" i="51"/>
  <c r="T387" i="51"/>
  <c r="X387" i="51" s="1"/>
  <c r="P387" i="51"/>
  <c r="O387" i="51"/>
  <c r="R387" i="51" s="1"/>
  <c r="K387" i="51"/>
  <c r="J387" i="51"/>
  <c r="I387" i="51" s="1"/>
  <c r="N387" i="51" s="1"/>
  <c r="G387" i="51"/>
  <c r="X386" i="51"/>
  <c r="T386" i="51"/>
  <c r="P386" i="51"/>
  <c r="O386" i="51"/>
  <c r="R386" i="51" s="1"/>
  <c r="K386" i="51"/>
  <c r="J386" i="51"/>
  <c r="I386" i="51" s="1"/>
  <c r="N386" i="51" s="1"/>
  <c r="G386" i="51"/>
  <c r="X385" i="51"/>
  <c r="T385" i="51"/>
  <c r="P385" i="51"/>
  <c r="O385" i="51"/>
  <c r="R385" i="51" s="1"/>
  <c r="K385" i="51"/>
  <c r="J385" i="51"/>
  <c r="I385" i="51" s="1"/>
  <c r="N385" i="51" s="1"/>
  <c r="G385" i="51"/>
  <c r="T384" i="51"/>
  <c r="X384" i="51" s="1"/>
  <c r="R384" i="51"/>
  <c r="P384" i="51"/>
  <c r="O384" i="51"/>
  <c r="K384" i="51"/>
  <c r="J384" i="51"/>
  <c r="I384" i="51"/>
  <c r="N384" i="51" s="1"/>
  <c r="G384" i="51"/>
  <c r="T383" i="51"/>
  <c r="X383" i="51" s="1"/>
  <c r="P383" i="51"/>
  <c r="O383" i="51"/>
  <c r="K383" i="51"/>
  <c r="J383" i="51"/>
  <c r="I383" i="51"/>
  <c r="N383" i="51" s="1"/>
  <c r="G383" i="51"/>
  <c r="S382" i="51"/>
  <c r="X381" i="51"/>
  <c r="T381" i="51"/>
  <c r="P381" i="51"/>
  <c r="O381" i="51"/>
  <c r="R381" i="51" s="1"/>
  <c r="K381" i="51"/>
  <c r="J381" i="51"/>
  <c r="I381" i="51" s="1"/>
  <c r="N381" i="51" s="1"/>
  <c r="G381" i="51"/>
  <c r="T380" i="51"/>
  <c r="X380" i="51" s="1"/>
  <c r="P380" i="51"/>
  <c r="O380" i="51"/>
  <c r="R380" i="51" s="1"/>
  <c r="K380" i="51"/>
  <c r="J380" i="51"/>
  <c r="I380" i="51" s="1"/>
  <c r="N380" i="51" s="1"/>
  <c r="G380" i="51"/>
  <c r="T379" i="51"/>
  <c r="X379" i="51" s="1"/>
  <c r="P379" i="51"/>
  <c r="O379" i="51"/>
  <c r="K379" i="51"/>
  <c r="J379" i="51"/>
  <c r="I379" i="51" s="1"/>
  <c r="N379" i="51" s="1"/>
  <c r="G379" i="51"/>
  <c r="X378" i="51"/>
  <c r="T378" i="51"/>
  <c r="P378" i="51"/>
  <c r="O378" i="51"/>
  <c r="R378" i="51" s="1"/>
  <c r="K378" i="51"/>
  <c r="J378" i="51"/>
  <c r="I378" i="51" s="1"/>
  <c r="G378" i="51"/>
  <c r="T377" i="51"/>
  <c r="X377" i="51" s="1"/>
  <c r="P377" i="51"/>
  <c r="O377" i="51"/>
  <c r="R377" i="51" s="1"/>
  <c r="K377" i="51"/>
  <c r="J377" i="51"/>
  <c r="I377" i="51" s="1"/>
  <c r="N377" i="51" s="1"/>
  <c r="G377" i="51"/>
  <c r="X376" i="51"/>
  <c r="T376" i="51"/>
  <c r="P376" i="51"/>
  <c r="O376" i="51"/>
  <c r="R376" i="51" s="1"/>
  <c r="K376" i="51"/>
  <c r="J376" i="51"/>
  <c r="I376" i="51" s="1"/>
  <c r="G376" i="51"/>
  <c r="T375" i="51"/>
  <c r="X375" i="51" s="1"/>
  <c r="P375" i="51"/>
  <c r="O375" i="51"/>
  <c r="K375" i="51"/>
  <c r="J375" i="51"/>
  <c r="I375" i="51" s="1"/>
  <c r="N375" i="51" s="1"/>
  <c r="G375" i="51"/>
  <c r="X374" i="51"/>
  <c r="T374" i="51"/>
  <c r="P374" i="51"/>
  <c r="O374" i="51"/>
  <c r="K374" i="51"/>
  <c r="J374" i="51"/>
  <c r="I374" i="51" s="1"/>
  <c r="G374" i="51"/>
  <c r="T373" i="51"/>
  <c r="X373" i="51" s="1"/>
  <c r="P373" i="51"/>
  <c r="O373" i="51"/>
  <c r="R373" i="51" s="1"/>
  <c r="N373" i="51"/>
  <c r="K373" i="51"/>
  <c r="J373" i="51"/>
  <c r="I373" i="51" s="1"/>
  <c r="G373" i="51"/>
  <c r="T372" i="51"/>
  <c r="X372" i="51" s="1"/>
  <c r="P372" i="51"/>
  <c r="O372" i="51"/>
  <c r="R372" i="51" s="1"/>
  <c r="K372" i="51"/>
  <c r="J372" i="51"/>
  <c r="I372" i="51" s="1"/>
  <c r="N372" i="51" s="1"/>
  <c r="G372" i="51"/>
  <c r="T371" i="51"/>
  <c r="X371" i="51" s="1"/>
  <c r="P371" i="51"/>
  <c r="O371" i="51"/>
  <c r="K371" i="51"/>
  <c r="J371" i="51"/>
  <c r="I371" i="51" s="1"/>
  <c r="N371" i="51" s="1"/>
  <c r="G371" i="51"/>
  <c r="T370" i="51"/>
  <c r="X370" i="51" s="1"/>
  <c r="P370" i="51"/>
  <c r="O370" i="51"/>
  <c r="R370" i="51" s="1"/>
  <c r="K370" i="51"/>
  <c r="J370" i="51"/>
  <c r="I370" i="51" s="1"/>
  <c r="N370" i="51" s="1"/>
  <c r="G370" i="51"/>
  <c r="S369" i="51"/>
  <c r="T368" i="51"/>
  <c r="X368" i="51" s="1"/>
  <c r="P368" i="51"/>
  <c r="O368" i="51"/>
  <c r="K368" i="51"/>
  <c r="J368" i="51"/>
  <c r="I368" i="51"/>
  <c r="G368" i="51"/>
  <c r="T367" i="51"/>
  <c r="X367" i="51" s="1"/>
  <c r="P367" i="51"/>
  <c r="O367" i="51"/>
  <c r="R368" i="51" s="1"/>
  <c r="K367" i="51"/>
  <c r="J367" i="51"/>
  <c r="I367" i="51"/>
  <c r="N367" i="51" s="1"/>
  <c r="G367" i="51"/>
  <c r="T366" i="51"/>
  <c r="X366" i="51" s="1"/>
  <c r="P366" i="51"/>
  <c r="O366" i="51"/>
  <c r="R367" i="51" s="1"/>
  <c r="K366" i="51"/>
  <c r="J366" i="51"/>
  <c r="I366" i="51" s="1"/>
  <c r="G366" i="51"/>
  <c r="T365" i="51"/>
  <c r="X365" i="51" s="1"/>
  <c r="P365" i="51"/>
  <c r="O365" i="51"/>
  <c r="K365" i="51"/>
  <c r="J365" i="51"/>
  <c r="I365" i="51"/>
  <c r="N365" i="51" s="1"/>
  <c r="G365" i="51"/>
  <c r="T364" i="51"/>
  <c r="X364" i="51" s="1"/>
  <c r="P364" i="51"/>
  <c r="O364" i="51"/>
  <c r="R365" i="51" s="1"/>
  <c r="S365" i="51" s="1"/>
  <c r="N364" i="51"/>
  <c r="K364" i="51"/>
  <c r="J364" i="51"/>
  <c r="I364" i="51" s="1"/>
  <c r="G364" i="51"/>
  <c r="T363" i="51"/>
  <c r="X363" i="51" s="1"/>
  <c r="P363" i="51"/>
  <c r="O363" i="51"/>
  <c r="R364" i="51" s="1"/>
  <c r="K363" i="51"/>
  <c r="J363" i="51"/>
  <c r="I363" i="51" s="1"/>
  <c r="N363" i="51" s="1"/>
  <c r="G363" i="51"/>
  <c r="T362" i="51"/>
  <c r="X362" i="51" s="1"/>
  <c r="P362" i="51"/>
  <c r="O362" i="51"/>
  <c r="K362" i="51"/>
  <c r="J362" i="51"/>
  <c r="I362" i="51" s="1"/>
  <c r="N362" i="51" s="1"/>
  <c r="G362" i="51"/>
  <c r="T361" i="51"/>
  <c r="X361" i="51" s="1"/>
  <c r="P361" i="51"/>
  <c r="O361" i="51"/>
  <c r="R362" i="51" s="1"/>
  <c r="K361" i="51"/>
  <c r="N361" i="51" s="1"/>
  <c r="J361" i="51"/>
  <c r="I361" i="51" s="1"/>
  <c r="G361" i="51"/>
  <c r="T360" i="51"/>
  <c r="X360" i="51" s="1"/>
  <c r="P360" i="51"/>
  <c r="O360" i="51"/>
  <c r="K360" i="51"/>
  <c r="J360" i="51"/>
  <c r="I360" i="51" s="1"/>
  <c r="N360" i="51" s="1"/>
  <c r="S360" i="51" s="1"/>
  <c r="G360" i="51"/>
  <c r="T359" i="51"/>
  <c r="X359" i="51" s="1"/>
  <c r="P359" i="51"/>
  <c r="O359" i="51"/>
  <c r="R360" i="51" s="1"/>
  <c r="K359" i="51"/>
  <c r="J359" i="51"/>
  <c r="I359" i="51" s="1"/>
  <c r="N359" i="51" s="1"/>
  <c r="G359" i="51"/>
  <c r="T358" i="51"/>
  <c r="X358" i="51" s="1"/>
  <c r="P358" i="51"/>
  <c r="O358" i="51"/>
  <c r="R359" i="51" s="1"/>
  <c r="K358" i="51"/>
  <c r="J358" i="51"/>
  <c r="I358" i="51" s="1"/>
  <c r="N358" i="51" s="1"/>
  <c r="G358" i="51"/>
  <c r="T357" i="51"/>
  <c r="X357" i="51" s="1"/>
  <c r="P357" i="51"/>
  <c r="O357" i="51"/>
  <c r="R357" i="51" s="1"/>
  <c r="K357" i="51"/>
  <c r="J357" i="51"/>
  <c r="I357" i="51"/>
  <c r="N357" i="51" s="1"/>
  <c r="G357" i="51"/>
  <c r="S356" i="51"/>
  <c r="U355" i="51"/>
  <c r="X355" i="51" s="1"/>
  <c r="T355" i="51"/>
  <c r="P355" i="51"/>
  <c r="O355" i="51"/>
  <c r="K355" i="51"/>
  <c r="J355" i="51"/>
  <c r="I355" i="51" s="1"/>
  <c r="G355" i="51"/>
  <c r="U354" i="51"/>
  <c r="X354" i="51" s="1"/>
  <c r="T354" i="51"/>
  <c r="P354" i="51"/>
  <c r="O354" i="51"/>
  <c r="N354" i="51"/>
  <c r="K354" i="51"/>
  <c r="I354" i="51"/>
  <c r="G354" i="51"/>
  <c r="T353" i="51"/>
  <c r="X353" i="51" s="1"/>
  <c r="P353" i="51"/>
  <c r="O353" i="51"/>
  <c r="R353" i="51" s="1"/>
  <c r="K353" i="51"/>
  <c r="J353" i="51"/>
  <c r="I353" i="51" s="1"/>
  <c r="N353" i="51" s="1"/>
  <c r="G353" i="51"/>
  <c r="U352" i="51"/>
  <c r="T352" i="51"/>
  <c r="X352" i="51" s="1"/>
  <c r="P352" i="51"/>
  <c r="O352" i="51"/>
  <c r="K352" i="51"/>
  <c r="J352" i="51"/>
  <c r="I352" i="51" s="1"/>
  <c r="N352" i="51" s="1"/>
  <c r="G352" i="51"/>
  <c r="U351" i="51"/>
  <c r="T351" i="51"/>
  <c r="X351" i="51" s="1"/>
  <c r="P351" i="51"/>
  <c r="O351" i="51"/>
  <c r="R351" i="51" s="1"/>
  <c r="K351" i="51"/>
  <c r="J351" i="51"/>
  <c r="I351" i="51"/>
  <c r="N351" i="51" s="1"/>
  <c r="G351" i="51"/>
  <c r="U350" i="51"/>
  <c r="T350" i="51"/>
  <c r="R350" i="51"/>
  <c r="P350" i="51"/>
  <c r="O350" i="51"/>
  <c r="K350" i="51"/>
  <c r="J350" i="51"/>
  <c r="I350" i="51" s="1"/>
  <c r="N350" i="51" s="1"/>
  <c r="G350" i="51"/>
  <c r="U349" i="51"/>
  <c r="T349" i="51"/>
  <c r="X349" i="51" s="1"/>
  <c r="K349" i="51"/>
  <c r="N349" i="51" s="1"/>
  <c r="S349" i="51" s="1"/>
  <c r="J349" i="51"/>
  <c r="I349" i="51" s="1"/>
  <c r="G349" i="51"/>
  <c r="V348" i="51"/>
  <c r="U348" i="51"/>
  <c r="T348" i="51"/>
  <c r="X348" i="51" s="1"/>
  <c r="K348" i="51"/>
  <c r="J348" i="51"/>
  <c r="I348" i="51" s="1"/>
  <c r="N348" i="51" s="1"/>
  <c r="G348" i="51"/>
  <c r="V347" i="51"/>
  <c r="U347" i="51"/>
  <c r="T347" i="51"/>
  <c r="K347" i="51"/>
  <c r="J347" i="51"/>
  <c r="I347" i="51" s="1"/>
  <c r="N347" i="51" s="1"/>
  <c r="G347" i="51"/>
  <c r="S347" i="51" s="1"/>
  <c r="V346" i="51"/>
  <c r="U346" i="51"/>
  <c r="T346" i="51"/>
  <c r="X346" i="51" s="1"/>
  <c r="K346" i="51"/>
  <c r="I346" i="51"/>
  <c r="N346" i="51" s="1"/>
  <c r="G346" i="51"/>
  <c r="V345" i="51"/>
  <c r="U345" i="51"/>
  <c r="T345" i="51"/>
  <c r="X345" i="51" s="1"/>
  <c r="K345" i="51"/>
  <c r="I345" i="51"/>
  <c r="G345" i="51"/>
  <c r="T344" i="51"/>
  <c r="X344" i="51" s="1"/>
  <c r="K344" i="51"/>
  <c r="I344" i="51"/>
  <c r="N344" i="51" s="1"/>
  <c r="G344" i="51"/>
  <c r="S344" i="51" s="1"/>
  <c r="W234" i="51"/>
  <c r="U234" i="51"/>
  <c r="T234" i="51"/>
  <c r="P234" i="51"/>
  <c r="O234" i="51"/>
  <c r="M234" i="51"/>
  <c r="L234" i="51"/>
  <c r="K234" i="51"/>
  <c r="J234" i="51"/>
  <c r="I234" i="51"/>
  <c r="H234" i="51"/>
  <c r="G234" i="51"/>
  <c r="F234" i="51"/>
  <c r="E234" i="51"/>
  <c r="X233" i="51"/>
  <c r="W233" i="51"/>
  <c r="V233" i="51"/>
  <c r="U233" i="51"/>
  <c r="T233" i="51"/>
  <c r="S233" i="51"/>
  <c r="M233" i="51"/>
  <c r="L233" i="51"/>
  <c r="K233" i="51"/>
  <c r="J233" i="51"/>
  <c r="I233" i="51"/>
  <c r="F233" i="51"/>
  <c r="E233" i="51"/>
  <c r="W232" i="51"/>
  <c r="V232" i="51"/>
  <c r="S232" i="51"/>
  <c r="R232" i="51"/>
  <c r="F232" i="51"/>
  <c r="E232" i="51"/>
  <c r="W231" i="51"/>
  <c r="S231" i="51"/>
  <c r="R231" i="51"/>
  <c r="F231" i="51"/>
  <c r="E231" i="51"/>
  <c r="W230" i="51"/>
  <c r="S230" i="51"/>
  <c r="R230" i="51"/>
  <c r="F230" i="51"/>
  <c r="E230" i="51"/>
  <c r="W229" i="51"/>
  <c r="U229" i="51"/>
  <c r="R229" i="51"/>
  <c r="Q229" i="51"/>
  <c r="F229" i="51"/>
  <c r="E229" i="51"/>
  <c r="W228" i="51"/>
  <c r="F228" i="51"/>
  <c r="E228" i="51"/>
  <c r="Q221" i="51"/>
  <c r="Q234" i="51" s="1"/>
  <c r="Q220" i="51"/>
  <c r="Q219" i="51"/>
  <c r="Q218" i="51"/>
  <c r="Q217" i="51"/>
  <c r="Q216" i="51"/>
  <c r="X215" i="51"/>
  <c r="W215" i="51"/>
  <c r="V215" i="51"/>
  <c r="U215" i="51"/>
  <c r="T215" i="51"/>
  <c r="Q215" i="51"/>
  <c r="P215" i="51"/>
  <c r="O215" i="51"/>
  <c r="N215" i="51"/>
  <c r="M215" i="51"/>
  <c r="L215" i="51"/>
  <c r="K215" i="51"/>
  <c r="J215" i="51"/>
  <c r="I215" i="51"/>
  <c r="H215" i="51"/>
  <c r="G215" i="51"/>
  <c r="C209" i="51" s="1"/>
  <c r="D215" i="51"/>
  <c r="W214" i="51"/>
  <c r="V214" i="51"/>
  <c r="V234" i="51" s="1"/>
  <c r="U214" i="51"/>
  <c r="T214" i="51"/>
  <c r="Q214" i="51"/>
  <c r="P214" i="51"/>
  <c r="O214" i="51"/>
  <c r="R214" i="51" s="1"/>
  <c r="M214" i="51"/>
  <c r="L214" i="51"/>
  <c r="K214" i="51"/>
  <c r="J214" i="51"/>
  <c r="I214" i="51"/>
  <c r="H214" i="51"/>
  <c r="G214" i="51"/>
  <c r="C214" i="51" s="1"/>
  <c r="X212" i="51"/>
  <c r="U212" i="51"/>
  <c r="T212" i="51"/>
  <c r="R212" i="51"/>
  <c r="Q212" i="51"/>
  <c r="P212" i="51"/>
  <c r="O212" i="51"/>
  <c r="M212" i="51"/>
  <c r="L212" i="51"/>
  <c r="K212" i="51"/>
  <c r="J212" i="51"/>
  <c r="I212" i="51"/>
  <c r="H212" i="51"/>
  <c r="G212" i="51"/>
  <c r="C212" i="51" s="1"/>
  <c r="C420" i="51" s="1"/>
  <c r="U211" i="51"/>
  <c r="T211" i="51"/>
  <c r="X211" i="51" s="1"/>
  <c r="Q211" i="51"/>
  <c r="P211" i="51"/>
  <c r="O211" i="51"/>
  <c r="M211" i="51"/>
  <c r="L211" i="51"/>
  <c r="K211" i="51"/>
  <c r="J211" i="51"/>
  <c r="I211" i="51"/>
  <c r="H211" i="51"/>
  <c r="G211" i="51"/>
  <c r="C211" i="51" s="1"/>
  <c r="U210" i="51"/>
  <c r="T210" i="51"/>
  <c r="X210" i="51" s="1"/>
  <c r="Q210" i="51"/>
  <c r="P210" i="51"/>
  <c r="O210" i="51"/>
  <c r="R210" i="51" s="1"/>
  <c r="M210" i="51"/>
  <c r="L210" i="51"/>
  <c r="K210" i="51"/>
  <c r="J210" i="51"/>
  <c r="I210" i="51"/>
  <c r="N210" i="51" s="1"/>
  <c r="H210" i="51"/>
  <c r="G210" i="51"/>
  <c r="C210" i="51" s="1"/>
  <c r="C418" i="51" s="1"/>
  <c r="U209" i="51"/>
  <c r="T209" i="51"/>
  <c r="Q209" i="51"/>
  <c r="P209" i="51"/>
  <c r="O209" i="51"/>
  <c r="R209" i="51" s="1"/>
  <c r="M209" i="51"/>
  <c r="L209" i="51"/>
  <c r="K209" i="51"/>
  <c r="J209" i="51"/>
  <c r="I209" i="51"/>
  <c r="H209" i="51"/>
  <c r="G209" i="51"/>
  <c r="U208" i="51"/>
  <c r="T208" i="51"/>
  <c r="Q208" i="51"/>
  <c r="P208" i="51"/>
  <c r="O208" i="51"/>
  <c r="R208" i="51" s="1"/>
  <c r="M208" i="51"/>
  <c r="L208" i="51"/>
  <c r="K208" i="51"/>
  <c r="K232" i="51" s="1"/>
  <c r="J208" i="51"/>
  <c r="I208" i="51"/>
  <c r="H208" i="51"/>
  <c r="G208" i="51"/>
  <c r="C208" i="51"/>
  <c r="C416" i="51" s="1"/>
  <c r="U207" i="51"/>
  <c r="T207" i="51"/>
  <c r="T232" i="51" s="1"/>
  <c r="Q207" i="51"/>
  <c r="P207" i="51"/>
  <c r="O207" i="51"/>
  <c r="M207" i="51"/>
  <c r="L207" i="51"/>
  <c r="K207" i="51"/>
  <c r="J207" i="51"/>
  <c r="I207" i="51"/>
  <c r="H207" i="51"/>
  <c r="G207" i="51"/>
  <c r="U206" i="51"/>
  <c r="T206" i="51"/>
  <c r="X206" i="51" s="1"/>
  <c r="Q206" i="51"/>
  <c r="P206" i="51"/>
  <c r="O206" i="51"/>
  <c r="R206" i="51" s="1"/>
  <c r="M206" i="51"/>
  <c r="L206" i="51"/>
  <c r="K206" i="51"/>
  <c r="J206" i="51"/>
  <c r="I206" i="51"/>
  <c r="N206" i="51" s="1"/>
  <c r="H206" i="51"/>
  <c r="G206" i="51"/>
  <c r="C201" i="51" s="1"/>
  <c r="C206" i="51"/>
  <c r="U205" i="51"/>
  <c r="T205" i="51"/>
  <c r="X205" i="51" s="1"/>
  <c r="Q205" i="51"/>
  <c r="P205" i="51"/>
  <c r="O205" i="51"/>
  <c r="R205" i="51" s="1"/>
  <c r="M205" i="51"/>
  <c r="L205" i="51"/>
  <c r="K205" i="51"/>
  <c r="J205" i="51"/>
  <c r="I205" i="51"/>
  <c r="H205" i="51"/>
  <c r="G205" i="51"/>
  <c r="D205" i="51"/>
  <c r="C205" i="51" s="1"/>
  <c r="C413" i="51" s="1"/>
  <c r="U204" i="51"/>
  <c r="T204" i="51"/>
  <c r="R204" i="51"/>
  <c r="Q204" i="51"/>
  <c r="P204" i="51"/>
  <c r="O204" i="51"/>
  <c r="M204" i="51"/>
  <c r="L204" i="51"/>
  <c r="K204" i="51"/>
  <c r="J204" i="51"/>
  <c r="I204" i="51"/>
  <c r="H204" i="51"/>
  <c r="G204" i="51"/>
  <c r="D204" i="51"/>
  <c r="C204" i="51" s="1"/>
  <c r="C412" i="51" s="1"/>
  <c r="U203" i="51"/>
  <c r="X203" i="51" s="1"/>
  <c r="T203" i="51"/>
  <c r="Q203" i="51"/>
  <c r="P203" i="51"/>
  <c r="O203" i="51"/>
  <c r="R203" i="51" s="1"/>
  <c r="M203" i="51"/>
  <c r="L203" i="51"/>
  <c r="K203" i="51"/>
  <c r="J203" i="51"/>
  <c r="J232" i="51" s="1"/>
  <c r="I203" i="51"/>
  <c r="H203" i="51"/>
  <c r="G203" i="51"/>
  <c r="D203" i="51"/>
  <c r="C203" i="51" s="1"/>
  <c r="U202" i="51"/>
  <c r="T202" i="51"/>
  <c r="X202" i="51" s="1"/>
  <c r="Q202" i="51"/>
  <c r="R202" i="51" s="1"/>
  <c r="P202" i="51"/>
  <c r="O202" i="51"/>
  <c r="M202" i="51"/>
  <c r="L202" i="51"/>
  <c r="K202" i="51"/>
  <c r="J202" i="51"/>
  <c r="I202" i="51"/>
  <c r="N202" i="51" s="1"/>
  <c r="H202" i="51"/>
  <c r="G202" i="51"/>
  <c r="D202" i="51"/>
  <c r="C202" i="51" s="1"/>
  <c r="C410" i="51" s="1"/>
  <c r="U201" i="51"/>
  <c r="T201" i="51"/>
  <c r="Q201" i="51"/>
  <c r="P201" i="51"/>
  <c r="O201" i="51"/>
  <c r="R201" i="51" s="1"/>
  <c r="M201" i="51"/>
  <c r="L201" i="51"/>
  <c r="K201" i="51"/>
  <c r="J201" i="51"/>
  <c r="I201" i="51"/>
  <c r="H201" i="51"/>
  <c r="G201" i="51"/>
  <c r="D201" i="51"/>
  <c r="U199" i="51"/>
  <c r="X199" i="51" s="1"/>
  <c r="T199" i="51"/>
  <c r="Q199" i="51"/>
  <c r="P199" i="51"/>
  <c r="O199" i="51"/>
  <c r="R199" i="51" s="1"/>
  <c r="M199" i="51"/>
  <c r="L199" i="51"/>
  <c r="K199" i="51"/>
  <c r="N199" i="51" s="1"/>
  <c r="J199" i="51"/>
  <c r="I199" i="51"/>
  <c r="H199" i="51"/>
  <c r="G199" i="51"/>
  <c r="D199" i="51"/>
  <c r="C199" i="51" s="1"/>
  <c r="U198" i="51"/>
  <c r="T198" i="51"/>
  <c r="X198" i="51" s="1"/>
  <c r="Q198" i="51"/>
  <c r="P198" i="51"/>
  <c r="O198" i="51"/>
  <c r="R198" i="51" s="1"/>
  <c r="M198" i="51"/>
  <c r="L198" i="51"/>
  <c r="K198" i="51"/>
  <c r="J198" i="51"/>
  <c r="I198" i="51"/>
  <c r="H198" i="51"/>
  <c r="G198" i="51"/>
  <c r="D198" i="51"/>
  <c r="U197" i="51"/>
  <c r="X197" i="51" s="1"/>
  <c r="T197" i="51"/>
  <c r="Q197" i="51"/>
  <c r="R197" i="51" s="1"/>
  <c r="P197" i="51"/>
  <c r="O197" i="51"/>
  <c r="M197" i="51"/>
  <c r="L197" i="51"/>
  <c r="N197" i="51" s="1"/>
  <c r="K197" i="51"/>
  <c r="J197" i="51"/>
  <c r="I197" i="51"/>
  <c r="H197" i="51"/>
  <c r="G197" i="51"/>
  <c r="D197" i="51"/>
  <c r="C197" i="51" s="1"/>
  <c r="C405" i="51" s="1"/>
  <c r="X196" i="51"/>
  <c r="U196" i="51"/>
  <c r="T196" i="51"/>
  <c r="Q196" i="51"/>
  <c r="P196" i="51"/>
  <c r="O196" i="51"/>
  <c r="M196" i="51"/>
  <c r="L196" i="51"/>
  <c r="K196" i="51"/>
  <c r="K231" i="51" s="1"/>
  <c r="J196" i="51"/>
  <c r="I196" i="51"/>
  <c r="H196" i="51"/>
  <c r="G196" i="51"/>
  <c r="D196" i="51"/>
  <c r="U195" i="51"/>
  <c r="T195" i="51"/>
  <c r="X195" i="51" s="1"/>
  <c r="R195" i="51"/>
  <c r="Q195" i="51"/>
  <c r="P195" i="51"/>
  <c r="O195" i="51"/>
  <c r="M195" i="51"/>
  <c r="L195" i="51"/>
  <c r="K195" i="51"/>
  <c r="J195" i="51"/>
  <c r="I195" i="51"/>
  <c r="N195" i="51" s="1"/>
  <c r="S195" i="51" s="1"/>
  <c r="Y195" i="51" s="1"/>
  <c r="H195" i="51"/>
  <c r="G195" i="51"/>
  <c r="D195" i="51"/>
  <c r="U194" i="51"/>
  <c r="X194" i="51" s="1"/>
  <c r="T194" i="51"/>
  <c r="Q194" i="51"/>
  <c r="P194" i="51"/>
  <c r="O194" i="51"/>
  <c r="N194" i="51"/>
  <c r="M194" i="51"/>
  <c r="L194" i="51"/>
  <c r="K194" i="51"/>
  <c r="J194" i="51"/>
  <c r="I194" i="51"/>
  <c r="H194" i="51"/>
  <c r="G194" i="51"/>
  <c r="D194" i="51"/>
  <c r="C194" i="51" s="1"/>
  <c r="U193" i="51"/>
  <c r="T193" i="51"/>
  <c r="X193" i="51" s="1"/>
  <c r="Q193" i="51"/>
  <c r="P193" i="51"/>
  <c r="O193" i="51"/>
  <c r="M193" i="51"/>
  <c r="L193" i="51"/>
  <c r="K193" i="51"/>
  <c r="J193" i="51"/>
  <c r="I193" i="51"/>
  <c r="H193" i="51"/>
  <c r="G193" i="51"/>
  <c r="D193" i="51"/>
  <c r="C193" i="51" s="1"/>
  <c r="C401" i="51" s="1"/>
  <c r="U192" i="51"/>
  <c r="U231" i="51" s="1"/>
  <c r="T192" i="51"/>
  <c r="Q192" i="51"/>
  <c r="P192" i="51"/>
  <c r="O192" i="51"/>
  <c r="R192" i="51" s="1"/>
  <c r="M192" i="51"/>
  <c r="L192" i="51"/>
  <c r="L231" i="51" s="1"/>
  <c r="K192" i="51"/>
  <c r="J192" i="51"/>
  <c r="I192" i="51"/>
  <c r="H192" i="51"/>
  <c r="G192" i="51"/>
  <c r="D192" i="51"/>
  <c r="U191" i="51"/>
  <c r="T191" i="51"/>
  <c r="X191" i="51" s="1"/>
  <c r="Q191" i="51"/>
  <c r="P191" i="51"/>
  <c r="O191" i="51"/>
  <c r="M191" i="51"/>
  <c r="L191" i="51"/>
  <c r="K191" i="51"/>
  <c r="J191" i="51"/>
  <c r="I191" i="51"/>
  <c r="N191" i="51" s="1"/>
  <c r="H191" i="51"/>
  <c r="G191" i="51"/>
  <c r="D191" i="51"/>
  <c r="C191" i="51" s="1"/>
  <c r="U190" i="51"/>
  <c r="T190" i="51"/>
  <c r="Q190" i="51"/>
  <c r="P190" i="51"/>
  <c r="O190" i="51"/>
  <c r="M190" i="51"/>
  <c r="L190" i="51"/>
  <c r="K190" i="51"/>
  <c r="J190" i="51"/>
  <c r="I190" i="51"/>
  <c r="H190" i="51"/>
  <c r="G190" i="51"/>
  <c r="C186" i="51" s="1"/>
  <c r="C394" i="51" s="1"/>
  <c r="D190" i="51"/>
  <c r="U189" i="51"/>
  <c r="T189" i="51"/>
  <c r="X189" i="51" s="1"/>
  <c r="Q189" i="51"/>
  <c r="P189" i="51"/>
  <c r="O189" i="51"/>
  <c r="R189" i="51" s="1"/>
  <c r="M189" i="51"/>
  <c r="L189" i="51"/>
  <c r="K189" i="51"/>
  <c r="J189" i="51"/>
  <c r="I189" i="51"/>
  <c r="N189" i="51" s="1"/>
  <c r="H189" i="51"/>
  <c r="G189" i="51"/>
  <c r="C185" i="51" s="1"/>
  <c r="C393" i="51" s="1"/>
  <c r="D189" i="51"/>
  <c r="C189" i="51" s="1"/>
  <c r="U188" i="51"/>
  <c r="T188" i="51"/>
  <c r="X188" i="51" s="1"/>
  <c r="Q188" i="51"/>
  <c r="P188" i="51"/>
  <c r="O188" i="51"/>
  <c r="R188" i="51" s="1"/>
  <c r="M188" i="51"/>
  <c r="L188" i="51"/>
  <c r="K188" i="51"/>
  <c r="J188" i="51"/>
  <c r="I188" i="51"/>
  <c r="H188" i="51"/>
  <c r="G188" i="51"/>
  <c r="D188" i="51"/>
  <c r="C188" i="51" s="1"/>
  <c r="U186" i="51"/>
  <c r="T186" i="51"/>
  <c r="Q186" i="51"/>
  <c r="P186" i="51"/>
  <c r="O186" i="51"/>
  <c r="R186" i="51" s="1"/>
  <c r="M186" i="51"/>
  <c r="L186" i="51"/>
  <c r="K186" i="51"/>
  <c r="J186" i="51"/>
  <c r="I186" i="51"/>
  <c r="H186" i="51"/>
  <c r="G186" i="51"/>
  <c r="D186" i="51"/>
  <c r="U185" i="51"/>
  <c r="X185" i="51" s="1"/>
  <c r="T185" i="51"/>
  <c r="Q185" i="51"/>
  <c r="P185" i="51"/>
  <c r="O185" i="51"/>
  <c r="R185" i="51" s="1"/>
  <c r="M185" i="51"/>
  <c r="L185" i="51"/>
  <c r="K185" i="51"/>
  <c r="J185" i="51"/>
  <c r="I185" i="51"/>
  <c r="H185" i="51"/>
  <c r="G185" i="51"/>
  <c r="D185" i="51"/>
  <c r="U184" i="51"/>
  <c r="T184" i="51"/>
  <c r="X184" i="51" s="1"/>
  <c r="Q184" i="51"/>
  <c r="R184" i="51" s="1"/>
  <c r="P184" i="51"/>
  <c r="O184" i="51"/>
  <c r="M184" i="51"/>
  <c r="L184" i="51"/>
  <c r="K184" i="51"/>
  <c r="J184" i="51"/>
  <c r="I184" i="51"/>
  <c r="N184" i="51" s="1"/>
  <c r="H184" i="51"/>
  <c r="G184" i="51"/>
  <c r="D184" i="51"/>
  <c r="U183" i="51"/>
  <c r="T183" i="51"/>
  <c r="Q183" i="51"/>
  <c r="P183" i="51"/>
  <c r="O183" i="51"/>
  <c r="R183" i="51" s="1"/>
  <c r="M183" i="51"/>
  <c r="L183" i="51"/>
  <c r="K183" i="51"/>
  <c r="J183" i="51"/>
  <c r="I183" i="51"/>
  <c r="H183" i="51"/>
  <c r="G183" i="51"/>
  <c r="D183" i="51"/>
  <c r="C183" i="51"/>
  <c r="U182" i="51"/>
  <c r="T182" i="51"/>
  <c r="X182" i="51" s="1"/>
  <c r="Q182" i="51"/>
  <c r="P182" i="51"/>
  <c r="O182" i="51"/>
  <c r="M182" i="51"/>
  <c r="L182" i="51"/>
  <c r="K182" i="51"/>
  <c r="J182" i="51"/>
  <c r="I182" i="51"/>
  <c r="N182" i="51" s="1"/>
  <c r="H182" i="51"/>
  <c r="G182" i="51"/>
  <c r="D182" i="51"/>
  <c r="U181" i="51"/>
  <c r="T181" i="51"/>
  <c r="Q181" i="51"/>
  <c r="R181" i="51" s="1"/>
  <c r="P181" i="51"/>
  <c r="O181" i="51"/>
  <c r="M181" i="51"/>
  <c r="L181" i="51"/>
  <c r="K181" i="51"/>
  <c r="J181" i="51"/>
  <c r="I181" i="51"/>
  <c r="H181" i="51"/>
  <c r="G181" i="51"/>
  <c r="D181" i="51"/>
  <c r="U180" i="51"/>
  <c r="X180" i="51" s="1"/>
  <c r="T180" i="51"/>
  <c r="Q180" i="51"/>
  <c r="P180" i="51"/>
  <c r="O180" i="51"/>
  <c r="M180" i="51"/>
  <c r="L180" i="51"/>
  <c r="K180" i="51"/>
  <c r="J180" i="51"/>
  <c r="I180" i="51"/>
  <c r="H180" i="51"/>
  <c r="G180" i="51"/>
  <c r="D180" i="51"/>
  <c r="U179" i="51"/>
  <c r="T179" i="51"/>
  <c r="X179" i="51" s="1"/>
  <c r="Q179" i="51"/>
  <c r="P179" i="51"/>
  <c r="O179" i="51"/>
  <c r="M179" i="51"/>
  <c r="L179" i="51"/>
  <c r="K179" i="51"/>
  <c r="J179" i="51"/>
  <c r="I179" i="51"/>
  <c r="N179" i="51" s="1"/>
  <c r="H179" i="51"/>
  <c r="G179" i="51"/>
  <c r="D179" i="51"/>
  <c r="U178" i="51"/>
  <c r="T178" i="51"/>
  <c r="Q178" i="51"/>
  <c r="P178" i="51"/>
  <c r="O178" i="51"/>
  <c r="R178" i="51" s="1"/>
  <c r="M178" i="51"/>
  <c r="L178" i="51"/>
  <c r="K178" i="51"/>
  <c r="J178" i="51"/>
  <c r="I178" i="51"/>
  <c r="H178" i="51"/>
  <c r="G178" i="51"/>
  <c r="C175" i="51" s="1"/>
  <c r="D178" i="51"/>
  <c r="C178" i="51" s="1"/>
  <c r="C386" i="51" s="1"/>
  <c r="X177" i="51"/>
  <c r="U177" i="51"/>
  <c r="T177" i="51"/>
  <c r="Q177" i="51"/>
  <c r="P177" i="51"/>
  <c r="O177" i="51"/>
  <c r="R177" i="51" s="1"/>
  <c r="N177" i="51"/>
  <c r="M177" i="51"/>
  <c r="L177" i="51"/>
  <c r="K177" i="51"/>
  <c r="J177" i="51"/>
  <c r="I177" i="51"/>
  <c r="H177" i="51"/>
  <c r="G177" i="51"/>
  <c r="D177" i="51"/>
  <c r="C177" i="51" s="1"/>
  <c r="C385" i="51" s="1"/>
  <c r="U176" i="51"/>
  <c r="T176" i="51"/>
  <c r="R176" i="51"/>
  <c r="Q176" i="51"/>
  <c r="P176" i="51"/>
  <c r="O176" i="51"/>
  <c r="M176" i="51"/>
  <c r="L176" i="51"/>
  <c r="K176" i="51"/>
  <c r="J176" i="51"/>
  <c r="I176" i="51"/>
  <c r="H176" i="51"/>
  <c r="G176" i="51"/>
  <c r="D176" i="51"/>
  <c r="V175" i="51"/>
  <c r="V231" i="51" s="1"/>
  <c r="U175" i="51"/>
  <c r="T175" i="51"/>
  <c r="Q175" i="51"/>
  <c r="P175" i="51"/>
  <c r="O175" i="51"/>
  <c r="M175" i="51"/>
  <c r="L175" i="51"/>
  <c r="K175" i="51"/>
  <c r="J175" i="51"/>
  <c r="I175" i="51"/>
  <c r="H175" i="51"/>
  <c r="G175" i="51"/>
  <c r="D175" i="51"/>
  <c r="V173" i="51"/>
  <c r="U173" i="51"/>
  <c r="T173" i="51"/>
  <c r="Q173" i="51"/>
  <c r="P173" i="51"/>
  <c r="O173" i="51"/>
  <c r="M173" i="51"/>
  <c r="L173" i="51"/>
  <c r="K173" i="51"/>
  <c r="J173" i="51"/>
  <c r="I173" i="51"/>
  <c r="H173" i="51"/>
  <c r="G173" i="51"/>
  <c r="D173" i="51"/>
  <c r="V172" i="51"/>
  <c r="U172" i="51"/>
  <c r="T172" i="51"/>
  <c r="R172" i="51"/>
  <c r="Q172" i="51"/>
  <c r="P172" i="51"/>
  <c r="O172" i="51"/>
  <c r="M172" i="51"/>
  <c r="L172" i="51"/>
  <c r="K172" i="51"/>
  <c r="J172" i="51"/>
  <c r="I172" i="51"/>
  <c r="H172" i="51"/>
  <c r="G172" i="51"/>
  <c r="D172" i="51"/>
  <c r="C172" i="51" s="1"/>
  <c r="V171" i="51"/>
  <c r="U171" i="51"/>
  <c r="T171" i="51"/>
  <c r="Q171" i="51"/>
  <c r="R171" i="51" s="1"/>
  <c r="P171" i="51"/>
  <c r="O171" i="51"/>
  <c r="M171" i="51"/>
  <c r="L171" i="51"/>
  <c r="K171" i="51"/>
  <c r="J171" i="51"/>
  <c r="I171" i="51"/>
  <c r="N171" i="51" s="1"/>
  <c r="H171" i="51"/>
  <c r="G171" i="51"/>
  <c r="D171" i="51"/>
  <c r="V170" i="51"/>
  <c r="U170" i="51"/>
  <c r="T170" i="51"/>
  <c r="Q170" i="51"/>
  <c r="P170" i="51"/>
  <c r="O170" i="51"/>
  <c r="R170" i="51" s="1"/>
  <c r="M170" i="51"/>
  <c r="L170" i="51"/>
  <c r="K170" i="51"/>
  <c r="J170" i="51"/>
  <c r="I170" i="51"/>
  <c r="N170" i="51" s="1"/>
  <c r="S170" i="51" s="1"/>
  <c r="H170" i="51"/>
  <c r="G170" i="51"/>
  <c r="D170" i="51"/>
  <c r="C170" i="51" s="1"/>
  <c r="V169" i="51"/>
  <c r="U169" i="51"/>
  <c r="T169" i="51"/>
  <c r="Q169" i="51"/>
  <c r="P169" i="51"/>
  <c r="R169" i="51" s="1"/>
  <c r="O169" i="51"/>
  <c r="M169" i="51"/>
  <c r="L169" i="51"/>
  <c r="K169" i="51"/>
  <c r="J169" i="51"/>
  <c r="I169" i="51"/>
  <c r="H169" i="51"/>
  <c r="G169" i="51"/>
  <c r="C167" i="51" s="1"/>
  <c r="D169" i="51"/>
  <c r="V168" i="51"/>
  <c r="U168" i="51"/>
  <c r="T168" i="51"/>
  <c r="Q168" i="51"/>
  <c r="P168" i="51"/>
  <c r="O168" i="51"/>
  <c r="R168" i="51" s="1"/>
  <c r="M168" i="51"/>
  <c r="L168" i="51"/>
  <c r="K168" i="51"/>
  <c r="J168" i="51"/>
  <c r="I168" i="51"/>
  <c r="H168" i="51"/>
  <c r="G168" i="51"/>
  <c r="D168" i="51"/>
  <c r="C168" i="51" s="1"/>
  <c r="V167" i="51"/>
  <c r="U167" i="51"/>
  <c r="T167" i="51"/>
  <c r="X167" i="51" s="1"/>
  <c r="Q167" i="51"/>
  <c r="P167" i="51"/>
  <c r="O167" i="51"/>
  <c r="R167" i="51" s="1"/>
  <c r="M167" i="51"/>
  <c r="L167" i="51"/>
  <c r="K167" i="51"/>
  <c r="J167" i="51"/>
  <c r="I167" i="51"/>
  <c r="H167" i="51"/>
  <c r="G167" i="51"/>
  <c r="D167" i="51"/>
  <c r="V166" i="51"/>
  <c r="U166" i="51"/>
  <c r="T166" i="51"/>
  <c r="Q166" i="51"/>
  <c r="P166" i="51"/>
  <c r="O166" i="51"/>
  <c r="R166" i="51" s="1"/>
  <c r="M166" i="51"/>
  <c r="L166" i="51"/>
  <c r="K166" i="51"/>
  <c r="J166" i="51"/>
  <c r="I166" i="51"/>
  <c r="H166" i="51"/>
  <c r="G166" i="51"/>
  <c r="D166" i="51"/>
  <c r="C166" i="51" s="1"/>
  <c r="C374" i="51" s="1"/>
  <c r="V165" i="51"/>
  <c r="U165" i="51"/>
  <c r="T165" i="51"/>
  <c r="Q165" i="51"/>
  <c r="P165" i="51"/>
  <c r="O165" i="51"/>
  <c r="M165" i="51"/>
  <c r="L165" i="51"/>
  <c r="K165" i="51"/>
  <c r="J165" i="51"/>
  <c r="I165" i="51"/>
  <c r="H165" i="51"/>
  <c r="G165" i="51"/>
  <c r="D165" i="51"/>
  <c r="V164" i="51"/>
  <c r="U164" i="51"/>
  <c r="T164" i="51"/>
  <c r="Q164" i="51"/>
  <c r="P164" i="51"/>
  <c r="R164" i="51" s="1"/>
  <c r="O164" i="51"/>
  <c r="M164" i="51"/>
  <c r="N164" i="51" s="1"/>
  <c r="S164" i="51" s="1"/>
  <c r="L164" i="51"/>
  <c r="K164" i="51"/>
  <c r="J164" i="51"/>
  <c r="I164" i="51"/>
  <c r="H164" i="51"/>
  <c r="H230" i="51" s="1"/>
  <c r="G164" i="51"/>
  <c r="D164" i="51"/>
  <c r="C164" i="51" s="1"/>
  <c r="C372" i="51" s="1"/>
  <c r="V163" i="51"/>
  <c r="X163" i="51" s="1"/>
  <c r="U163" i="51"/>
  <c r="T163" i="51"/>
  <c r="Q163" i="51"/>
  <c r="P163" i="51"/>
  <c r="O163" i="51"/>
  <c r="M163" i="51"/>
  <c r="L163" i="51"/>
  <c r="K163" i="51"/>
  <c r="J163" i="51"/>
  <c r="I163" i="51"/>
  <c r="H163" i="51"/>
  <c r="G163" i="51"/>
  <c r="D163" i="51"/>
  <c r="V162" i="51"/>
  <c r="U162" i="51"/>
  <c r="T162" i="51"/>
  <c r="Q162" i="51"/>
  <c r="P162" i="51"/>
  <c r="O162" i="51"/>
  <c r="R162" i="51" s="1"/>
  <c r="M162" i="51"/>
  <c r="L162" i="51"/>
  <c r="K162" i="51"/>
  <c r="J162" i="51"/>
  <c r="I162" i="51"/>
  <c r="H162" i="51"/>
  <c r="G162" i="51"/>
  <c r="D162" i="51"/>
  <c r="C162" i="51" s="1"/>
  <c r="V160" i="51"/>
  <c r="U160" i="51"/>
  <c r="T160" i="51"/>
  <c r="Q160" i="51"/>
  <c r="P160" i="51"/>
  <c r="O160" i="51"/>
  <c r="R160" i="51" s="1"/>
  <c r="M160" i="51"/>
  <c r="L160" i="51"/>
  <c r="K160" i="51"/>
  <c r="J160" i="51"/>
  <c r="I160" i="51"/>
  <c r="H160" i="51"/>
  <c r="G160" i="51"/>
  <c r="D160" i="51"/>
  <c r="C160" i="51"/>
  <c r="V159" i="51"/>
  <c r="U159" i="51"/>
  <c r="T159" i="51"/>
  <c r="Q159" i="51"/>
  <c r="P159" i="51"/>
  <c r="O159" i="51"/>
  <c r="R159" i="51" s="1"/>
  <c r="M159" i="51"/>
  <c r="L159" i="51"/>
  <c r="K159" i="51"/>
  <c r="J159" i="51"/>
  <c r="I159" i="51"/>
  <c r="N159" i="51" s="1"/>
  <c r="H159" i="51"/>
  <c r="G159" i="51"/>
  <c r="D159" i="51"/>
  <c r="C159" i="51" s="1"/>
  <c r="C367" i="51" s="1"/>
  <c r="V158" i="51"/>
  <c r="U158" i="51"/>
  <c r="T158" i="51"/>
  <c r="Q158" i="51"/>
  <c r="P158" i="51"/>
  <c r="O158" i="51"/>
  <c r="R158" i="51" s="1"/>
  <c r="M158" i="51"/>
  <c r="L158" i="51"/>
  <c r="K158" i="51"/>
  <c r="J158" i="51"/>
  <c r="I158" i="51"/>
  <c r="H158" i="51"/>
  <c r="G158" i="51"/>
  <c r="D158" i="51"/>
  <c r="V157" i="51"/>
  <c r="U157" i="51"/>
  <c r="T157" i="51"/>
  <c r="X157" i="51" s="1"/>
  <c r="Q157" i="51"/>
  <c r="P157" i="51"/>
  <c r="O157" i="51"/>
  <c r="R157" i="51" s="1"/>
  <c r="M157" i="51"/>
  <c r="L157" i="51"/>
  <c r="K157" i="51"/>
  <c r="J157" i="51"/>
  <c r="N157" i="51" s="1"/>
  <c r="I157" i="51"/>
  <c r="H157" i="51"/>
  <c r="G157" i="51"/>
  <c r="D157" i="51"/>
  <c r="C157" i="51" s="1"/>
  <c r="C365" i="51" s="1"/>
  <c r="V156" i="51"/>
  <c r="U156" i="51"/>
  <c r="T156" i="51"/>
  <c r="Q156" i="51"/>
  <c r="P156" i="51"/>
  <c r="O156" i="51"/>
  <c r="R156" i="51" s="1"/>
  <c r="M156" i="51"/>
  <c r="L156" i="51"/>
  <c r="K156" i="51"/>
  <c r="J156" i="51"/>
  <c r="I156" i="51"/>
  <c r="H156" i="51"/>
  <c r="G156" i="51"/>
  <c r="D156" i="51"/>
  <c r="V155" i="51"/>
  <c r="U155" i="51"/>
  <c r="T155" i="51"/>
  <c r="Q155" i="51"/>
  <c r="P155" i="51"/>
  <c r="O155" i="51"/>
  <c r="M155" i="51"/>
  <c r="L155" i="51"/>
  <c r="K155" i="51"/>
  <c r="J155" i="51"/>
  <c r="I155" i="51"/>
  <c r="N155" i="51" s="1"/>
  <c r="H155" i="51"/>
  <c r="G155" i="51"/>
  <c r="D155" i="51"/>
  <c r="C155" i="51" s="1"/>
  <c r="V154" i="51"/>
  <c r="X154" i="51" s="1"/>
  <c r="U154" i="51"/>
  <c r="T154" i="51"/>
  <c r="R154" i="51"/>
  <c r="Q154" i="51"/>
  <c r="P154" i="51"/>
  <c r="O154" i="51"/>
  <c r="M154" i="51"/>
  <c r="L154" i="51"/>
  <c r="K154" i="51"/>
  <c r="J154" i="51"/>
  <c r="I154" i="51"/>
  <c r="N154" i="51" s="1"/>
  <c r="S154" i="51" s="1"/>
  <c r="H154" i="51"/>
  <c r="G154" i="51"/>
  <c r="D154" i="51"/>
  <c r="V153" i="51"/>
  <c r="X153" i="51" s="1"/>
  <c r="U153" i="51"/>
  <c r="T153" i="51"/>
  <c r="Q153" i="51"/>
  <c r="P153" i="51"/>
  <c r="O153" i="51"/>
  <c r="M153" i="51"/>
  <c r="L153" i="51"/>
  <c r="K153" i="51"/>
  <c r="J153" i="51"/>
  <c r="I153" i="51"/>
  <c r="N153" i="51" s="1"/>
  <c r="H153" i="51"/>
  <c r="G153" i="51"/>
  <c r="D153" i="51"/>
  <c r="C153" i="51" s="1"/>
  <c r="C361" i="51" s="1"/>
  <c r="V152" i="51"/>
  <c r="U152" i="51"/>
  <c r="X152" i="51" s="1"/>
  <c r="T152" i="51"/>
  <c r="R152" i="51"/>
  <c r="Q152" i="51"/>
  <c r="P152" i="51"/>
  <c r="O152" i="51"/>
  <c r="M152" i="51"/>
  <c r="L152" i="51"/>
  <c r="K152" i="51"/>
  <c r="J152" i="51"/>
  <c r="I152" i="51"/>
  <c r="N152" i="51" s="1"/>
  <c r="S152" i="51" s="1"/>
  <c r="H152" i="51"/>
  <c r="G152" i="51"/>
  <c r="D152" i="51"/>
  <c r="V151" i="51"/>
  <c r="U151" i="51"/>
  <c r="T151" i="51"/>
  <c r="Q151" i="51"/>
  <c r="P151" i="51"/>
  <c r="O151" i="51"/>
  <c r="M151" i="51"/>
  <c r="L151" i="51"/>
  <c r="K151" i="51"/>
  <c r="J151" i="51"/>
  <c r="I151" i="51"/>
  <c r="N151" i="51" s="1"/>
  <c r="H151" i="51"/>
  <c r="G151" i="51"/>
  <c r="D151" i="51"/>
  <c r="C151" i="51" s="1"/>
  <c r="C359" i="51" s="1"/>
  <c r="V150" i="51"/>
  <c r="U150" i="51"/>
  <c r="T150" i="51"/>
  <c r="R150" i="51"/>
  <c r="Q150" i="51"/>
  <c r="P150" i="51"/>
  <c r="O150" i="51"/>
  <c r="M150" i="51"/>
  <c r="L150" i="51"/>
  <c r="K150" i="51"/>
  <c r="J150" i="51"/>
  <c r="I150" i="51"/>
  <c r="H150" i="51"/>
  <c r="G150" i="51"/>
  <c r="D150" i="51"/>
  <c r="V149" i="51"/>
  <c r="U149" i="51"/>
  <c r="T149" i="51"/>
  <c r="Q149" i="51"/>
  <c r="P149" i="51"/>
  <c r="O149" i="51"/>
  <c r="M149" i="51"/>
  <c r="L149" i="51"/>
  <c r="K149" i="51"/>
  <c r="J149" i="51"/>
  <c r="I149" i="51"/>
  <c r="N149" i="51" s="1"/>
  <c r="H149" i="51"/>
  <c r="G149" i="51"/>
  <c r="D149" i="51"/>
  <c r="V147" i="51"/>
  <c r="U147" i="51"/>
  <c r="T147" i="51"/>
  <c r="R147" i="51"/>
  <c r="Q147" i="51"/>
  <c r="P147" i="51"/>
  <c r="O147" i="51"/>
  <c r="M147" i="51"/>
  <c r="L147" i="51"/>
  <c r="K147" i="51"/>
  <c r="J147" i="51"/>
  <c r="I147" i="51"/>
  <c r="H147" i="51"/>
  <c r="G147" i="51"/>
  <c r="D147" i="51"/>
  <c r="V146" i="51"/>
  <c r="U146" i="51"/>
  <c r="T146" i="51"/>
  <c r="Q146" i="51"/>
  <c r="P146" i="51"/>
  <c r="O146" i="51"/>
  <c r="M146" i="51"/>
  <c r="L146" i="51"/>
  <c r="K146" i="51"/>
  <c r="J146" i="51"/>
  <c r="N146" i="51" s="1"/>
  <c r="I146" i="51"/>
  <c r="H146" i="51"/>
  <c r="G146" i="51"/>
  <c r="D146" i="51"/>
  <c r="V145" i="51"/>
  <c r="U145" i="51"/>
  <c r="T145" i="51"/>
  <c r="T228" i="51" s="1"/>
  <c r="Q145" i="51"/>
  <c r="P145" i="51"/>
  <c r="O145" i="51"/>
  <c r="R145" i="51" s="1"/>
  <c r="M145" i="51"/>
  <c r="L145" i="51"/>
  <c r="K145" i="51"/>
  <c r="J145" i="51"/>
  <c r="I145" i="51"/>
  <c r="H145" i="51"/>
  <c r="G145" i="51"/>
  <c r="C145" i="51" s="1"/>
  <c r="C353" i="51" s="1"/>
  <c r="D145" i="51"/>
  <c r="V144" i="51"/>
  <c r="X144" i="51" s="1"/>
  <c r="U144" i="51"/>
  <c r="T144" i="51"/>
  <c r="Q144" i="51"/>
  <c r="P144" i="51"/>
  <c r="O144" i="51"/>
  <c r="R144" i="51" s="1"/>
  <c r="N144" i="51"/>
  <c r="M144" i="51"/>
  <c r="L144" i="51"/>
  <c r="K144" i="51"/>
  <c r="J144" i="51"/>
  <c r="I144" i="51"/>
  <c r="H144" i="51"/>
  <c r="G144" i="51"/>
  <c r="D144" i="51"/>
  <c r="V143" i="51"/>
  <c r="U143" i="51"/>
  <c r="T143" i="51"/>
  <c r="Q143" i="51"/>
  <c r="P143" i="51"/>
  <c r="O143" i="51"/>
  <c r="R143" i="51" s="1"/>
  <c r="M143" i="51"/>
  <c r="L143" i="51"/>
  <c r="K143" i="51"/>
  <c r="J143" i="51"/>
  <c r="I143" i="51"/>
  <c r="H143" i="51"/>
  <c r="G143" i="51"/>
  <c r="C143" i="51" s="1"/>
  <c r="D143" i="51"/>
  <c r="V142" i="51"/>
  <c r="U142" i="51"/>
  <c r="T142" i="51"/>
  <c r="Q142" i="51"/>
  <c r="P142" i="51"/>
  <c r="O142" i="51"/>
  <c r="R142" i="51" s="1"/>
  <c r="N142" i="51"/>
  <c r="M142" i="51"/>
  <c r="L142" i="51"/>
  <c r="K142" i="51"/>
  <c r="J142" i="51"/>
  <c r="I142" i="51"/>
  <c r="H142" i="51"/>
  <c r="G142" i="51"/>
  <c r="D142" i="51"/>
  <c r="V141" i="51"/>
  <c r="U141" i="51"/>
  <c r="T141" i="51"/>
  <c r="P141" i="51"/>
  <c r="O141" i="51"/>
  <c r="M141" i="51"/>
  <c r="L141" i="51"/>
  <c r="K141" i="51"/>
  <c r="J141" i="51"/>
  <c r="I141" i="51"/>
  <c r="H141" i="51"/>
  <c r="G141" i="51"/>
  <c r="C141" i="51" s="1"/>
  <c r="C349" i="51" s="1"/>
  <c r="D141" i="51"/>
  <c r="V140" i="51"/>
  <c r="U140" i="51"/>
  <c r="T140" i="51"/>
  <c r="P140" i="51"/>
  <c r="O140" i="51"/>
  <c r="M140" i="51"/>
  <c r="L140" i="51"/>
  <c r="K140" i="51"/>
  <c r="J140" i="51"/>
  <c r="I140" i="51"/>
  <c r="H140" i="51"/>
  <c r="G140" i="51"/>
  <c r="D140" i="51"/>
  <c r="V139" i="51"/>
  <c r="U139" i="51"/>
  <c r="T139" i="51"/>
  <c r="P139" i="51"/>
  <c r="O139" i="51"/>
  <c r="M139" i="51"/>
  <c r="L139" i="51"/>
  <c r="K139" i="51"/>
  <c r="J139" i="51"/>
  <c r="I139" i="51"/>
  <c r="H139" i="51"/>
  <c r="G139" i="51"/>
  <c r="C139" i="51" s="1"/>
  <c r="C347" i="51" s="1"/>
  <c r="D139" i="51"/>
  <c r="V138" i="51"/>
  <c r="U138" i="51"/>
  <c r="T138" i="51"/>
  <c r="P138" i="51"/>
  <c r="O138" i="51"/>
  <c r="M138" i="51"/>
  <c r="L138" i="51"/>
  <c r="K138" i="51"/>
  <c r="J138" i="51"/>
  <c r="I138" i="51"/>
  <c r="N138" i="51" s="1"/>
  <c r="H138" i="51"/>
  <c r="G138" i="51"/>
  <c r="D138" i="51"/>
  <c r="V137" i="51"/>
  <c r="U137" i="51"/>
  <c r="T137" i="51"/>
  <c r="P137" i="51"/>
  <c r="O137" i="51"/>
  <c r="M137" i="51"/>
  <c r="L137" i="51"/>
  <c r="K137" i="51"/>
  <c r="J137" i="51"/>
  <c r="I137" i="51"/>
  <c r="H137" i="51"/>
  <c r="G137" i="51"/>
  <c r="D137" i="51"/>
  <c r="V136" i="51"/>
  <c r="U136" i="51"/>
  <c r="T136" i="51"/>
  <c r="P136" i="51"/>
  <c r="O136" i="51"/>
  <c r="M136" i="51"/>
  <c r="L136" i="51"/>
  <c r="K136" i="51"/>
  <c r="J136" i="51"/>
  <c r="I136" i="51"/>
  <c r="H136" i="51"/>
  <c r="G136" i="51"/>
  <c r="C136" i="51" s="1"/>
  <c r="D136" i="51"/>
  <c r="V134" i="51"/>
  <c r="U134" i="51"/>
  <c r="T134" i="51"/>
  <c r="P134" i="51"/>
  <c r="O134" i="51"/>
  <c r="M134" i="51"/>
  <c r="L134" i="51"/>
  <c r="K134" i="51"/>
  <c r="J134" i="51"/>
  <c r="I134" i="51"/>
  <c r="H134" i="51"/>
  <c r="G134" i="51"/>
  <c r="C134" i="51" s="1"/>
  <c r="D134" i="51"/>
  <c r="V133" i="51"/>
  <c r="U133" i="51"/>
  <c r="T133" i="51"/>
  <c r="P133" i="51"/>
  <c r="O133" i="51"/>
  <c r="M133" i="51"/>
  <c r="L133" i="51"/>
  <c r="K133" i="51"/>
  <c r="J133" i="51"/>
  <c r="I133" i="51"/>
  <c r="N133" i="51" s="1"/>
  <c r="H133" i="51"/>
  <c r="G133" i="51"/>
  <c r="D133" i="51"/>
  <c r="V132" i="51"/>
  <c r="U132" i="51"/>
  <c r="T132" i="51"/>
  <c r="P132" i="51"/>
  <c r="O132" i="51"/>
  <c r="M132" i="51"/>
  <c r="L132" i="51"/>
  <c r="K132" i="51"/>
  <c r="J132" i="51"/>
  <c r="I132" i="51"/>
  <c r="H132" i="51"/>
  <c r="G132" i="51"/>
  <c r="D132" i="51"/>
  <c r="V131" i="51"/>
  <c r="U131" i="51"/>
  <c r="T131" i="51"/>
  <c r="P131" i="51"/>
  <c r="O131" i="51"/>
  <c r="M131" i="51"/>
  <c r="L131" i="51"/>
  <c r="K131" i="51"/>
  <c r="J131" i="51"/>
  <c r="I131" i="51"/>
  <c r="H131" i="51"/>
  <c r="G131" i="51"/>
  <c r="D131" i="51"/>
  <c r="V130" i="51"/>
  <c r="U130" i="51"/>
  <c r="T130" i="51"/>
  <c r="P130" i="51"/>
  <c r="O130" i="51"/>
  <c r="M130" i="51"/>
  <c r="L130" i="51"/>
  <c r="K130" i="51"/>
  <c r="J130" i="51"/>
  <c r="I130" i="51"/>
  <c r="H130" i="51"/>
  <c r="G130" i="51"/>
  <c r="C130" i="51" s="1"/>
  <c r="D130" i="51"/>
  <c r="V129" i="51"/>
  <c r="U129" i="51"/>
  <c r="T129" i="51"/>
  <c r="P129" i="51"/>
  <c r="O129" i="51"/>
  <c r="M129" i="51"/>
  <c r="L129" i="51"/>
  <c r="K129" i="51"/>
  <c r="J129" i="51"/>
  <c r="I129" i="51"/>
  <c r="N129" i="51" s="1"/>
  <c r="H129" i="51"/>
  <c r="G129" i="51"/>
  <c r="D129" i="51"/>
  <c r="V128" i="51"/>
  <c r="U128" i="51"/>
  <c r="T128" i="51"/>
  <c r="P128" i="51"/>
  <c r="O128" i="51"/>
  <c r="M128" i="51"/>
  <c r="L128" i="51"/>
  <c r="K128" i="51"/>
  <c r="J128" i="51"/>
  <c r="I128" i="51"/>
  <c r="H128" i="51"/>
  <c r="G128" i="51"/>
  <c r="C128" i="51" s="1"/>
  <c r="D128" i="51"/>
  <c r="V127" i="51"/>
  <c r="U127" i="51"/>
  <c r="T127" i="51"/>
  <c r="P127" i="51"/>
  <c r="O127" i="51"/>
  <c r="M127" i="51"/>
  <c r="L127" i="51"/>
  <c r="K127" i="51"/>
  <c r="J127" i="51"/>
  <c r="I127" i="51"/>
  <c r="H127" i="51"/>
  <c r="G127" i="51"/>
  <c r="D127" i="51"/>
  <c r="V126" i="51"/>
  <c r="U126" i="51"/>
  <c r="T126" i="51"/>
  <c r="X126" i="51" s="1"/>
  <c r="P126" i="51"/>
  <c r="O126" i="51"/>
  <c r="M126" i="51"/>
  <c r="L126" i="51"/>
  <c r="K126" i="51"/>
  <c r="J126" i="51"/>
  <c r="I126" i="51"/>
  <c r="H126" i="51"/>
  <c r="G126" i="51"/>
  <c r="C126" i="51" s="1"/>
  <c r="D126" i="51"/>
  <c r="V125" i="51"/>
  <c r="U125" i="51"/>
  <c r="T125" i="51"/>
  <c r="P125" i="51"/>
  <c r="O125" i="51"/>
  <c r="M125" i="51"/>
  <c r="L125" i="51"/>
  <c r="K125" i="51"/>
  <c r="J125" i="51"/>
  <c r="I125" i="51"/>
  <c r="N125" i="51" s="1"/>
  <c r="H125" i="51"/>
  <c r="G125" i="51"/>
  <c r="D125" i="51"/>
  <c r="V124" i="51"/>
  <c r="U124" i="51"/>
  <c r="T124" i="51"/>
  <c r="P124" i="51"/>
  <c r="O124" i="51"/>
  <c r="M124" i="51"/>
  <c r="L124" i="51"/>
  <c r="K124" i="51"/>
  <c r="J124" i="51"/>
  <c r="I124" i="51"/>
  <c r="H124" i="51"/>
  <c r="G124" i="51"/>
  <c r="D124" i="51"/>
  <c r="V123" i="51"/>
  <c r="U123" i="51"/>
  <c r="T123" i="51"/>
  <c r="P123" i="51"/>
  <c r="O123" i="51"/>
  <c r="M123" i="51"/>
  <c r="L123" i="51"/>
  <c r="K123" i="51"/>
  <c r="J123" i="51"/>
  <c r="I123" i="51"/>
  <c r="H123" i="51"/>
  <c r="G123" i="51"/>
  <c r="C123" i="51" s="1"/>
  <c r="D123" i="51"/>
  <c r="V121" i="51"/>
  <c r="U121" i="51"/>
  <c r="T121" i="51"/>
  <c r="P121" i="51"/>
  <c r="O121" i="51"/>
  <c r="M121" i="51"/>
  <c r="L121" i="51"/>
  <c r="K121" i="51"/>
  <c r="J121" i="51"/>
  <c r="I121" i="51"/>
  <c r="H121" i="51"/>
  <c r="G121" i="51"/>
  <c r="C121" i="51" s="1"/>
  <c r="D121" i="51"/>
  <c r="V120" i="51"/>
  <c r="U120" i="51"/>
  <c r="T120" i="51"/>
  <c r="P120" i="51"/>
  <c r="O120" i="51"/>
  <c r="M120" i="51"/>
  <c r="L120" i="51"/>
  <c r="K120" i="51"/>
  <c r="J120" i="51"/>
  <c r="I120" i="51"/>
  <c r="H120" i="51"/>
  <c r="G120" i="51"/>
  <c r="C120" i="51" s="1"/>
  <c r="D120" i="51"/>
  <c r="V119" i="51"/>
  <c r="U119" i="51"/>
  <c r="T119" i="51"/>
  <c r="P119" i="51"/>
  <c r="O119" i="51"/>
  <c r="M119" i="51"/>
  <c r="L119" i="51"/>
  <c r="K119" i="51"/>
  <c r="J119" i="51"/>
  <c r="I119" i="51"/>
  <c r="N119" i="51" s="1"/>
  <c r="H119" i="51"/>
  <c r="G119" i="51"/>
  <c r="D119" i="51"/>
  <c r="V118" i="51"/>
  <c r="U118" i="51"/>
  <c r="T118" i="51"/>
  <c r="P118" i="51"/>
  <c r="O118" i="51"/>
  <c r="M118" i="51"/>
  <c r="L118" i="51"/>
  <c r="K118" i="51"/>
  <c r="J118" i="51"/>
  <c r="I118" i="51"/>
  <c r="H118" i="51"/>
  <c r="G118" i="51"/>
  <c r="C118" i="51" s="1"/>
  <c r="D118" i="51"/>
  <c r="V117" i="51"/>
  <c r="U117" i="51"/>
  <c r="T117" i="51"/>
  <c r="P117" i="51"/>
  <c r="O117" i="51"/>
  <c r="M117" i="51"/>
  <c r="L117" i="51"/>
  <c r="K117" i="51"/>
  <c r="J117" i="51"/>
  <c r="I117" i="51"/>
  <c r="N117" i="51" s="1"/>
  <c r="H117" i="51"/>
  <c r="G117" i="51"/>
  <c r="C117" i="51" s="1"/>
  <c r="D117" i="51"/>
  <c r="V116" i="51"/>
  <c r="U116" i="51"/>
  <c r="T116" i="51"/>
  <c r="P116" i="51"/>
  <c r="O116" i="51"/>
  <c r="M116" i="51"/>
  <c r="L116" i="51"/>
  <c r="K116" i="51"/>
  <c r="J116" i="51"/>
  <c r="I116" i="51"/>
  <c r="N116" i="51" s="1"/>
  <c r="H116" i="51"/>
  <c r="G116" i="51"/>
  <c r="D116" i="51"/>
  <c r="V115" i="51"/>
  <c r="U115" i="51"/>
  <c r="T115" i="51"/>
  <c r="P115" i="51"/>
  <c r="O115" i="51"/>
  <c r="M115" i="51"/>
  <c r="L115" i="51"/>
  <c r="K115" i="51"/>
  <c r="J115" i="51"/>
  <c r="I115" i="51"/>
  <c r="N115" i="51" s="1"/>
  <c r="H115" i="51"/>
  <c r="G115" i="51"/>
  <c r="D115" i="51"/>
  <c r="V114" i="51"/>
  <c r="U114" i="51"/>
  <c r="T114" i="51"/>
  <c r="P114" i="51"/>
  <c r="O114" i="51"/>
  <c r="M114" i="51"/>
  <c r="L114" i="51"/>
  <c r="K114" i="51"/>
  <c r="J114" i="51"/>
  <c r="I114" i="51"/>
  <c r="H114" i="51"/>
  <c r="G114" i="51"/>
  <c r="C114" i="51" s="1"/>
  <c r="D114" i="51"/>
  <c r="V113" i="51"/>
  <c r="U113" i="51"/>
  <c r="T113" i="51"/>
  <c r="P113" i="51"/>
  <c r="O113" i="51"/>
  <c r="M113" i="51"/>
  <c r="L113" i="51"/>
  <c r="K113" i="51"/>
  <c r="J113" i="51"/>
  <c r="I113" i="51"/>
  <c r="H113" i="51"/>
  <c r="G113" i="51"/>
  <c r="C113" i="51" s="1"/>
  <c r="D113" i="51"/>
  <c r="V112" i="51"/>
  <c r="U112" i="51"/>
  <c r="T112" i="51"/>
  <c r="P112" i="51"/>
  <c r="O112" i="51"/>
  <c r="M112" i="51"/>
  <c r="L112" i="51"/>
  <c r="K112" i="51"/>
  <c r="J112" i="51"/>
  <c r="I112" i="51"/>
  <c r="H112" i="51"/>
  <c r="G112" i="51"/>
  <c r="D112" i="51"/>
  <c r="V111" i="51"/>
  <c r="U111" i="51"/>
  <c r="T111" i="51"/>
  <c r="P111" i="51"/>
  <c r="O111" i="51"/>
  <c r="M111" i="51"/>
  <c r="L111" i="51"/>
  <c r="K111" i="51"/>
  <c r="J111" i="51"/>
  <c r="I111" i="51"/>
  <c r="N111" i="51" s="1"/>
  <c r="H111" i="51"/>
  <c r="G111" i="51"/>
  <c r="D111" i="51"/>
  <c r="V110" i="51"/>
  <c r="U110" i="51"/>
  <c r="T110" i="51"/>
  <c r="P110" i="51"/>
  <c r="O110" i="51"/>
  <c r="M110" i="51"/>
  <c r="L110" i="51"/>
  <c r="K110" i="51"/>
  <c r="J110" i="51"/>
  <c r="I110" i="51"/>
  <c r="H110" i="51"/>
  <c r="G110" i="51"/>
  <c r="D110" i="51"/>
  <c r="V108" i="51"/>
  <c r="U108" i="51"/>
  <c r="T108" i="51"/>
  <c r="P108" i="51"/>
  <c r="O108" i="51"/>
  <c r="M108" i="51"/>
  <c r="L108" i="51"/>
  <c r="K108" i="51"/>
  <c r="J108" i="51"/>
  <c r="I108" i="51"/>
  <c r="H108" i="51"/>
  <c r="G108" i="51"/>
  <c r="C108" i="51" s="1"/>
  <c r="D108" i="51"/>
  <c r="V107" i="51"/>
  <c r="U107" i="51"/>
  <c r="T107" i="51"/>
  <c r="P107" i="51"/>
  <c r="O107" i="51"/>
  <c r="M107" i="51"/>
  <c r="L107" i="51"/>
  <c r="K107" i="51"/>
  <c r="J107" i="51"/>
  <c r="I107" i="51"/>
  <c r="H107" i="51"/>
  <c r="G107" i="51"/>
  <c r="C107" i="51" s="1"/>
  <c r="D107" i="51"/>
  <c r="V106" i="51"/>
  <c r="U106" i="51"/>
  <c r="T106" i="51"/>
  <c r="P106" i="51"/>
  <c r="O106" i="51"/>
  <c r="M106" i="51"/>
  <c r="L106" i="51"/>
  <c r="K106" i="51"/>
  <c r="J106" i="51"/>
  <c r="I106" i="51"/>
  <c r="H106" i="51"/>
  <c r="G106" i="51"/>
  <c r="C106" i="51" s="1"/>
  <c r="D106" i="51"/>
  <c r="V105" i="51"/>
  <c r="U105" i="51"/>
  <c r="T105" i="51"/>
  <c r="P105" i="51"/>
  <c r="O105" i="51"/>
  <c r="M105" i="51"/>
  <c r="L105" i="51"/>
  <c r="K105" i="51"/>
  <c r="J105" i="51"/>
  <c r="I105" i="51"/>
  <c r="H105" i="51"/>
  <c r="G105" i="51"/>
  <c r="C105" i="51" s="1"/>
  <c r="D105" i="51"/>
  <c r="V104" i="51"/>
  <c r="U104" i="51"/>
  <c r="T104" i="51"/>
  <c r="P104" i="51"/>
  <c r="O104" i="51"/>
  <c r="M104" i="51"/>
  <c r="L104" i="51"/>
  <c r="K104" i="51"/>
  <c r="J104" i="51"/>
  <c r="I104" i="51"/>
  <c r="H104" i="51"/>
  <c r="G104" i="51"/>
  <c r="C104" i="51" s="1"/>
  <c r="D104" i="51"/>
  <c r="V103" i="51"/>
  <c r="U103" i="51"/>
  <c r="T103" i="51"/>
  <c r="P103" i="51"/>
  <c r="O103" i="51"/>
  <c r="M103" i="51"/>
  <c r="L103" i="51"/>
  <c r="K103" i="51"/>
  <c r="J103" i="51"/>
  <c r="I103" i="51"/>
  <c r="N103" i="51" s="1"/>
  <c r="H103" i="51"/>
  <c r="G103" i="51"/>
  <c r="D103" i="51"/>
  <c r="V102" i="51"/>
  <c r="U102" i="51"/>
  <c r="T102" i="51"/>
  <c r="P102" i="51"/>
  <c r="O102" i="51"/>
  <c r="M102" i="51"/>
  <c r="L102" i="51"/>
  <c r="K102" i="51"/>
  <c r="J102" i="51"/>
  <c r="I102" i="51"/>
  <c r="H102" i="51"/>
  <c r="G102" i="51"/>
  <c r="C102" i="51" s="1"/>
  <c r="D102" i="51"/>
  <c r="V101" i="51"/>
  <c r="U101" i="51"/>
  <c r="T101" i="51"/>
  <c r="P101" i="51"/>
  <c r="O101" i="51"/>
  <c r="M101" i="51"/>
  <c r="L101" i="51"/>
  <c r="K101" i="51"/>
  <c r="J101" i="51"/>
  <c r="I101" i="51"/>
  <c r="H101" i="51"/>
  <c r="G101" i="51"/>
  <c r="C101" i="51" s="1"/>
  <c r="D101" i="51"/>
  <c r="V100" i="51"/>
  <c r="X100" i="51" s="1"/>
  <c r="U100" i="51"/>
  <c r="T100" i="51"/>
  <c r="P100" i="51"/>
  <c r="O100" i="51"/>
  <c r="M100" i="51"/>
  <c r="L100" i="51"/>
  <c r="K100" i="51"/>
  <c r="J100" i="51"/>
  <c r="I100" i="51"/>
  <c r="H100" i="51"/>
  <c r="G100" i="51"/>
  <c r="C100" i="51" s="1"/>
  <c r="D100" i="51"/>
  <c r="V99" i="51"/>
  <c r="U99" i="51"/>
  <c r="T99" i="51"/>
  <c r="P99" i="51"/>
  <c r="O99" i="51"/>
  <c r="M99" i="51"/>
  <c r="L99" i="51"/>
  <c r="K99" i="51"/>
  <c r="J99" i="51"/>
  <c r="N99" i="51" s="1"/>
  <c r="I99" i="51"/>
  <c r="H99" i="51"/>
  <c r="G99" i="51"/>
  <c r="D99" i="51"/>
  <c r="V98" i="51"/>
  <c r="U98" i="51"/>
  <c r="T98" i="51"/>
  <c r="P98" i="51"/>
  <c r="O98" i="51"/>
  <c r="M98" i="51"/>
  <c r="L98" i="51"/>
  <c r="K98" i="51"/>
  <c r="J98" i="51"/>
  <c r="I98" i="51"/>
  <c r="H98" i="51"/>
  <c r="G98" i="51"/>
  <c r="C98" i="51" s="1"/>
  <c r="D98" i="51"/>
  <c r="V97" i="51"/>
  <c r="U97" i="51"/>
  <c r="T97" i="51"/>
  <c r="P97" i="51"/>
  <c r="O97" i="51"/>
  <c r="M97" i="51"/>
  <c r="L97" i="51"/>
  <c r="K97" i="51"/>
  <c r="J97" i="51"/>
  <c r="I97" i="51"/>
  <c r="H97" i="51"/>
  <c r="G97" i="51"/>
  <c r="C97" i="51" s="1"/>
  <c r="D97" i="51"/>
  <c r="V95" i="51"/>
  <c r="X95" i="51" s="1"/>
  <c r="U95" i="51"/>
  <c r="T95" i="51"/>
  <c r="P95" i="51"/>
  <c r="O95" i="51"/>
  <c r="M95" i="51"/>
  <c r="L95" i="51"/>
  <c r="K95" i="51"/>
  <c r="J95" i="51"/>
  <c r="I95" i="51"/>
  <c r="H95" i="51"/>
  <c r="G95" i="51"/>
  <c r="C95" i="51" s="1"/>
  <c r="D95" i="51"/>
  <c r="V94" i="51"/>
  <c r="X94" i="51" s="1"/>
  <c r="U94" i="51"/>
  <c r="T94" i="51"/>
  <c r="P94" i="51"/>
  <c r="O94" i="51"/>
  <c r="M94" i="51"/>
  <c r="L94" i="51"/>
  <c r="K94" i="51"/>
  <c r="J94" i="51"/>
  <c r="I94" i="51"/>
  <c r="H94" i="51"/>
  <c r="G94" i="51"/>
  <c r="C94" i="51" s="1"/>
  <c r="D94" i="51"/>
  <c r="V93" i="51"/>
  <c r="U93" i="51"/>
  <c r="T93" i="51"/>
  <c r="P93" i="51"/>
  <c r="O93" i="51"/>
  <c r="M93" i="51"/>
  <c r="L93" i="51"/>
  <c r="K93" i="51"/>
  <c r="J93" i="51"/>
  <c r="I93" i="51"/>
  <c r="H93" i="51"/>
  <c r="G93" i="51"/>
  <c r="D93" i="51"/>
  <c r="V92" i="51"/>
  <c r="U92" i="51"/>
  <c r="T92" i="51"/>
  <c r="P92" i="51"/>
  <c r="O92" i="51"/>
  <c r="M92" i="51"/>
  <c r="L92" i="51"/>
  <c r="K92" i="51"/>
  <c r="J92" i="51"/>
  <c r="I92" i="51"/>
  <c r="N92" i="51" s="1"/>
  <c r="H92" i="51"/>
  <c r="G92" i="51"/>
  <c r="D92" i="51"/>
  <c r="V91" i="51"/>
  <c r="U91" i="51"/>
  <c r="T91" i="51"/>
  <c r="P91" i="51"/>
  <c r="O91" i="51"/>
  <c r="M91" i="51"/>
  <c r="L91" i="51"/>
  <c r="K91" i="51"/>
  <c r="J91" i="51"/>
  <c r="I91" i="51"/>
  <c r="H91" i="51"/>
  <c r="G91" i="51"/>
  <c r="C91" i="51" s="1"/>
  <c r="D91" i="51"/>
  <c r="V90" i="51"/>
  <c r="X90" i="51" s="1"/>
  <c r="U90" i="51"/>
  <c r="T90" i="51"/>
  <c r="P90" i="51"/>
  <c r="O90" i="51"/>
  <c r="M90" i="51"/>
  <c r="L90" i="51"/>
  <c r="K90" i="51"/>
  <c r="J90" i="51"/>
  <c r="I90" i="51"/>
  <c r="H90" i="51"/>
  <c r="G90" i="51"/>
  <c r="D90" i="51"/>
  <c r="V89" i="51"/>
  <c r="U89" i="51"/>
  <c r="T89" i="51"/>
  <c r="P89" i="51"/>
  <c r="O89" i="51"/>
  <c r="M89" i="51"/>
  <c r="L89" i="51"/>
  <c r="K89" i="51"/>
  <c r="J89" i="51"/>
  <c r="I89" i="51"/>
  <c r="H89" i="51"/>
  <c r="G89" i="51"/>
  <c r="D89" i="51"/>
  <c r="V88" i="51"/>
  <c r="U88" i="51"/>
  <c r="T88" i="51"/>
  <c r="P88" i="51"/>
  <c r="O88" i="51"/>
  <c r="M88" i="51"/>
  <c r="L88" i="51"/>
  <c r="K88" i="51"/>
  <c r="J88" i="51"/>
  <c r="I88" i="51"/>
  <c r="H88" i="51"/>
  <c r="G88" i="51"/>
  <c r="C88" i="51" s="1"/>
  <c r="D88" i="51"/>
  <c r="V87" i="51"/>
  <c r="U87" i="51"/>
  <c r="T87" i="51"/>
  <c r="P87" i="51"/>
  <c r="O87" i="51"/>
  <c r="M87" i="51"/>
  <c r="L87" i="51"/>
  <c r="K87" i="51"/>
  <c r="J87" i="51"/>
  <c r="I87" i="51"/>
  <c r="H87" i="51"/>
  <c r="G87" i="51"/>
  <c r="C87" i="51" s="1"/>
  <c r="D87" i="51"/>
  <c r="V86" i="51"/>
  <c r="U86" i="51"/>
  <c r="T86" i="51"/>
  <c r="P86" i="51"/>
  <c r="O86" i="51"/>
  <c r="M86" i="51"/>
  <c r="L86" i="51"/>
  <c r="K86" i="51"/>
  <c r="J86" i="51"/>
  <c r="I86" i="51"/>
  <c r="N86" i="51" s="1"/>
  <c r="H86" i="51"/>
  <c r="G86" i="51"/>
  <c r="C86" i="51" s="1"/>
  <c r="D86" i="51"/>
  <c r="V85" i="51"/>
  <c r="U85" i="51"/>
  <c r="T85" i="51"/>
  <c r="P85" i="51"/>
  <c r="O85" i="51"/>
  <c r="M85" i="51"/>
  <c r="L85" i="51"/>
  <c r="K85" i="51"/>
  <c r="J85" i="51"/>
  <c r="I85" i="51"/>
  <c r="H85" i="51"/>
  <c r="G85" i="51"/>
  <c r="C85" i="51" s="1"/>
  <c r="D85" i="51"/>
  <c r="V84" i="51"/>
  <c r="U84" i="51"/>
  <c r="T84" i="51"/>
  <c r="P84" i="51"/>
  <c r="O84" i="51"/>
  <c r="M84" i="51"/>
  <c r="L84" i="51"/>
  <c r="K84" i="51"/>
  <c r="J84" i="51"/>
  <c r="I84" i="51"/>
  <c r="H84" i="51"/>
  <c r="G84" i="51"/>
  <c r="C84" i="51" s="1"/>
  <c r="D84" i="51"/>
  <c r="V82" i="51"/>
  <c r="U82" i="51"/>
  <c r="T82" i="51"/>
  <c r="P82" i="51"/>
  <c r="O82" i="51"/>
  <c r="M82" i="51"/>
  <c r="L82" i="51"/>
  <c r="K82" i="51"/>
  <c r="J82" i="51"/>
  <c r="I82" i="51"/>
  <c r="H82" i="51"/>
  <c r="G82" i="51"/>
  <c r="C82" i="51" s="1"/>
  <c r="D82" i="51"/>
  <c r="V81" i="51"/>
  <c r="X81" i="51" s="1"/>
  <c r="U81" i="51"/>
  <c r="T81" i="51"/>
  <c r="P81" i="51"/>
  <c r="O81" i="51"/>
  <c r="M81" i="51"/>
  <c r="L81" i="51"/>
  <c r="K81" i="51"/>
  <c r="J81" i="51"/>
  <c r="I81" i="51"/>
  <c r="H81" i="51"/>
  <c r="G81" i="51"/>
  <c r="C81" i="51" s="1"/>
  <c r="D81" i="51"/>
  <c r="V80" i="51"/>
  <c r="U80" i="51"/>
  <c r="T80" i="51"/>
  <c r="P80" i="51"/>
  <c r="O80" i="51"/>
  <c r="M80" i="51"/>
  <c r="L80" i="51"/>
  <c r="K80" i="51"/>
  <c r="J80" i="51"/>
  <c r="I80" i="51"/>
  <c r="H80" i="51"/>
  <c r="G80" i="51"/>
  <c r="C80" i="51" s="1"/>
  <c r="D80" i="51"/>
  <c r="V79" i="51"/>
  <c r="U79" i="51"/>
  <c r="T79" i="51"/>
  <c r="P79" i="51"/>
  <c r="O79" i="51"/>
  <c r="M79" i="51"/>
  <c r="L79" i="51"/>
  <c r="K79" i="51"/>
  <c r="J79" i="51"/>
  <c r="I79" i="51"/>
  <c r="H79" i="51"/>
  <c r="G79" i="51"/>
  <c r="C79" i="51" s="1"/>
  <c r="D79" i="51"/>
  <c r="V78" i="51"/>
  <c r="U78" i="51"/>
  <c r="T78" i="51"/>
  <c r="P78" i="51"/>
  <c r="O78" i="51"/>
  <c r="M78" i="51"/>
  <c r="L78" i="51"/>
  <c r="K78" i="51"/>
  <c r="J78" i="51"/>
  <c r="I78" i="51"/>
  <c r="H78" i="51"/>
  <c r="G78" i="51"/>
  <c r="C78" i="51" s="1"/>
  <c r="D78" i="51"/>
  <c r="V77" i="51"/>
  <c r="U77" i="51"/>
  <c r="T77" i="51"/>
  <c r="P77" i="51"/>
  <c r="O77" i="51"/>
  <c r="M77" i="51"/>
  <c r="L77" i="51"/>
  <c r="K77" i="51"/>
  <c r="J77" i="51"/>
  <c r="I77" i="51"/>
  <c r="H77" i="51"/>
  <c r="G77" i="51"/>
  <c r="D77" i="51"/>
  <c r="V76" i="51"/>
  <c r="X76" i="51" s="1"/>
  <c r="U76" i="51"/>
  <c r="T76" i="51"/>
  <c r="P76" i="51"/>
  <c r="O76" i="51"/>
  <c r="M76" i="51"/>
  <c r="L76" i="51"/>
  <c r="K76" i="51"/>
  <c r="J76" i="51"/>
  <c r="I76" i="51"/>
  <c r="H76" i="51"/>
  <c r="G76" i="51"/>
  <c r="C76" i="51" s="1"/>
  <c r="D76" i="51"/>
  <c r="V75" i="51"/>
  <c r="U75" i="51"/>
  <c r="T75" i="51"/>
  <c r="P75" i="51"/>
  <c r="O75" i="51"/>
  <c r="M75" i="51"/>
  <c r="L75" i="51"/>
  <c r="K75" i="51"/>
  <c r="J75" i="51"/>
  <c r="I75" i="51"/>
  <c r="N75" i="51" s="1"/>
  <c r="H75" i="51"/>
  <c r="G75" i="51"/>
  <c r="C75" i="51" s="1"/>
  <c r="D75" i="51"/>
  <c r="V74" i="51"/>
  <c r="U74" i="51"/>
  <c r="T74" i="51"/>
  <c r="P74" i="51"/>
  <c r="O74" i="51"/>
  <c r="M74" i="51"/>
  <c r="L74" i="51"/>
  <c r="K74" i="51"/>
  <c r="J74" i="51"/>
  <c r="I74" i="51"/>
  <c r="N74" i="51" s="1"/>
  <c r="H74" i="51"/>
  <c r="G74" i="51"/>
  <c r="D74" i="51"/>
  <c r="V73" i="51"/>
  <c r="U73" i="51"/>
  <c r="T73" i="51"/>
  <c r="P73" i="51"/>
  <c r="O73" i="51"/>
  <c r="M73" i="51"/>
  <c r="L73" i="51"/>
  <c r="K73" i="51"/>
  <c r="J73" i="51"/>
  <c r="I73" i="51"/>
  <c r="H73" i="51"/>
  <c r="G73" i="51"/>
  <c r="C73" i="51" s="1"/>
  <c r="D73" i="51"/>
  <c r="V72" i="51"/>
  <c r="U72" i="51"/>
  <c r="T72" i="51"/>
  <c r="P72" i="51"/>
  <c r="O72" i="51"/>
  <c r="M72" i="51"/>
  <c r="L72" i="51"/>
  <c r="K72" i="51"/>
  <c r="J72" i="51"/>
  <c r="I72" i="51"/>
  <c r="N72" i="51" s="1"/>
  <c r="H72" i="51"/>
  <c r="G72" i="51"/>
  <c r="D72" i="51"/>
  <c r="V71" i="51"/>
  <c r="U71" i="51"/>
  <c r="T71" i="51"/>
  <c r="P71" i="51"/>
  <c r="O71" i="51"/>
  <c r="M71" i="51"/>
  <c r="L71" i="51"/>
  <c r="K71" i="51"/>
  <c r="J71" i="51"/>
  <c r="I71" i="51"/>
  <c r="H71" i="51"/>
  <c r="G71" i="51"/>
  <c r="C71" i="51" s="1"/>
  <c r="D71" i="51"/>
  <c r="V69" i="51"/>
  <c r="U69" i="51"/>
  <c r="T69" i="51"/>
  <c r="P69" i="51"/>
  <c r="O69" i="51"/>
  <c r="M69" i="51"/>
  <c r="L69" i="51"/>
  <c r="K69" i="51"/>
  <c r="J69" i="51"/>
  <c r="I69" i="51"/>
  <c r="H69" i="51"/>
  <c r="G69" i="51"/>
  <c r="C69" i="51" s="1"/>
  <c r="D69" i="51"/>
  <c r="V68" i="51"/>
  <c r="U68" i="51"/>
  <c r="T68" i="51"/>
  <c r="P68" i="51"/>
  <c r="O68" i="51"/>
  <c r="M68" i="51"/>
  <c r="L68" i="51"/>
  <c r="K68" i="51"/>
  <c r="J68" i="51"/>
  <c r="I68" i="51"/>
  <c r="H68" i="51"/>
  <c r="G68" i="51"/>
  <c r="C68" i="51" s="1"/>
  <c r="D68" i="51"/>
  <c r="V67" i="51"/>
  <c r="U67" i="51"/>
  <c r="T67" i="51"/>
  <c r="P67" i="51"/>
  <c r="O67" i="51"/>
  <c r="M67" i="51"/>
  <c r="L67" i="51"/>
  <c r="K67" i="51"/>
  <c r="J67" i="51"/>
  <c r="I67" i="51"/>
  <c r="H67" i="51"/>
  <c r="G67" i="51"/>
  <c r="C67" i="51" s="1"/>
  <c r="D67" i="51"/>
  <c r="V66" i="51"/>
  <c r="U66" i="51"/>
  <c r="T66" i="51"/>
  <c r="P66" i="51"/>
  <c r="O66" i="51"/>
  <c r="M66" i="51"/>
  <c r="L66" i="51"/>
  <c r="K66" i="51"/>
  <c r="J66" i="51"/>
  <c r="I66" i="51"/>
  <c r="H66" i="51"/>
  <c r="G66" i="51"/>
  <c r="C66" i="51" s="1"/>
  <c r="D66" i="51"/>
  <c r="V65" i="51"/>
  <c r="U65" i="51"/>
  <c r="T65" i="51"/>
  <c r="P65" i="51"/>
  <c r="O65" i="51"/>
  <c r="M65" i="51"/>
  <c r="L65" i="51"/>
  <c r="K65" i="51"/>
  <c r="J65" i="51"/>
  <c r="I65" i="51"/>
  <c r="H65" i="51"/>
  <c r="G65" i="51"/>
  <c r="C65" i="51" s="1"/>
  <c r="D65" i="51"/>
  <c r="X64" i="51"/>
  <c r="V64" i="51"/>
  <c r="U64" i="51"/>
  <c r="T64" i="51"/>
  <c r="P64" i="51"/>
  <c r="O64" i="51"/>
  <c r="M64" i="51"/>
  <c r="L64" i="51"/>
  <c r="K64" i="51"/>
  <c r="J64" i="51"/>
  <c r="I64" i="51"/>
  <c r="H64" i="51"/>
  <c r="G64" i="51"/>
  <c r="C64" i="51" s="1"/>
  <c r="D64" i="51"/>
  <c r="V63" i="51"/>
  <c r="U63" i="51"/>
  <c r="T63" i="51"/>
  <c r="P63" i="51"/>
  <c r="O63" i="51"/>
  <c r="M63" i="51"/>
  <c r="L63" i="51"/>
  <c r="K63" i="51"/>
  <c r="J63" i="51"/>
  <c r="I63" i="51"/>
  <c r="H63" i="51"/>
  <c r="G63" i="51"/>
  <c r="C63" i="51" s="1"/>
  <c r="D63" i="51"/>
  <c r="V62" i="51"/>
  <c r="U62" i="51"/>
  <c r="T62" i="51"/>
  <c r="P62" i="51"/>
  <c r="O62" i="51"/>
  <c r="M62" i="51"/>
  <c r="L62" i="51"/>
  <c r="K62" i="51"/>
  <c r="J62" i="51"/>
  <c r="I62" i="51"/>
  <c r="H62" i="51"/>
  <c r="G62" i="51"/>
  <c r="C62" i="51" s="1"/>
  <c r="D62" i="51"/>
  <c r="V61" i="51"/>
  <c r="U61" i="51"/>
  <c r="T61" i="51"/>
  <c r="P61" i="51"/>
  <c r="O61" i="51"/>
  <c r="M61" i="51"/>
  <c r="L61" i="51"/>
  <c r="K61" i="51"/>
  <c r="J61" i="51"/>
  <c r="I61" i="51"/>
  <c r="H61" i="51"/>
  <c r="G61" i="51"/>
  <c r="C61" i="51" s="1"/>
  <c r="D61" i="51"/>
  <c r="V60" i="51"/>
  <c r="U60" i="51"/>
  <c r="T60" i="51"/>
  <c r="P60" i="51"/>
  <c r="O60" i="51"/>
  <c r="M60" i="51"/>
  <c r="L60" i="51"/>
  <c r="K60" i="51"/>
  <c r="J60" i="51"/>
  <c r="I60" i="51"/>
  <c r="H60" i="51"/>
  <c r="G60" i="51"/>
  <c r="D60" i="51"/>
  <c r="V59" i="51"/>
  <c r="U59" i="51"/>
  <c r="T59" i="51"/>
  <c r="P59" i="51"/>
  <c r="O59" i="51"/>
  <c r="M59" i="51"/>
  <c r="L59" i="51"/>
  <c r="K59" i="51"/>
  <c r="J59" i="51"/>
  <c r="I59" i="51"/>
  <c r="H59" i="51"/>
  <c r="G59" i="51"/>
  <c r="C59" i="51" s="1"/>
  <c r="D59" i="51"/>
  <c r="V58" i="51"/>
  <c r="U58" i="51"/>
  <c r="T58" i="51"/>
  <c r="P58" i="51"/>
  <c r="O58" i="51"/>
  <c r="M58" i="51"/>
  <c r="L58" i="51"/>
  <c r="K58" i="51"/>
  <c r="J58" i="51"/>
  <c r="I58" i="51"/>
  <c r="N58" i="51" s="1"/>
  <c r="H58" i="51"/>
  <c r="G58" i="51"/>
  <c r="D58" i="51"/>
  <c r="V56" i="51"/>
  <c r="U56" i="51"/>
  <c r="T56" i="51"/>
  <c r="P56" i="51"/>
  <c r="O56" i="51"/>
  <c r="M56" i="51"/>
  <c r="L56" i="51"/>
  <c r="K56" i="51"/>
  <c r="J56" i="51"/>
  <c r="I56" i="51"/>
  <c r="H56" i="51"/>
  <c r="G56" i="51"/>
  <c r="V55" i="51"/>
  <c r="U55" i="51"/>
  <c r="T55" i="51"/>
  <c r="P55" i="51"/>
  <c r="O55" i="51"/>
  <c r="M55" i="51"/>
  <c r="L55" i="51"/>
  <c r="K55" i="51"/>
  <c r="J55" i="51"/>
  <c r="I55" i="51"/>
  <c r="H55" i="51"/>
  <c r="G55" i="51"/>
  <c r="V54" i="51"/>
  <c r="U54" i="51"/>
  <c r="T54" i="51"/>
  <c r="P54" i="51"/>
  <c r="O54" i="51"/>
  <c r="M54" i="51"/>
  <c r="L54" i="51"/>
  <c r="K54" i="51"/>
  <c r="J54" i="51"/>
  <c r="I54" i="51"/>
  <c r="H54" i="51"/>
  <c r="G54" i="51"/>
  <c r="V53" i="51"/>
  <c r="U53" i="51"/>
  <c r="T53" i="51"/>
  <c r="P53" i="51"/>
  <c r="O53" i="51"/>
  <c r="M53" i="51"/>
  <c r="L53" i="51"/>
  <c r="K53" i="51"/>
  <c r="J53" i="51"/>
  <c r="I53" i="51"/>
  <c r="N53" i="51" s="1"/>
  <c r="H53" i="51"/>
  <c r="G53" i="51"/>
  <c r="V52" i="51"/>
  <c r="U52" i="51"/>
  <c r="T52" i="51"/>
  <c r="P52" i="51"/>
  <c r="O52" i="51"/>
  <c r="M52" i="51"/>
  <c r="L52" i="51"/>
  <c r="K52" i="51"/>
  <c r="J52" i="51"/>
  <c r="I52" i="51"/>
  <c r="H52" i="51"/>
  <c r="G52" i="51"/>
  <c r="V51" i="51"/>
  <c r="U51" i="51"/>
  <c r="T51" i="51"/>
  <c r="P51" i="51"/>
  <c r="O51" i="51"/>
  <c r="M51" i="51"/>
  <c r="L51" i="51"/>
  <c r="K51" i="51"/>
  <c r="J51" i="51"/>
  <c r="I51" i="51"/>
  <c r="H51" i="51"/>
  <c r="G51" i="51"/>
  <c r="V50" i="51"/>
  <c r="U50" i="51"/>
  <c r="T50" i="51"/>
  <c r="P50" i="51"/>
  <c r="O50" i="51"/>
  <c r="M50" i="51"/>
  <c r="L50" i="51"/>
  <c r="K50" i="51"/>
  <c r="J50" i="51"/>
  <c r="I50" i="51"/>
  <c r="H50" i="51"/>
  <c r="G50" i="51"/>
  <c r="V49" i="51"/>
  <c r="U49" i="51"/>
  <c r="T49" i="51"/>
  <c r="P49" i="51"/>
  <c r="O49" i="51"/>
  <c r="M49" i="51"/>
  <c r="L49" i="51"/>
  <c r="K49" i="51"/>
  <c r="J49" i="51"/>
  <c r="I49" i="51"/>
  <c r="H49" i="51"/>
  <c r="G49" i="51"/>
  <c r="V48" i="51"/>
  <c r="U48" i="51"/>
  <c r="T48" i="51"/>
  <c r="P48" i="51"/>
  <c r="O48" i="51"/>
  <c r="M48" i="51"/>
  <c r="L48" i="51"/>
  <c r="K48" i="51"/>
  <c r="J48" i="51"/>
  <c r="I48" i="51"/>
  <c r="H48" i="51"/>
  <c r="G48" i="51"/>
  <c r="V47" i="51"/>
  <c r="U47" i="51"/>
  <c r="T47" i="51"/>
  <c r="P47" i="51"/>
  <c r="O47" i="51"/>
  <c r="M47" i="51"/>
  <c r="L47" i="51"/>
  <c r="K47" i="51"/>
  <c r="J47" i="51"/>
  <c r="I47" i="51"/>
  <c r="H47" i="51"/>
  <c r="G47" i="51"/>
  <c r="V46" i="51"/>
  <c r="U46" i="51"/>
  <c r="T46" i="51"/>
  <c r="P46" i="51"/>
  <c r="O46" i="51"/>
  <c r="M46" i="51"/>
  <c r="L46" i="51"/>
  <c r="K46" i="51"/>
  <c r="J46" i="51"/>
  <c r="I46" i="51"/>
  <c r="H46" i="51"/>
  <c r="G46" i="51"/>
  <c r="V45" i="51"/>
  <c r="X45" i="51" s="1"/>
  <c r="U45" i="51"/>
  <c r="T45" i="51"/>
  <c r="P45" i="51"/>
  <c r="O45" i="51"/>
  <c r="M45" i="51"/>
  <c r="L45" i="51"/>
  <c r="K45" i="51"/>
  <c r="J45" i="51"/>
  <c r="I45" i="51"/>
  <c r="H45" i="51"/>
  <c r="G45" i="51"/>
  <c r="V43" i="51"/>
  <c r="X43" i="51" s="1"/>
  <c r="U43" i="51"/>
  <c r="T43" i="51"/>
  <c r="P43" i="51"/>
  <c r="O43" i="51"/>
  <c r="M43" i="51"/>
  <c r="L43" i="51"/>
  <c r="K43" i="51"/>
  <c r="J43" i="51"/>
  <c r="I43" i="51"/>
  <c r="H43" i="51"/>
  <c r="G43" i="51"/>
  <c r="V42" i="51"/>
  <c r="U42" i="51"/>
  <c r="T42" i="51"/>
  <c r="P42" i="51"/>
  <c r="O42" i="51"/>
  <c r="M42" i="51"/>
  <c r="L42" i="51"/>
  <c r="K42" i="51"/>
  <c r="J42" i="51"/>
  <c r="I42" i="51"/>
  <c r="H42" i="51"/>
  <c r="G42" i="51"/>
  <c r="V41" i="51"/>
  <c r="U41" i="51"/>
  <c r="T41" i="51"/>
  <c r="P41" i="51"/>
  <c r="O41" i="51"/>
  <c r="M41" i="51"/>
  <c r="L41" i="51"/>
  <c r="K41" i="51"/>
  <c r="J41" i="51"/>
  <c r="I41" i="51"/>
  <c r="N41" i="51" s="1"/>
  <c r="H41" i="51"/>
  <c r="G41" i="51"/>
  <c r="V40" i="51"/>
  <c r="X40" i="51" s="1"/>
  <c r="U40" i="51"/>
  <c r="T40" i="51"/>
  <c r="P40" i="51"/>
  <c r="O40" i="51"/>
  <c r="M40" i="51"/>
  <c r="L40" i="51"/>
  <c r="K40" i="51"/>
  <c r="J40" i="51"/>
  <c r="I40" i="51"/>
  <c r="H40" i="51"/>
  <c r="G40" i="51"/>
  <c r="V39" i="51"/>
  <c r="X39" i="51" s="1"/>
  <c r="U39" i="51"/>
  <c r="T39" i="51"/>
  <c r="P39" i="51"/>
  <c r="O39" i="51"/>
  <c r="M39" i="51"/>
  <c r="L39" i="51"/>
  <c r="K39" i="51"/>
  <c r="J39" i="51"/>
  <c r="I39" i="51"/>
  <c r="H39" i="51"/>
  <c r="G39" i="51"/>
  <c r="V38" i="51"/>
  <c r="U38" i="51"/>
  <c r="T38" i="51"/>
  <c r="P38" i="51"/>
  <c r="O38" i="51"/>
  <c r="M38" i="51"/>
  <c r="L38" i="51"/>
  <c r="K38" i="51"/>
  <c r="J38" i="51"/>
  <c r="I38" i="51"/>
  <c r="N38" i="51" s="1"/>
  <c r="H38" i="51"/>
  <c r="G38" i="51"/>
  <c r="V37" i="51"/>
  <c r="U37" i="51"/>
  <c r="T37" i="51"/>
  <c r="P37" i="51"/>
  <c r="O37" i="51"/>
  <c r="M37" i="51"/>
  <c r="L37" i="51"/>
  <c r="K37" i="51"/>
  <c r="J37" i="51"/>
  <c r="I37" i="51"/>
  <c r="H37" i="51"/>
  <c r="G37" i="51"/>
  <c r="V36" i="51"/>
  <c r="U36" i="51"/>
  <c r="T36" i="51"/>
  <c r="P36" i="51"/>
  <c r="O36" i="51"/>
  <c r="M36" i="51"/>
  <c r="L36" i="51"/>
  <c r="K36" i="51"/>
  <c r="J36" i="51"/>
  <c r="I36" i="51"/>
  <c r="H36" i="51"/>
  <c r="G36" i="51"/>
  <c r="V35" i="51"/>
  <c r="U35" i="51"/>
  <c r="T35" i="51"/>
  <c r="P35" i="51"/>
  <c r="O35" i="51"/>
  <c r="M35" i="51"/>
  <c r="L35" i="51"/>
  <c r="K35" i="51"/>
  <c r="J35" i="51"/>
  <c r="I35" i="51"/>
  <c r="H35" i="51"/>
  <c r="G35" i="51"/>
  <c r="V34" i="51"/>
  <c r="U34" i="51"/>
  <c r="T34" i="51"/>
  <c r="P34" i="51"/>
  <c r="O34" i="51"/>
  <c r="M34" i="51"/>
  <c r="L34" i="51"/>
  <c r="K34" i="51"/>
  <c r="J34" i="51"/>
  <c r="I34" i="51"/>
  <c r="H34" i="51"/>
  <c r="G34" i="51"/>
  <c r="V33" i="51"/>
  <c r="U33" i="51"/>
  <c r="T33" i="51"/>
  <c r="P33" i="51"/>
  <c r="O33" i="51"/>
  <c r="M33" i="51"/>
  <c r="L33" i="51"/>
  <c r="K33" i="51"/>
  <c r="J33" i="51"/>
  <c r="I33" i="51"/>
  <c r="N33" i="51" s="1"/>
  <c r="H33" i="51"/>
  <c r="G33" i="51"/>
  <c r="V32" i="51"/>
  <c r="X32" i="51" s="1"/>
  <c r="U32" i="51"/>
  <c r="T32" i="51"/>
  <c r="P32" i="51"/>
  <c r="O32" i="51"/>
  <c r="M32" i="51"/>
  <c r="L32" i="51"/>
  <c r="K32" i="51"/>
  <c r="J32" i="51"/>
  <c r="I32" i="51"/>
  <c r="H32" i="51"/>
  <c r="G32" i="51"/>
  <c r="V30" i="51"/>
  <c r="X30" i="51" s="1"/>
  <c r="U30" i="51"/>
  <c r="T30" i="51"/>
  <c r="P30" i="51"/>
  <c r="O30" i="51"/>
  <c r="M30" i="51"/>
  <c r="L30" i="51"/>
  <c r="K30" i="51"/>
  <c r="J30" i="51"/>
  <c r="I30" i="51"/>
  <c r="H30" i="51"/>
  <c r="G30" i="51"/>
  <c r="V29" i="51"/>
  <c r="U29" i="51"/>
  <c r="T29" i="51"/>
  <c r="P29" i="51"/>
  <c r="O29" i="51"/>
  <c r="M29" i="51"/>
  <c r="L29" i="51"/>
  <c r="K29" i="51"/>
  <c r="J29" i="51"/>
  <c r="I29" i="51"/>
  <c r="H29" i="51"/>
  <c r="G29" i="51"/>
  <c r="V28" i="51"/>
  <c r="U28" i="51"/>
  <c r="T28" i="51"/>
  <c r="P28" i="51"/>
  <c r="O28" i="51"/>
  <c r="M28" i="51"/>
  <c r="L28" i="51"/>
  <c r="K28" i="51"/>
  <c r="J28" i="51"/>
  <c r="I28" i="51"/>
  <c r="H28" i="51"/>
  <c r="G28" i="51"/>
  <c r="V27" i="51"/>
  <c r="U27" i="51"/>
  <c r="T27" i="51"/>
  <c r="P27" i="51"/>
  <c r="O27" i="51"/>
  <c r="M27" i="51"/>
  <c r="L27" i="51"/>
  <c r="K27" i="51"/>
  <c r="J27" i="51"/>
  <c r="I27" i="51"/>
  <c r="H27" i="51"/>
  <c r="G27" i="51"/>
  <c r="V26" i="51"/>
  <c r="U26" i="51"/>
  <c r="T26" i="51"/>
  <c r="P26" i="51"/>
  <c r="O26" i="51"/>
  <c r="M26" i="51"/>
  <c r="L26" i="51"/>
  <c r="K26" i="51"/>
  <c r="J26" i="51"/>
  <c r="I26" i="51"/>
  <c r="H26" i="51"/>
  <c r="G26" i="51"/>
  <c r="V25" i="51"/>
  <c r="U25" i="51"/>
  <c r="T25" i="51"/>
  <c r="P25" i="51"/>
  <c r="O25" i="51"/>
  <c r="M25" i="51"/>
  <c r="L25" i="51"/>
  <c r="K25" i="51"/>
  <c r="J25" i="51"/>
  <c r="I25" i="51"/>
  <c r="H25" i="51"/>
  <c r="G25" i="51"/>
  <c r="V24" i="51"/>
  <c r="U24" i="51"/>
  <c r="T24" i="51"/>
  <c r="P24" i="51"/>
  <c r="O24" i="51"/>
  <c r="M24" i="51"/>
  <c r="L24" i="51"/>
  <c r="K24" i="51"/>
  <c r="J24" i="51"/>
  <c r="I24" i="51"/>
  <c r="N24" i="51" s="1"/>
  <c r="H24" i="51"/>
  <c r="G24" i="51"/>
  <c r="V23" i="51"/>
  <c r="U23" i="51"/>
  <c r="T23" i="51"/>
  <c r="P23" i="51"/>
  <c r="O23" i="51"/>
  <c r="M23" i="51"/>
  <c r="L23" i="51"/>
  <c r="K23" i="51"/>
  <c r="J23" i="51"/>
  <c r="I23" i="51"/>
  <c r="H23" i="51"/>
  <c r="G23" i="51"/>
  <c r="V22" i="51"/>
  <c r="U22" i="51"/>
  <c r="T22" i="51"/>
  <c r="P22" i="51"/>
  <c r="O22" i="51"/>
  <c r="M22" i="51"/>
  <c r="L22" i="51"/>
  <c r="K22" i="51"/>
  <c r="J22" i="51"/>
  <c r="I22" i="51"/>
  <c r="N22" i="51" s="1"/>
  <c r="H22" i="51"/>
  <c r="G22" i="51"/>
  <c r="V21" i="51"/>
  <c r="U21" i="51"/>
  <c r="T21" i="51"/>
  <c r="P21" i="51"/>
  <c r="O21" i="51"/>
  <c r="M21" i="51"/>
  <c r="L21" i="51"/>
  <c r="K21" i="51"/>
  <c r="J21" i="51"/>
  <c r="I21" i="51"/>
  <c r="H21" i="51"/>
  <c r="G21" i="51"/>
  <c r="V20" i="51"/>
  <c r="U20" i="51"/>
  <c r="T20" i="51"/>
  <c r="P20" i="51"/>
  <c r="O20" i="51"/>
  <c r="M20" i="51"/>
  <c r="L20" i="51"/>
  <c r="K20" i="51"/>
  <c r="J20" i="51"/>
  <c r="I20" i="51"/>
  <c r="N20" i="51" s="1"/>
  <c r="H20" i="51"/>
  <c r="G20" i="51"/>
  <c r="V19" i="51"/>
  <c r="U19" i="51"/>
  <c r="T19" i="51"/>
  <c r="P19" i="51"/>
  <c r="O19" i="51"/>
  <c r="M19" i="51"/>
  <c r="L19" i="51"/>
  <c r="K19" i="51"/>
  <c r="J19" i="51"/>
  <c r="I19" i="51"/>
  <c r="H19" i="51"/>
  <c r="G19" i="51"/>
  <c r="V17" i="51"/>
  <c r="U17" i="51"/>
  <c r="T17" i="51"/>
  <c r="P17" i="51"/>
  <c r="O17" i="51"/>
  <c r="M17" i="51"/>
  <c r="L17" i="51"/>
  <c r="K17" i="51"/>
  <c r="J17" i="51"/>
  <c r="I17" i="51"/>
  <c r="N17" i="51" s="1"/>
  <c r="H17" i="51"/>
  <c r="G17" i="51"/>
  <c r="V16" i="51"/>
  <c r="U16" i="51"/>
  <c r="T16" i="51"/>
  <c r="P16" i="51"/>
  <c r="O16" i="51"/>
  <c r="M16" i="51"/>
  <c r="L16" i="51"/>
  <c r="K16" i="51"/>
  <c r="J16" i="51"/>
  <c r="I16" i="51"/>
  <c r="H16" i="51"/>
  <c r="G16" i="51"/>
  <c r="V15" i="51"/>
  <c r="U15" i="51"/>
  <c r="T15" i="51"/>
  <c r="P15" i="51"/>
  <c r="O15" i="51"/>
  <c r="M15" i="51"/>
  <c r="L15" i="51"/>
  <c r="K15" i="51"/>
  <c r="J15" i="51"/>
  <c r="I15" i="51"/>
  <c r="N15" i="51" s="1"/>
  <c r="H15" i="51"/>
  <c r="G15" i="51"/>
  <c r="V14" i="51"/>
  <c r="U14" i="51"/>
  <c r="T14" i="51"/>
  <c r="P14" i="51"/>
  <c r="O14" i="51"/>
  <c r="M14" i="51"/>
  <c r="L14" i="51"/>
  <c r="K14" i="51"/>
  <c r="J14" i="51"/>
  <c r="I14" i="51"/>
  <c r="H14" i="51"/>
  <c r="G14" i="51"/>
  <c r="V13" i="51"/>
  <c r="U13" i="51"/>
  <c r="T13" i="51"/>
  <c r="P13" i="51"/>
  <c r="O13" i="51"/>
  <c r="M13" i="51"/>
  <c r="L13" i="51"/>
  <c r="K13" i="51"/>
  <c r="J13" i="51"/>
  <c r="I13" i="51"/>
  <c r="N13" i="51" s="1"/>
  <c r="H13" i="51"/>
  <c r="G13" i="51"/>
  <c r="V12" i="51"/>
  <c r="U12" i="51"/>
  <c r="T12" i="51"/>
  <c r="P12" i="51"/>
  <c r="O12" i="51"/>
  <c r="M12" i="51"/>
  <c r="L12" i="51"/>
  <c r="K12" i="51"/>
  <c r="J12" i="51"/>
  <c r="I12" i="51"/>
  <c r="H12" i="51"/>
  <c r="G12" i="51"/>
  <c r="V11" i="51"/>
  <c r="U11" i="51"/>
  <c r="T11" i="51"/>
  <c r="P11" i="51"/>
  <c r="O11" i="51"/>
  <c r="M11" i="51"/>
  <c r="L11" i="51"/>
  <c r="K11" i="51"/>
  <c r="J11" i="51"/>
  <c r="I11" i="51"/>
  <c r="N11" i="51" s="1"/>
  <c r="H11" i="51"/>
  <c r="G11" i="51"/>
  <c r="V10" i="51"/>
  <c r="U10" i="51"/>
  <c r="T10" i="51"/>
  <c r="P10" i="51"/>
  <c r="O10" i="51"/>
  <c r="M10" i="51"/>
  <c r="L10" i="51"/>
  <c r="K10" i="51"/>
  <c r="J10" i="51"/>
  <c r="I10" i="51"/>
  <c r="H10" i="51"/>
  <c r="G10" i="51"/>
  <c r="V9" i="51"/>
  <c r="U9" i="51"/>
  <c r="T9" i="51"/>
  <c r="P9" i="51"/>
  <c r="O9" i="51"/>
  <c r="M9" i="51"/>
  <c r="L9" i="51"/>
  <c r="K9" i="51"/>
  <c r="J9" i="51"/>
  <c r="I9" i="51"/>
  <c r="N9" i="51" s="1"/>
  <c r="H9" i="51"/>
  <c r="G9" i="51"/>
  <c r="V8" i="51"/>
  <c r="U8" i="51"/>
  <c r="T8" i="51"/>
  <c r="P8" i="51"/>
  <c r="O8" i="51"/>
  <c r="M8" i="51"/>
  <c r="L8" i="51"/>
  <c r="K8" i="51"/>
  <c r="J8" i="51"/>
  <c r="I8" i="51"/>
  <c r="H8" i="51"/>
  <c r="G8" i="51"/>
  <c r="V7" i="51"/>
  <c r="U7" i="51"/>
  <c r="T7" i="51"/>
  <c r="P7" i="51"/>
  <c r="O7" i="51"/>
  <c r="M7" i="51"/>
  <c r="L7" i="51"/>
  <c r="K7" i="51"/>
  <c r="J7" i="51"/>
  <c r="I7" i="51"/>
  <c r="H7" i="51"/>
  <c r="G7" i="51"/>
  <c r="V6" i="51"/>
  <c r="U6" i="51"/>
  <c r="T6" i="51"/>
  <c r="P6" i="51"/>
  <c r="O6" i="51"/>
  <c r="M6" i="51"/>
  <c r="L6" i="51"/>
  <c r="K6" i="51"/>
  <c r="J6" i="51"/>
  <c r="I6" i="51"/>
  <c r="H6" i="51"/>
  <c r="G6" i="51"/>
  <c r="G344" i="36"/>
  <c r="I344" i="36"/>
  <c r="K344" i="36"/>
  <c r="T344" i="36"/>
  <c r="X344" i="36" s="1"/>
  <c r="G345" i="36"/>
  <c r="I345" i="36"/>
  <c r="K345" i="36"/>
  <c r="T345" i="36"/>
  <c r="U345" i="36"/>
  <c r="V345" i="36"/>
  <c r="G346" i="36"/>
  <c r="I346" i="36"/>
  <c r="K346" i="36"/>
  <c r="T346" i="36"/>
  <c r="U346" i="36"/>
  <c r="V346" i="36"/>
  <c r="G347" i="36"/>
  <c r="J347" i="36"/>
  <c r="I347" i="36" s="1"/>
  <c r="K347" i="36"/>
  <c r="T347" i="36"/>
  <c r="U347" i="36"/>
  <c r="V347" i="36"/>
  <c r="G348" i="36"/>
  <c r="J348" i="36"/>
  <c r="I348" i="36" s="1"/>
  <c r="K348" i="36"/>
  <c r="T348" i="36"/>
  <c r="U348" i="36"/>
  <c r="V348" i="36"/>
  <c r="G349" i="36"/>
  <c r="J349" i="36"/>
  <c r="I349" i="36" s="1"/>
  <c r="K349" i="36"/>
  <c r="T349" i="36"/>
  <c r="U349" i="36"/>
  <c r="G350" i="36"/>
  <c r="J350" i="36"/>
  <c r="I350" i="36" s="1"/>
  <c r="K350" i="36"/>
  <c r="O350" i="36"/>
  <c r="P350" i="36"/>
  <c r="T350" i="36"/>
  <c r="U350" i="36"/>
  <c r="G351" i="36"/>
  <c r="J351" i="36"/>
  <c r="I351" i="36" s="1"/>
  <c r="K351" i="36"/>
  <c r="O351" i="36"/>
  <c r="P351" i="36"/>
  <c r="T351" i="36"/>
  <c r="U351" i="36"/>
  <c r="G352" i="36"/>
  <c r="J352" i="36"/>
  <c r="I352" i="36" s="1"/>
  <c r="K352" i="36"/>
  <c r="O352" i="36"/>
  <c r="P352" i="36"/>
  <c r="T352" i="36"/>
  <c r="U352" i="36"/>
  <c r="G353" i="36"/>
  <c r="J353" i="36"/>
  <c r="I353" i="36" s="1"/>
  <c r="K353" i="36"/>
  <c r="O353" i="36"/>
  <c r="P353" i="36"/>
  <c r="T353" i="36"/>
  <c r="X353" i="36" s="1"/>
  <c r="G354" i="36"/>
  <c r="I354" i="36"/>
  <c r="K354" i="36"/>
  <c r="O354" i="36"/>
  <c r="P354" i="36"/>
  <c r="T354" i="36"/>
  <c r="U354" i="36"/>
  <c r="G355" i="36"/>
  <c r="J355" i="36"/>
  <c r="I355" i="36" s="1"/>
  <c r="K355" i="36"/>
  <c r="O355" i="36"/>
  <c r="P355" i="36"/>
  <c r="T355" i="36"/>
  <c r="U355" i="36"/>
  <c r="S356" i="36"/>
  <c r="G357" i="36"/>
  <c r="J357" i="36"/>
  <c r="I357" i="36" s="1"/>
  <c r="K357" i="36"/>
  <c r="O357" i="36"/>
  <c r="P357" i="36"/>
  <c r="T357" i="36"/>
  <c r="X357" i="36" s="1"/>
  <c r="G358" i="36"/>
  <c r="J358" i="36"/>
  <c r="I358" i="36" s="1"/>
  <c r="K358" i="36"/>
  <c r="O358" i="36"/>
  <c r="P358" i="36"/>
  <c r="T358" i="36"/>
  <c r="X358" i="36" s="1"/>
  <c r="G359" i="36"/>
  <c r="J359" i="36"/>
  <c r="I359" i="36" s="1"/>
  <c r="K359" i="36"/>
  <c r="O359" i="36"/>
  <c r="P359" i="36"/>
  <c r="T359" i="36"/>
  <c r="X359" i="36" s="1"/>
  <c r="G360" i="36"/>
  <c r="J360" i="36"/>
  <c r="I360" i="36" s="1"/>
  <c r="K360" i="36"/>
  <c r="O360" i="36"/>
  <c r="P360" i="36"/>
  <c r="T360" i="36"/>
  <c r="X360" i="36" s="1"/>
  <c r="G361" i="36"/>
  <c r="J361" i="36"/>
  <c r="I361" i="36" s="1"/>
  <c r="K361" i="36"/>
  <c r="O361" i="36"/>
  <c r="P361" i="36"/>
  <c r="T361" i="36"/>
  <c r="X361" i="36" s="1"/>
  <c r="G362" i="36"/>
  <c r="J362" i="36"/>
  <c r="I362" i="36" s="1"/>
  <c r="K362" i="36"/>
  <c r="O362" i="36"/>
  <c r="P362" i="36"/>
  <c r="T362" i="36"/>
  <c r="X362" i="36" s="1"/>
  <c r="G363" i="36"/>
  <c r="J363" i="36"/>
  <c r="I363" i="36" s="1"/>
  <c r="K363" i="36"/>
  <c r="O363" i="36"/>
  <c r="P363" i="36"/>
  <c r="T363" i="36"/>
  <c r="X363" i="36" s="1"/>
  <c r="G364" i="36"/>
  <c r="J364" i="36"/>
  <c r="I364" i="36" s="1"/>
  <c r="K364" i="36"/>
  <c r="O364" i="36"/>
  <c r="P364" i="36"/>
  <c r="T364" i="36"/>
  <c r="X364" i="36" s="1"/>
  <c r="G365" i="36"/>
  <c r="J365" i="36"/>
  <c r="I365" i="36" s="1"/>
  <c r="K365" i="36"/>
  <c r="O365" i="36"/>
  <c r="P365" i="36"/>
  <c r="T365" i="36"/>
  <c r="X365" i="36" s="1"/>
  <c r="G366" i="36"/>
  <c r="J366" i="36"/>
  <c r="I366" i="36" s="1"/>
  <c r="K366" i="36"/>
  <c r="O366" i="36"/>
  <c r="P366" i="36"/>
  <c r="T366" i="36"/>
  <c r="X366" i="36" s="1"/>
  <c r="G367" i="36"/>
  <c r="J367" i="36"/>
  <c r="I367" i="36" s="1"/>
  <c r="K367" i="36"/>
  <c r="O367" i="36"/>
  <c r="P367" i="36"/>
  <c r="T367" i="36"/>
  <c r="X367" i="36" s="1"/>
  <c r="G368" i="36"/>
  <c r="J368" i="36"/>
  <c r="I368" i="36" s="1"/>
  <c r="K368" i="36"/>
  <c r="O368" i="36"/>
  <c r="P368" i="36"/>
  <c r="T368" i="36"/>
  <c r="X368" i="36" s="1"/>
  <c r="S369" i="36"/>
  <c r="G370" i="36"/>
  <c r="J370" i="36"/>
  <c r="I370" i="36" s="1"/>
  <c r="K370" i="36"/>
  <c r="O370" i="36"/>
  <c r="P370" i="36"/>
  <c r="T370" i="36"/>
  <c r="X370" i="36" s="1"/>
  <c r="G371" i="36"/>
  <c r="J371" i="36"/>
  <c r="I371" i="36" s="1"/>
  <c r="K371" i="36"/>
  <c r="O371" i="36"/>
  <c r="P371" i="36"/>
  <c r="T371" i="36"/>
  <c r="X371" i="36" s="1"/>
  <c r="G372" i="36"/>
  <c r="J372" i="36"/>
  <c r="I372" i="36" s="1"/>
  <c r="K372" i="36"/>
  <c r="O372" i="36"/>
  <c r="P372" i="36"/>
  <c r="T372" i="36"/>
  <c r="X372" i="36" s="1"/>
  <c r="G373" i="36"/>
  <c r="J373" i="36"/>
  <c r="I373" i="36" s="1"/>
  <c r="K373" i="36"/>
  <c r="O373" i="36"/>
  <c r="P373" i="36"/>
  <c r="T373" i="36"/>
  <c r="X373" i="36" s="1"/>
  <c r="G374" i="36"/>
  <c r="J374" i="36"/>
  <c r="I374" i="36" s="1"/>
  <c r="K374" i="36"/>
  <c r="O374" i="36"/>
  <c r="P374" i="36"/>
  <c r="T374" i="36"/>
  <c r="X374" i="36" s="1"/>
  <c r="G375" i="36"/>
  <c r="J375" i="36"/>
  <c r="I375" i="36" s="1"/>
  <c r="K375" i="36"/>
  <c r="O375" i="36"/>
  <c r="P375" i="36"/>
  <c r="T375" i="36"/>
  <c r="X375" i="36" s="1"/>
  <c r="G376" i="36"/>
  <c r="J376" i="36"/>
  <c r="I376" i="36" s="1"/>
  <c r="K376" i="36"/>
  <c r="O376" i="36"/>
  <c r="P376" i="36"/>
  <c r="T376" i="36"/>
  <c r="X376" i="36" s="1"/>
  <c r="G377" i="36"/>
  <c r="J377" i="36"/>
  <c r="I377" i="36" s="1"/>
  <c r="K377" i="36"/>
  <c r="O377" i="36"/>
  <c r="P377" i="36"/>
  <c r="T377" i="36"/>
  <c r="X377" i="36" s="1"/>
  <c r="G378" i="36"/>
  <c r="J378" i="36"/>
  <c r="I378" i="36" s="1"/>
  <c r="K378" i="36"/>
  <c r="O378" i="36"/>
  <c r="P378" i="36"/>
  <c r="T378" i="36"/>
  <c r="X378" i="36" s="1"/>
  <c r="G379" i="36"/>
  <c r="J379" i="36"/>
  <c r="I379" i="36" s="1"/>
  <c r="K379" i="36"/>
  <c r="O379" i="36"/>
  <c r="P379" i="36"/>
  <c r="T379" i="36"/>
  <c r="X379" i="36" s="1"/>
  <c r="G380" i="36"/>
  <c r="J380" i="36"/>
  <c r="I380" i="36" s="1"/>
  <c r="K380" i="36"/>
  <c r="O380" i="36"/>
  <c r="P380" i="36"/>
  <c r="T380" i="36"/>
  <c r="X380" i="36" s="1"/>
  <c r="G381" i="36"/>
  <c r="J381" i="36"/>
  <c r="I381" i="36" s="1"/>
  <c r="K381" i="36"/>
  <c r="O381" i="36"/>
  <c r="P381" i="36"/>
  <c r="T381" i="36"/>
  <c r="X381" i="36" s="1"/>
  <c r="S382" i="36"/>
  <c r="G383" i="36"/>
  <c r="J383" i="36"/>
  <c r="I383" i="36" s="1"/>
  <c r="K383" i="36"/>
  <c r="O383" i="36"/>
  <c r="P383" i="36"/>
  <c r="T383" i="36"/>
  <c r="X383" i="36" s="1"/>
  <c r="G384" i="36"/>
  <c r="J384" i="36"/>
  <c r="I384" i="36" s="1"/>
  <c r="K384" i="36"/>
  <c r="O384" i="36"/>
  <c r="P384" i="36"/>
  <c r="T384" i="36"/>
  <c r="X384" i="36" s="1"/>
  <c r="G385" i="36"/>
  <c r="J385" i="36"/>
  <c r="I385" i="36" s="1"/>
  <c r="K385" i="36"/>
  <c r="O385" i="36"/>
  <c r="P385" i="36"/>
  <c r="T385" i="36"/>
  <c r="X385" i="36" s="1"/>
  <c r="G386" i="36"/>
  <c r="J386" i="36"/>
  <c r="I386" i="36" s="1"/>
  <c r="K386" i="36"/>
  <c r="O386" i="36"/>
  <c r="P386" i="36"/>
  <c r="T386" i="36"/>
  <c r="X386" i="36" s="1"/>
  <c r="G387" i="36"/>
  <c r="J387" i="36"/>
  <c r="I387" i="36" s="1"/>
  <c r="K387" i="36"/>
  <c r="O387" i="36"/>
  <c r="P387" i="36"/>
  <c r="T387" i="36"/>
  <c r="X387" i="36" s="1"/>
  <c r="G388" i="36"/>
  <c r="J388" i="36"/>
  <c r="I388" i="36" s="1"/>
  <c r="K388" i="36"/>
  <c r="O388" i="36"/>
  <c r="P388" i="36"/>
  <c r="T388" i="36"/>
  <c r="X388" i="36" s="1"/>
  <c r="G389" i="36"/>
  <c r="J389" i="36"/>
  <c r="I389" i="36" s="1"/>
  <c r="K389" i="36"/>
  <c r="O389" i="36"/>
  <c r="P389" i="36"/>
  <c r="T389" i="36"/>
  <c r="X389" i="36" s="1"/>
  <c r="G390" i="36"/>
  <c r="J390" i="36"/>
  <c r="I390" i="36" s="1"/>
  <c r="K390" i="36"/>
  <c r="O390" i="36"/>
  <c r="P390" i="36"/>
  <c r="T390" i="36"/>
  <c r="X390" i="36" s="1"/>
  <c r="G391" i="36"/>
  <c r="J391" i="36"/>
  <c r="I391" i="36" s="1"/>
  <c r="K391" i="36"/>
  <c r="O391" i="36"/>
  <c r="P391" i="36"/>
  <c r="T391" i="36"/>
  <c r="X391" i="36" s="1"/>
  <c r="G392" i="36"/>
  <c r="J392" i="36"/>
  <c r="I392" i="36" s="1"/>
  <c r="K392" i="36"/>
  <c r="O392" i="36"/>
  <c r="P392" i="36"/>
  <c r="T392" i="36"/>
  <c r="X392" i="36" s="1"/>
  <c r="G393" i="36"/>
  <c r="J393" i="36"/>
  <c r="I393" i="36" s="1"/>
  <c r="K393" i="36"/>
  <c r="O393" i="36"/>
  <c r="P393" i="36"/>
  <c r="T393" i="36"/>
  <c r="X393" i="36" s="1"/>
  <c r="G394" i="36"/>
  <c r="J394" i="36"/>
  <c r="I394" i="36" s="1"/>
  <c r="K394" i="36"/>
  <c r="O394" i="36"/>
  <c r="P394" i="36"/>
  <c r="T394" i="36"/>
  <c r="X394" i="36" s="1"/>
  <c r="S395" i="36"/>
  <c r="G396" i="36"/>
  <c r="J396" i="36"/>
  <c r="I396" i="36" s="1"/>
  <c r="K396" i="36"/>
  <c r="O396" i="36"/>
  <c r="P396" i="36"/>
  <c r="T396" i="36"/>
  <c r="X396" i="36" s="1"/>
  <c r="G397" i="36"/>
  <c r="J397" i="36"/>
  <c r="I397" i="36" s="1"/>
  <c r="K397" i="36"/>
  <c r="O397" i="36"/>
  <c r="P397" i="36"/>
  <c r="T397" i="36"/>
  <c r="X397" i="36" s="1"/>
  <c r="G398" i="36"/>
  <c r="J398" i="36"/>
  <c r="I398" i="36" s="1"/>
  <c r="K398" i="36"/>
  <c r="O398" i="36"/>
  <c r="P398" i="36"/>
  <c r="T398" i="36"/>
  <c r="X398" i="36" s="1"/>
  <c r="G399" i="36"/>
  <c r="J399" i="36"/>
  <c r="I399" i="36" s="1"/>
  <c r="K399" i="36"/>
  <c r="O399" i="36"/>
  <c r="P399" i="36"/>
  <c r="T399" i="36"/>
  <c r="X399" i="36" s="1"/>
  <c r="G400" i="36"/>
  <c r="J400" i="36"/>
  <c r="I400" i="36" s="1"/>
  <c r="K400" i="36"/>
  <c r="O400" i="36"/>
  <c r="P400" i="36"/>
  <c r="T400" i="36"/>
  <c r="X400" i="36" s="1"/>
  <c r="G401" i="36"/>
  <c r="J401" i="36"/>
  <c r="I401" i="36" s="1"/>
  <c r="K401" i="36"/>
  <c r="O401" i="36"/>
  <c r="P401" i="36"/>
  <c r="T401" i="36"/>
  <c r="X401" i="36" s="1"/>
  <c r="G402" i="36"/>
  <c r="J402" i="36"/>
  <c r="I402" i="36" s="1"/>
  <c r="K402" i="36"/>
  <c r="O402" i="36"/>
  <c r="P402" i="36"/>
  <c r="T402" i="36"/>
  <c r="X402" i="36" s="1"/>
  <c r="G403" i="36"/>
  <c r="J403" i="36"/>
  <c r="I403" i="36" s="1"/>
  <c r="K403" i="36"/>
  <c r="O403" i="36"/>
  <c r="P403" i="36"/>
  <c r="T403" i="36"/>
  <c r="X403" i="36" s="1"/>
  <c r="G404" i="36"/>
  <c r="J404" i="36"/>
  <c r="I404" i="36" s="1"/>
  <c r="K404" i="36"/>
  <c r="O404" i="36"/>
  <c r="P404" i="36"/>
  <c r="T404" i="36"/>
  <c r="X404" i="36" s="1"/>
  <c r="G405" i="36"/>
  <c r="J405" i="36"/>
  <c r="I405" i="36" s="1"/>
  <c r="K405" i="36"/>
  <c r="O405" i="36"/>
  <c r="P405" i="36"/>
  <c r="T405" i="36"/>
  <c r="X405" i="36" s="1"/>
  <c r="G406" i="36"/>
  <c r="J406" i="36"/>
  <c r="I406" i="36" s="1"/>
  <c r="K406" i="36"/>
  <c r="O406" i="36"/>
  <c r="P406" i="36"/>
  <c r="T406" i="36"/>
  <c r="X406" i="36" s="1"/>
  <c r="G407" i="36"/>
  <c r="J407" i="36"/>
  <c r="I407" i="36" s="1"/>
  <c r="K407" i="36"/>
  <c r="O407" i="36"/>
  <c r="P407" i="36"/>
  <c r="T407" i="36"/>
  <c r="X407" i="36" s="1"/>
  <c r="S408" i="36"/>
  <c r="Y408" i="36" s="1"/>
  <c r="G409" i="36"/>
  <c r="J409" i="36"/>
  <c r="I409" i="36" s="1"/>
  <c r="K409" i="36"/>
  <c r="O409" i="36"/>
  <c r="P409" i="36"/>
  <c r="T409" i="36"/>
  <c r="X409" i="36" s="1"/>
  <c r="G410" i="36"/>
  <c r="J410" i="36"/>
  <c r="I410" i="36" s="1"/>
  <c r="K410" i="36"/>
  <c r="O410" i="36"/>
  <c r="P410" i="36"/>
  <c r="T410" i="36"/>
  <c r="X410" i="36" s="1"/>
  <c r="G411" i="36"/>
  <c r="J411" i="36"/>
  <c r="I411" i="36" s="1"/>
  <c r="K411" i="36"/>
  <c r="O411" i="36"/>
  <c r="P411" i="36"/>
  <c r="T411" i="36"/>
  <c r="X411" i="36" s="1"/>
  <c r="G412" i="36"/>
  <c r="J412" i="36"/>
  <c r="I412" i="36" s="1"/>
  <c r="K412" i="36"/>
  <c r="O412" i="36"/>
  <c r="P412" i="36"/>
  <c r="T412" i="36"/>
  <c r="X412" i="36" s="1"/>
  <c r="G413" i="36"/>
  <c r="J413" i="36"/>
  <c r="I413" i="36" s="1"/>
  <c r="K413" i="36"/>
  <c r="O413" i="36"/>
  <c r="P413" i="36"/>
  <c r="T413" i="36"/>
  <c r="X413" i="36" s="1"/>
  <c r="G414" i="36"/>
  <c r="I414" i="36"/>
  <c r="J414" i="36"/>
  <c r="K414" i="36"/>
  <c r="O414" i="36"/>
  <c r="P414" i="36"/>
  <c r="T414" i="36"/>
  <c r="X414" i="36" s="1"/>
  <c r="G415" i="36"/>
  <c r="J415" i="36"/>
  <c r="I415" i="36" s="1"/>
  <c r="K415" i="36"/>
  <c r="O415" i="36"/>
  <c r="P415" i="36"/>
  <c r="T415" i="36"/>
  <c r="X415" i="36" s="1"/>
  <c r="G416" i="36"/>
  <c r="J416" i="36"/>
  <c r="I416" i="36" s="1"/>
  <c r="K416" i="36"/>
  <c r="O416" i="36"/>
  <c r="P416" i="36"/>
  <c r="T416" i="36"/>
  <c r="X416" i="36" s="1"/>
  <c r="G417" i="36"/>
  <c r="J417" i="36"/>
  <c r="I417" i="36" s="1"/>
  <c r="K417" i="36"/>
  <c r="O417" i="36"/>
  <c r="P417" i="36"/>
  <c r="T417" i="36"/>
  <c r="X417" i="36" s="1"/>
  <c r="G418" i="36"/>
  <c r="J418" i="36"/>
  <c r="I418" i="36" s="1"/>
  <c r="K418" i="36"/>
  <c r="O418" i="36"/>
  <c r="P418" i="36"/>
  <c r="T418" i="36"/>
  <c r="X418" i="36" s="1"/>
  <c r="G419" i="36"/>
  <c r="J419" i="36"/>
  <c r="I419" i="36" s="1"/>
  <c r="K419" i="36"/>
  <c r="O419" i="36"/>
  <c r="P419" i="36"/>
  <c r="T419" i="36"/>
  <c r="X419" i="36" s="1"/>
  <c r="G420" i="36"/>
  <c r="J420" i="36"/>
  <c r="I420" i="36" s="1"/>
  <c r="K420" i="36"/>
  <c r="O420" i="36"/>
  <c r="P420" i="36"/>
  <c r="T420" i="36"/>
  <c r="X420" i="36" s="1"/>
  <c r="G422" i="36"/>
  <c r="C422" i="36" s="1"/>
  <c r="J422" i="36"/>
  <c r="I422" i="36" s="1"/>
  <c r="K422" i="36"/>
  <c r="O422" i="36"/>
  <c r="P422" i="36"/>
  <c r="T422" i="36"/>
  <c r="X422" i="36" s="1"/>
  <c r="G423" i="36"/>
  <c r="C423" i="36" s="1"/>
  <c r="J423" i="36"/>
  <c r="K423" i="36"/>
  <c r="O423" i="36"/>
  <c r="P423" i="36"/>
  <c r="T423" i="36"/>
  <c r="X423" i="36" s="1"/>
  <c r="X34" i="51" l="1"/>
  <c r="X66" i="51"/>
  <c r="C127" i="51"/>
  <c r="X128" i="51"/>
  <c r="X165" i="51"/>
  <c r="X139" i="51"/>
  <c r="X169" i="51"/>
  <c r="X173" i="51"/>
  <c r="X28" i="51"/>
  <c r="X46" i="51"/>
  <c r="X121" i="51"/>
  <c r="X142" i="51"/>
  <c r="X129" i="51"/>
  <c r="X138" i="51"/>
  <c r="S119" i="51"/>
  <c r="X38" i="51"/>
  <c r="X36" i="51"/>
  <c r="X88" i="51"/>
  <c r="X91" i="51"/>
  <c r="C131" i="51"/>
  <c r="X132" i="51"/>
  <c r="X84" i="51"/>
  <c r="X92" i="51"/>
  <c r="X151" i="51"/>
  <c r="X67" i="51"/>
  <c r="X33" i="51"/>
  <c r="X35" i="51"/>
  <c r="X37" i="51"/>
  <c r="X41" i="51"/>
  <c r="X133" i="51"/>
  <c r="X143" i="51"/>
  <c r="X150" i="51"/>
  <c r="X52" i="51"/>
  <c r="X63" i="51"/>
  <c r="X113" i="51"/>
  <c r="X149" i="51"/>
  <c r="Y154" i="51"/>
  <c r="X27" i="51"/>
  <c r="X29" i="51"/>
  <c r="X59" i="51"/>
  <c r="X78" i="51"/>
  <c r="X103" i="51"/>
  <c r="S15" i="51"/>
  <c r="X60" i="51"/>
  <c r="X82" i="51"/>
  <c r="X112" i="51"/>
  <c r="S9" i="51"/>
  <c r="S24" i="51"/>
  <c r="S41" i="51"/>
  <c r="X86" i="51"/>
  <c r="X99" i="51"/>
  <c r="X108" i="51"/>
  <c r="X115" i="51"/>
  <c r="X120" i="51"/>
  <c r="X141" i="51"/>
  <c r="X147" i="51"/>
  <c r="X158" i="51"/>
  <c r="S20" i="51"/>
  <c r="S11" i="51"/>
  <c r="S22" i="51"/>
  <c r="X85" i="51"/>
  <c r="X107" i="51"/>
  <c r="X117" i="51"/>
  <c r="X171" i="51"/>
  <c r="S17" i="51"/>
  <c r="X42" i="51"/>
  <c r="X65" i="51"/>
  <c r="X77" i="51"/>
  <c r="C110" i="51"/>
  <c r="X111" i="51"/>
  <c r="S13" i="51"/>
  <c r="X47" i="51"/>
  <c r="X49" i="51"/>
  <c r="X51" i="51"/>
  <c r="X53" i="51"/>
  <c r="X55" i="51"/>
  <c r="X68" i="51"/>
  <c r="X74" i="51"/>
  <c r="X80" i="51"/>
  <c r="C92" i="51"/>
  <c r="X93" i="51"/>
  <c r="X116" i="51"/>
  <c r="X119" i="51"/>
  <c r="X125" i="51"/>
  <c r="X137" i="51"/>
  <c r="X156" i="51"/>
  <c r="S210" i="51"/>
  <c r="S353" i="51"/>
  <c r="S372" i="51"/>
  <c r="S197" i="51"/>
  <c r="S204" i="51"/>
  <c r="Y204" i="51" s="1"/>
  <c r="Y152" i="51"/>
  <c r="S38" i="51"/>
  <c r="N47" i="51"/>
  <c r="S47" i="51" s="1"/>
  <c r="N49" i="51"/>
  <c r="N51" i="51"/>
  <c r="S51" i="51" s="1"/>
  <c r="N55" i="51"/>
  <c r="S55" i="51" s="1"/>
  <c r="X58" i="51"/>
  <c r="X62" i="51"/>
  <c r="X72" i="51"/>
  <c r="C74" i="51"/>
  <c r="X75" i="51"/>
  <c r="X79" i="51"/>
  <c r="N89" i="51"/>
  <c r="X89" i="51"/>
  <c r="N98" i="51"/>
  <c r="S98" i="51" s="1"/>
  <c r="X98" i="51"/>
  <c r="C115" i="51"/>
  <c r="C119" i="51"/>
  <c r="C124" i="51"/>
  <c r="N134" i="51"/>
  <c r="C137" i="51"/>
  <c r="C345" i="51" s="1"/>
  <c r="X160" i="51"/>
  <c r="R165" i="51"/>
  <c r="S165" i="51" s="1"/>
  <c r="R190" i="51"/>
  <c r="D234" i="51"/>
  <c r="N345" i="51"/>
  <c r="S345" i="51" s="1"/>
  <c r="X350" i="51"/>
  <c r="R352" i="51"/>
  <c r="R354" i="51"/>
  <c r="R355" i="51"/>
  <c r="S384" i="51"/>
  <c r="S385" i="51"/>
  <c r="Y385" i="51" s="1"/>
  <c r="N394" i="51"/>
  <c r="R402" i="51"/>
  <c r="R403" i="51"/>
  <c r="S419" i="51"/>
  <c r="X7" i="51"/>
  <c r="X9" i="51"/>
  <c r="X11" i="51"/>
  <c r="Y11" i="51" s="1"/>
  <c r="X13" i="51"/>
  <c r="X15" i="51"/>
  <c r="X17" i="51"/>
  <c r="X20" i="51"/>
  <c r="X22" i="51"/>
  <c r="X24" i="51"/>
  <c r="Y24" i="51" s="1"/>
  <c r="X26" i="51"/>
  <c r="N35" i="51"/>
  <c r="S35" i="51" s="1"/>
  <c r="Y35" i="51" s="1"/>
  <c r="N43" i="51"/>
  <c r="S43" i="51" s="1"/>
  <c r="Y43" i="51" s="1"/>
  <c r="S58" i="51"/>
  <c r="N64" i="51"/>
  <c r="S74" i="51"/>
  <c r="Y74" i="51" s="1"/>
  <c r="N81" i="51"/>
  <c r="S86" i="51"/>
  <c r="N94" i="51"/>
  <c r="S94" i="51" s="1"/>
  <c r="Y94" i="51" s="1"/>
  <c r="N102" i="51"/>
  <c r="S102" i="51" s="1"/>
  <c r="X102" i="51"/>
  <c r="N106" i="51"/>
  <c r="S106" i="51" s="1"/>
  <c r="X106" i="51"/>
  <c r="X130" i="51"/>
  <c r="C132" i="51"/>
  <c r="X134" i="51"/>
  <c r="S137" i="51"/>
  <c r="N175" i="51"/>
  <c r="S175" i="51" s="1"/>
  <c r="N180" i="51"/>
  <c r="R193" i="51"/>
  <c r="X207" i="51"/>
  <c r="O233" i="51"/>
  <c r="X347" i="51"/>
  <c r="S387" i="51"/>
  <c r="S407" i="51"/>
  <c r="Y407" i="51" s="1"/>
  <c r="S415" i="51"/>
  <c r="Y415" i="51" s="1"/>
  <c r="I228" i="51"/>
  <c r="N26" i="51"/>
  <c r="S26" i="51" s="1"/>
  <c r="N32" i="51"/>
  <c r="N40" i="51"/>
  <c r="S40" i="51" s="1"/>
  <c r="Y40" i="51" s="1"/>
  <c r="S92" i="51"/>
  <c r="Y92" i="51" s="1"/>
  <c r="X97" i="51"/>
  <c r="N124" i="51"/>
  <c r="S124" i="51" s="1"/>
  <c r="X124" i="51"/>
  <c r="N137" i="51"/>
  <c r="X155" i="51"/>
  <c r="N172" i="51"/>
  <c r="C173" i="51"/>
  <c r="C381" i="51" s="1"/>
  <c r="N185" i="51"/>
  <c r="S185" i="51" s="1"/>
  <c r="Y185" i="51" s="1"/>
  <c r="X190" i="51"/>
  <c r="C196" i="51"/>
  <c r="C404" i="51" s="1"/>
  <c r="X201" i="51"/>
  <c r="N203" i="51"/>
  <c r="R361" i="51"/>
  <c r="N376" i="51"/>
  <c r="N393" i="51"/>
  <c r="R397" i="51"/>
  <c r="R401" i="51"/>
  <c r="S401" i="51" s="1"/>
  <c r="Y401" i="51" s="1"/>
  <c r="S410" i="51"/>
  <c r="S412" i="51"/>
  <c r="Y412" i="51" s="1"/>
  <c r="S413" i="51"/>
  <c r="N37" i="51"/>
  <c r="N46" i="51"/>
  <c r="S46" i="51" s="1"/>
  <c r="X48" i="51"/>
  <c r="X50" i="51"/>
  <c r="S54" i="51"/>
  <c r="X54" i="51"/>
  <c r="S56" i="51"/>
  <c r="X56" i="51"/>
  <c r="X61" i="51"/>
  <c r="N71" i="51"/>
  <c r="N88" i="51"/>
  <c r="C90" i="51"/>
  <c r="N107" i="51"/>
  <c r="N112" i="51"/>
  <c r="S112" i="51" s="1"/>
  <c r="Y112" i="51" s="1"/>
  <c r="N128" i="51"/>
  <c r="S128" i="51" s="1"/>
  <c r="N132" i="51"/>
  <c r="S132" i="51" s="1"/>
  <c r="N141" i="51"/>
  <c r="S141" i="51" s="1"/>
  <c r="X146" i="51"/>
  <c r="R163" i="51"/>
  <c r="N165" i="51"/>
  <c r="X166" i="51"/>
  <c r="X168" i="51"/>
  <c r="R175" i="51"/>
  <c r="C180" i="51"/>
  <c r="C388" i="51" s="1"/>
  <c r="N188" i="51"/>
  <c r="N193" i="51"/>
  <c r="S193" i="51" s="1"/>
  <c r="Y193" i="51" s="1"/>
  <c r="C192" i="51"/>
  <c r="N205" i="51"/>
  <c r="X214" i="51"/>
  <c r="S364" i="51"/>
  <c r="Y364" i="51" s="1"/>
  <c r="S370" i="51"/>
  <c r="Y370" i="51" s="1"/>
  <c r="S404" i="51"/>
  <c r="N411" i="51"/>
  <c r="N34" i="51"/>
  <c r="N42" i="51"/>
  <c r="S42" i="51" s="1"/>
  <c r="N48" i="51"/>
  <c r="S48" i="51" s="1"/>
  <c r="N50" i="51"/>
  <c r="S50" i="51" s="1"/>
  <c r="N52" i="51"/>
  <c r="S52" i="51" s="1"/>
  <c r="Y52" i="51" s="1"/>
  <c r="N54" i="51"/>
  <c r="N56" i="51"/>
  <c r="N60" i="51"/>
  <c r="N77" i="51"/>
  <c r="N91" i="51"/>
  <c r="S91" i="51" s="1"/>
  <c r="Y91" i="51" s="1"/>
  <c r="X114" i="51"/>
  <c r="N120" i="51"/>
  <c r="S120" i="51" s="1"/>
  <c r="C125" i="51"/>
  <c r="C140" i="51"/>
  <c r="X145" i="51"/>
  <c r="N163" i="51"/>
  <c r="N168" i="51"/>
  <c r="C380" i="51"/>
  <c r="C171" i="51"/>
  <c r="C379" i="51" s="1"/>
  <c r="R173" i="51"/>
  <c r="U230" i="51"/>
  <c r="K230" i="51"/>
  <c r="X181" i="51"/>
  <c r="R191" i="51"/>
  <c r="S191" i="51" s="1"/>
  <c r="Y191" i="51" s="1"/>
  <c r="N204" i="51"/>
  <c r="S346" i="51"/>
  <c r="Y346" i="51" s="1"/>
  <c r="N368" i="51"/>
  <c r="S368" i="51" s="1"/>
  <c r="Y368" i="51" s="1"/>
  <c r="N374" i="51"/>
  <c r="N409" i="51"/>
  <c r="S396" i="51"/>
  <c r="X6" i="51"/>
  <c r="X8" i="51"/>
  <c r="X10" i="51"/>
  <c r="X12" i="51"/>
  <c r="X14" i="51"/>
  <c r="X16" i="51"/>
  <c r="X19" i="51"/>
  <c r="X21" i="51"/>
  <c r="X23" i="51"/>
  <c r="X25" i="51"/>
  <c r="N30" i="51"/>
  <c r="S30" i="51" s="1"/>
  <c r="Y30" i="51" s="1"/>
  <c r="N39" i="51"/>
  <c r="S39" i="51" s="1"/>
  <c r="Y39" i="51" s="1"/>
  <c r="N73" i="51"/>
  <c r="S73" i="51" s="1"/>
  <c r="X73" i="51"/>
  <c r="N90" i="51"/>
  <c r="C93" i="51"/>
  <c r="N114" i="51"/>
  <c r="S114" i="51" s="1"/>
  <c r="X127" i="51"/>
  <c r="C147" i="51"/>
  <c r="C355" i="51" s="1"/>
  <c r="R149" i="51"/>
  <c r="S149" i="51" s="1"/>
  <c r="R151" i="51"/>
  <c r="S151" i="51" s="1"/>
  <c r="Y151" i="51" s="1"/>
  <c r="R155" i="51"/>
  <c r="L230" i="51"/>
  <c r="R179" i="51"/>
  <c r="C391" i="51"/>
  <c r="C181" i="51"/>
  <c r="M231" i="51"/>
  <c r="N196" i="51"/>
  <c r="Y344" i="51"/>
  <c r="R375" i="51"/>
  <c r="S375" i="51" s="1"/>
  <c r="Y375" i="51" s="1"/>
  <c r="S400" i="51"/>
  <c r="Y400" i="51" s="1"/>
  <c r="N402" i="51"/>
  <c r="S389" i="51"/>
  <c r="N6" i="51"/>
  <c r="S6" i="51" s="1"/>
  <c r="N8" i="51"/>
  <c r="S8" i="51" s="1"/>
  <c r="N10" i="51"/>
  <c r="S10" i="51" s="1"/>
  <c r="N12" i="51"/>
  <c r="S12" i="51" s="1"/>
  <c r="N14" i="51"/>
  <c r="S14" i="51" s="1"/>
  <c r="N16" i="51"/>
  <c r="S16" i="51" s="1"/>
  <c r="N19" i="51"/>
  <c r="S19" i="51" s="1"/>
  <c r="N21" i="51"/>
  <c r="S21" i="51" s="1"/>
  <c r="N23" i="51"/>
  <c r="S23" i="51" s="1"/>
  <c r="N25" i="51"/>
  <c r="S25" i="51" s="1"/>
  <c r="N27" i="51"/>
  <c r="S27" i="51" s="1"/>
  <c r="Y27" i="51" s="1"/>
  <c r="N36" i="51"/>
  <c r="S36" i="51" s="1"/>
  <c r="N45" i="51"/>
  <c r="S45" i="51" s="1"/>
  <c r="Y45" i="51" s="1"/>
  <c r="C58" i="51"/>
  <c r="N69" i="51"/>
  <c r="X69" i="51"/>
  <c r="C72" i="51"/>
  <c r="N87" i="51"/>
  <c r="S87" i="51" s="1"/>
  <c r="X87" i="51"/>
  <c r="C89" i="51"/>
  <c r="N104" i="51"/>
  <c r="X104" i="51"/>
  <c r="N127" i="51"/>
  <c r="S127" i="51" s="1"/>
  <c r="N140" i="51"/>
  <c r="S140" i="51" s="1"/>
  <c r="R146" i="51"/>
  <c r="S146" i="51" s="1"/>
  <c r="N160" i="51"/>
  <c r="N162" i="51"/>
  <c r="S162" i="51" s="1"/>
  <c r="X162" i="51"/>
  <c r="C169" i="51"/>
  <c r="X175" i="51"/>
  <c r="X176" i="51"/>
  <c r="X186" i="51"/>
  <c r="C397" i="51"/>
  <c r="X204" i="51"/>
  <c r="N355" i="51"/>
  <c r="S355" i="51" s="1"/>
  <c r="Y355" i="51" s="1"/>
  <c r="S357" i="51"/>
  <c r="S398" i="51"/>
  <c r="R405" i="51"/>
  <c r="R409" i="51"/>
  <c r="S424" i="36"/>
  <c r="N216" i="36"/>
  <c r="R216" i="36"/>
  <c r="X216" i="36"/>
  <c r="Y349" i="51"/>
  <c r="Y347" i="51"/>
  <c r="S34" i="51"/>
  <c r="Y34" i="51" s="1"/>
  <c r="S37" i="51"/>
  <c r="S33" i="51"/>
  <c r="S172" i="51"/>
  <c r="S103" i="51"/>
  <c r="X234" i="51"/>
  <c r="S32" i="51"/>
  <c r="Y32" i="51" s="1"/>
  <c r="S49" i="51"/>
  <c r="S53" i="51"/>
  <c r="S168" i="51"/>
  <c r="S116" i="51"/>
  <c r="S81" i="51"/>
  <c r="Y81" i="51" s="1"/>
  <c r="J228" i="51"/>
  <c r="N7" i="51"/>
  <c r="G228" i="51"/>
  <c r="N28" i="51"/>
  <c r="S28" i="51" s="1"/>
  <c r="H228" i="51"/>
  <c r="P228" i="51"/>
  <c r="C77" i="51"/>
  <c r="S77" i="51"/>
  <c r="N150" i="51"/>
  <c r="S150" i="51" s="1"/>
  <c r="Y150" i="51" s="1"/>
  <c r="C111" i="51"/>
  <c r="S111" i="51"/>
  <c r="S189" i="51"/>
  <c r="Y189" i="51" s="1"/>
  <c r="U228" i="51"/>
  <c r="C60" i="51"/>
  <c r="S60" i="51"/>
  <c r="S99" i="51"/>
  <c r="C99" i="51"/>
  <c r="K228" i="51"/>
  <c r="L228" i="51"/>
  <c r="V228" i="51"/>
  <c r="S64" i="51"/>
  <c r="Y64" i="51" s="1"/>
  <c r="N68" i="51"/>
  <c r="S68" i="51" s="1"/>
  <c r="S75" i="51"/>
  <c r="Y75" i="51" s="1"/>
  <c r="X105" i="51"/>
  <c r="M228" i="51"/>
  <c r="N29" i="51"/>
  <c r="S29" i="51" s="1"/>
  <c r="X71" i="51"/>
  <c r="N105" i="51"/>
  <c r="S105" i="51" s="1"/>
  <c r="X140" i="51"/>
  <c r="Y140" i="51" s="1"/>
  <c r="X178" i="51"/>
  <c r="T230" i="51"/>
  <c r="S138" i="51"/>
  <c r="C138" i="51"/>
  <c r="C346" i="51" s="1"/>
  <c r="O228" i="51"/>
  <c r="C112" i="51"/>
  <c r="C152" i="51"/>
  <c r="C360" i="51" s="1"/>
  <c r="G229" i="51"/>
  <c r="O229" i="51"/>
  <c r="R153" i="51"/>
  <c r="S153" i="51" s="1"/>
  <c r="S155" i="51"/>
  <c r="C154" i="51"/>
  <c r="C362" i="51" s="1"/>
  <c r="S69" i="51"/>
  <c r="Y69" i="51" s="1"/>
  <c r="S71" i="51"/>
  <c r="S72" i="51"/>
  <c r="S88" i="51"/>
  <c r="S89" i="51"/>
  <c r="S90" i="51"/>
  <c r="Y90" i="51" s="1"/>
  <c r="N93" i="51"/>
  <c r="S93" i="51" s="1"/>
  <c r="N95" i="51"/>
  <c r="S95" i="51" s="1"/>
  <c r="Y95" i="51" s="1"/>
  <c r="S104" i="51"/>
  <c r="S115" i="51"/>
  <c r="Y115" i="51" s="1"/>
  <c r="N118" i="51"/>
  <c r="S118" i="51" s="1"/>
  <c r="X118" i="51"/>
  <c r="S125" i="51"/>
  <c r="N147" i="51"/>
  <c r="S147" i="51" s="1"/>
  <c r="Y147" i="51" s="1"/>
  <c r="C150" i="51"/>
  <c r="C358" i="51" s="1"/>
  <c r="N59" i="51"/>
  <c r="S59" i="51" s="1"/>
  <c r="Y59" i="51" s="1"/>
  <c r="N76" i="51"/>
  <c r="S76" i="51" s="1"/>
  <c r="Y76" i="51" s="1"/>
  <c r="N126" i="51"/>
  <c r="S126" i="51" s="1"/>
  <c r="Y126" i="51" s="1"/>
  <c r="S129" i="51"/>
  <c r="C129" i="51"/>
  <c r="S157" i="51"/>
  <c r="Y157" i="51" s="1"/>
  <c r="C156" i="51"/>
  <c r="C190" i="51"/>
  <c r="C398" i="51" s="1"/>
  <c r="O232" i="51"/>
  <c r="R194" i="51"/>
  <c r="S194" i="51" s="1"/>
  <c r="Y194" i="51" s="1"/>
  <c r="S199" i="51"/>
  <c r="Y199" i="51" s="1"/>
  <c r="C195" i="51"/>
  <c r="C403" i="51" s="1"/>
  <c r="S377" i="51"/>
  <c r="Y377" i="51" s="1"/>
  <c r="C377" i="51"/>
  <c r="N101" i="51"/>
  <c r="S101" i="51" s="1"/>
  <c r="X101" i="51"/>
  <c r="S107" i="51"/>
  <c r="N113" i="51"/>
  <c r="S113" i="51" s="1"/>
  <c r="Y113" i="51" s="1"/>
  <c r="C116" i="51"/>
  <c r="X131" i="51"/>
  <c r="N139" i="51"/>
  <c r="S139" i="51" s="1"/>
  <c r="S142" i="51"/>
  <c r="Y142" i="51" s="1"/>
  <c r="C142" i="51"/>
  <c r="C350" i="51" s="1"/>
  <c r="R228" i="51"/>
  <c r="V229" i="51"/>
  <c r="N156" i="51"/>
  <c r="S156" i="51" s="1"/>
  <c r="Y156" i="51" s="1"/>
  <c r="S159" i="51"/>
  <c r="C158" i="51"/>
  <c r="C366" i="51" s="1"/>
  <c r="J230" i="51"/>
  <c r="N61" i="51"/>
  <c r="S61" i="51" s="1"/>
  <c r="N62" i="51"/>
  <c r="S62" i="51" s="1"/>
  <c r="N63" i="51"/>
  <c r="S63" i="51" s="1"/>
  <c r="N78" i="51"/>
  <c r="S78" i="51" s="1"/>
  <c r="N79" i="51"/>
  <c r="S79" i="51" s="1"/>
  <c r="Y79" i="51" s="1"/>
  <c r="N80" i="51"/>
  <c r="S80" i="51" s="1"/>
  <c r="Y80" i="51" s="1"/>
  <c r="N100" i="51"/>
  <c r="S100" i="51" s="1"/>
  <c r="Y100" i="51" s="1"/>
  <c r="C103" i="51"/>
  <c r="N123" i="51"/>
  <c r="S123" i="51" s="1"/>
  <c r="X123" i="51"/>
  <c r="N131" i="51"/>
  <c r="S131" i="51" s="1"/>
  <c r="S144" i="51"/>
  <c r="Y144" i="51" s="1"/>
  <c r="C144" i="51"/>
  <c r="C352" i="51" s="1"/>
  <c r="N158" i="51"/>
  <c r="S158" i="51" s="1"/>
  <c r="X172" i="51"/>
  <c r="N110" i="51"/>
  <c r="S110" i="51" s="1"/>
  <c r="X110" i="51"/>
  <c r="N121" i="51"/>
  <c r="S121" i="51" s="1"/>
  <c r="Y121" i="51" s="1"/>
  <c r="N130" i="51"/>
  <c r="S130" i="51" s="1"/>
  <c r="S133" i="51"/>
  <c r="C133" i="51"/>
  <c r="X136" i="51"/>
  <c r="N143" i="51"/>
  <c r="S143" i="51" s="1"/>
  <c r="C146" i="51"/>
  <c r="C354" i="51" s="1"/>
  <c r="D229" i="51"/>
  <c r="C149" i="51"/>
  <c r="C357" i="51" s="1"/>
  <c r="N166" i="51"/>
  <c r="S166" i="51" s="1"/>
  <c r="D228" i="51"/>
  <c r="N65" i="51"/>
  <c r="S65" i="51" s="1"/>
  <c r="Y65" i="51" s="1"/>
  <c r="N66" i="51"/>
  <c r="S66" i="51" s="1"/>
  <c r="Y66" i="51" s="1"/>
  <c r="N67" i="51"/>
  <c r="S67" i="51" s="1"/>
  <c r="N82" i="51"/>
  <c r="S82" i="51" s="1"/>
  <c r="Y82" i="51" s="1"/>
  <c r="N84" i="51"/>
  <c r="S84" i="51" s="1"/>
  <c r="Y84" i="51" s="1"/>
  <c r="N85" i="51"/>
  <c r="S85" i="51" s="1"/>
  <c r="N97" i="51"/>
  <c r="S97" i="51" s="1"/>
  <c r="N108" i="51"/>
  <c r="S108" i="51" s="1"/>
  <c r="S117" i="51"/>
  <c r="Y117" i="51" s="1"/>
  <c r="S134" i="51"/>
  <c r="N136" i="51"/>
  <c r="S136" i="51" s="1"/>
  <c r="N145" i="51"/>
  <c r="S145" i="51" s="1"/>
  <c r="S163" i="51"/>
  <c r="Y163" i="51" s="1"/>
  <c r="N167" i="51"/>
  <c r="S167" i="51" s="1"/>
  <c r="Y167" i="51" s="1"/>
  <c r="N176" i="51"/>
  <c r="S176" i="51" s="1"/>
  <c r="N178" i="51"/>
  <c r="S178" i="51" s="1"/>
  <c r="X183" i="51"/>
  <c r="R196" i="51"/>
  <c r="S196" i="51" s="1"/>
  <c r="Y196" i="51" s="1"/>
  <c r="Y197" i="51"/>
  <c r="S202" i="51"/>
  <c r="Y202" i="51" s="1"/>
  <c r="L232" i="51"/>
  <c r="Y357" i="51"/>
  <c r="S362" i="51"/>
  <c r="Y362" i="51" s="1"/>
  <c r="C363" i="51"/>
  <c r="R374" i="51"/>
  <c r="S374" i="51" s="1"/>
  <c r="Y374" i="51" s="1"/>
  <c r="N397" i="51"/>
  <c r="S397" i="51" s="1"/>
  <c r="Y397" i="51" s="1"/>
  <c r="R406" i="51"/>
  <c r="P229" i="51"/>
  <c r="C163" i="51"/>
  <c r="C371" i="51" s="1"/>
  <c r="N169" i="51"/>
  <c r="S169" i="51" s="1"/>
  <c r="Y169" i="51" s="1"/>
  <c r="C179" i="51"/>
  <c r="R182" i="51"/>
  <c r="S182" i="51" s="1"/>
  <c r="Y182" i="51" s="1"/>
  <c r="C182" i="51"/>
  <c r="C390" i="51" s="1"/>
  <c r="C184" i="51"/>
  <c r="C392" i="51" s="1"/>
  <c r="S188" i="51"/>
  <c r="Y188" i="51" s="1"/>
  <c r="N198" i="51"/>
  <c r="S198" i="51" s="1"/>
  <c r="Y198" i="51" s="1"/>
  <c r="S352" i="51"/>
  <c r="Y352" i="51" s="1"/>
  <c r="Q228" i="51"/>
  <c r="S160" i="51"/>
  <c r="L229" i="51"/>
  <c r="K229" i="51"/>
  <c r="N201" i="51"/>
  <c r="S206" i="51"/>
  <c r="Y206" i="51" s="1"/>
  <c r="G233" i="51"/>
  <c r="S380" i="51"/>
  <c r="Y387" i="51"/>
  <c r="Y417" i="51"/>
  <c r="T229" i="51"/>
  <c r="C383" i="51"/>
  <c r="M230" i="51"/>
  <c r="S177" i="51"/>
  <c r="Y177" i="51" s="1"/>
  <c r="C176" i="51"/>
  <c r="C384" i="51" s="1"/>
  <c r="S179" i="51"/>
  <c r="Y179" i="51" s="1"/>
  <c r="N190" i="51"/>
  <c r="I231" i="51"/>
  <c r="N192" i="51"/>
  <c r="S192" i="51" s="1"/>
  <c r="M232" i="51"/>
  <c r="N207" i="51"/>
  <c r="N208" i="51"/>
  <c r="S208" i="51" s="1"/>
  <c r="Y210" i="51"/>
  <c r="C414" i="51"/>
  <c r="S414" i="51"/>
  <c r="Y414" i="51" s="1"/>
  <c r="I229" i="51"/>
  <c r="D230" i="51"/>
  <c r="V230" i="51"/>
  <c r="P230" i="51"/>
  <c r="C165" i="51"/>
  <c r="C373" i="51" s="1"/>
  <c r="D231" i="51"/>
  <c r="N181" i="51"/>
  <c r="S181" i="51" s="1"/>
  <c r="Y181" i="51" s="1"/>
  <c r="N183" i="51"/>
  <c r="S183" i="51" s="1"/>
  <c r="N186" i="51"/>
  <c r="S186" i="51" s="1"/>
  <c r="Y186" i="51" s="1"/>
  <c r="S205" i="51"/>
  <c r="Y205" i="51" s="1"/>
  <c r="U232" i="51"/>
  <c r="N212" i="51"/>
  <c r="S212" i="51" s="1"/>
  <c r="Y212" i="51" s="1"/>
  <c r="Y392" i="51"/>
  <c r="C399" i="51"/>
  <c r="S399" i="51"/>
  <c r="Y399" i="51" s="1"/>
  <c r="S411" i="51"/>
  <c r="Y411" i="51" s="1"/>
  <c r="C411" i="51"/>
  <c r="H229" i="51"/>
  <c r="X159" i="51"/>
  <c r="J229" i="51"/>
  <c r="X164" i="51"/>
  <c r="Y164" i="51" s="1"/>
  <c r="X170" i="51"/>
  <c r="Y170" i="51" s="1"/>
  <c r="N173" i="51"/>
  <c r="T231" i="51"/>
  <c r="X192" i="51"/>
  <c r="X232" i="51" s="1"/>
  <c r="S203" i="51"/>
  <c r="Y203" i="51" s="1"/>
  <c r="C198" i="51"/>
  <c r="C406" i="51" s="1"/>
  <c r="X208" i="51"/>
  <c r="N211" i="51"/>
  <c r="X209" i="51"/>
  <c r="R379" i="51"/>
  <c r="S379" i="51" s="1"/>
  <c r="Y379" i="51" s="1"/>
  <c r="Y384" i="51"/>
  <c r="S390" i="51"/>
  <c r="Y390" i="51" s="1"/>
  <c r="Y398" i="51"/>
  <c r="S409" i="51"/>
  <c r="Y413" i="51"/>
  <c r="G230" i="51"/>
  <c r="O230" i="51"/>
  <c r="S171" i="51"/>
  <c r="Y171" i="51" s="1"/>
  <c r="O231" i="51"/>
  <c r="S184" i="51"/>
  <c r="Y184" i="51" s="1"/>
  <c r="P232" i="51"/>
  <c r="D233" i="51"/>
  <c r="H233" i="51"/>
  <c r="C207" i="51"/>
  <c r="C415" i="51" s="1"/>
  <c r="D232" i="51"/>
  <c r="C344" i="51"/>
  <c r="C348" i="51"/>
  <c r="S348" i="51"/>
  <c r="Y348" i="51" s="1"/>
  <c r="S350" i="51"/>
  <c r="Y350" i="51" s="1"/>
  <c r="Y353" i="51"/>
  <c r="S358" i="51"/>
  <c r="Y358" i="51" s="1"/>
  <c r="Y365" i="51"/>
  <c r="Y372" i="51"/>
  <c r="N378" i="51"/>
  <c r="S378" i="51" s="1"/>
  <c r="Y378" i="51" s="1"/>
  <c r="S386" i="51"/>
  <c r="Y386" i="51" s="1"/>
  <c r="C387" i="51"/>
  <c r="S393" i="51"/>
  <c r="Y393" i="51" s="1"/>
  <c r="P231" i="51"/>
  <c r="G232" i="51"/>
  <c r="I232" i="51"/>
  <c r="R207" i="51"/>
  <c r="S207" i="51" s="1"/>
  <c r="Y207" i="51" s="1"/>
  <c r="R211" i="51"/>
  <c r="S211" i="51" s="1"/>
  <c r="Y211" i="51" s="1"/>
  <c r="S354" i="51"/>
  <c r="Y354" i="51" s="1"/>
  <c r="S359" i="51"/>
  <c r="Y359" i="51" s="1"/>
  <c r="R363" i="51"/>
  <c r="S363" i="51" s="1"/>
  <c r="Y363" i="51" s="1"/>
  <c r="S373" i="51"/>
  <c r="Y373" i="51" s="1"/>
  <c r="Y380" i="51"/>
  <c r="R383" i="51"/>
  <c r="S383" i="51" s="1"/>
  <c r="Y383" i="51" s="1"/>
  <c r="S402" i="51"/>
  <c r="Y402" i="51" s="1"/>
  <c r="S403" i="51"/>
  <c r="Y403" i="51" s="1"/>
  <c r="S416" i="51"/>
  <c r="Y416" i="51" s="1"/>
  <c r="S417" i="51"/>
  <c r="S418" i="51"/>
  <c r="Y418" i="51" s="1"/>
  <c r="C419" i="51"/>
  <c r="R422" i="51"/>
  <c r="S422" i="51" s="1"/>
  <c r="Y422" i="51" s="1"/>
  <c r="M229" i="51"/>
  <c r="I230" i="51"/>
  <c r="G231" i="51"/>
  <c r="H232" i="51"/>
  <c r="P233" i="51"/>
  <c r="C215" i="51"/>
  <c r="S351" i="51"/>
  <c r="Y351" i="51" s="1"/>
  <c r="N366" i="51"/>
  <c r="S366" i="51" s="1"/>
  <c r="Y366" i="51" s="1"/>
  <c r="S367" i="51"/>
  <c r="Y367" i="51" s="1"/>
  <c r="S381" i="51"/>
  <c r="Y381" i="51" s="1"/>
  <c r="S388" i="51"/>
  <c r="Y388" i="51" s="1"/>
  <c r="S394" i="51"/>
  <c r="Y394" i="51" s="1"/>
  <c r="Y404" i="51"/>
  <c r="C407" i="51"/>
  <c r="Y419" i="51"/>
  <c r="H231" i="51"/>
  <c r="R180" i="51"/>
  <c r="J231" i="51"/>
  <c r="Q233" i="51"/>
  <c r="N209" i="51"/>
  <c r="S209" i="51" s="1"/>
  <c r="N214" i="51"/>
  <c r="Y345" i="51"/>
  <c r="R358" i="51"/>
  <c r="Y360" i="51"/>
  <c r="C368" i="51"/>
  <c r="C375" i="51"/>
  <c r="C389" i="51"/>
  <c r="R391" i="51"/>
  <c r="S391" i="51" s="1"/>
  <c r="Y391" i="51" s="1"/>
  <c r="C396" i="51"/>
  <c r="S406" i="51"/>
  <c r="Y406" i="51" s="1"/>
  <c r="R215" i="51"/>
  <c r="S361" i="51"/>
  <c r="Y361" i="51" s="1"/>
  <c r="R366" i="51"/>
  <c r="R371" i="51"/>
  <c r="S371" i="51" s="1"/>
  <c r="Y371" i="51" s="1"/>
  <c r="S376" i="51"/>
  <c r="Y376" i="51" s="1"/>
  <c r="Y389" i="51"/>
  <c r="Y396" i="51"/>
  <c r="N405" i="51"/>
  <c r="S405" i="51" s="1"/>
  <c r="Y405" i="51" s="1"/>
  <c r="Y409" i="51"/>
  <c r="Y410" i="51"/>
  <c r="N420" i="51"/>
  <c r="S420" i="51" s="1"/>
  <c r="Y420" i="51" s="1"/>
  <c r="C351" i="51"/>
  <c r="C364" i="51"/>
  <c r="C376" i="51"/>
  <c r="C400" i="51"/>
  <c r="C370" i="51"/>
  <c r="C378" i="51"/>
  <c r="C402" i="51"/>
  <c r="C409" i="51"/>
  <c r="C417" i="51"/>
  <c r="N354" i="36"/>
  <c r="X351" i="36"/>
  <c r="N345" i="36"/>
  <c r="S345" i="36" s="1"/>
  <c r="X354" i="36"/>
  <c r="R353" i="36"/>
  <c r="R414" i="36"/>
  <c r="R394" i="36"/>
  <c r="R401" i="36"/>
  <c r="N344" i="36"/>
  <c r="N410" i="36"/>
  <c r="N419" i="36"/>
  <c r="R357" i="36"/>
  <c r="R420" i="36"/>
  <c r="N400" i="36"/>
  <c r="R397" i="36"/>
  <c r="R407" i="36"/>
  <c r="N407" i="36"/>
  <c r="R381" i="36"/>
  <c r="N380" i="36"/>
  <c r="R377" i="36"/>
  <c r="N394" i="36"/>
  <c r="R389" i="36"/>
  <c r="R385" i="36"/>
  <c r="R367" i="36"/>
  <c r="N365" i="36"/>
  <c r="X352" i="36"/>
  <c r="R350" i="36"/>
  <c r="R375" i="36"/>
  <c r="R390" i="36"/>
  <c r="N405" i="36"/>
  <c r="R355" i="36"/>
  <c r="R418" i="36"/>
  <c r="R417" i="36"/>
  <c r="R399" i="36"/>
  <c r="R359" i="36"/>
  <c r="N384" i="36"/>
  <c r="N393" i="36"/>
  <c r="R411" i="36"/>
  <c r="N409" i="36"/>
  <c r="N396" i="36"/>
  <c r="R363" i="36"/>
  <c r="N422" i="36"/>
  <c r="R413" i="36"/>
  <c r="R406" i="36"/>
  <c r="R373" i="36"/>
  <c r="N372" i="36"/>
  <c r="R409" i="36"/>
  <c r="N377" i="36"/>
  <c r="R362" i="36"/>
  <c r="N413" i="36"/>
  <c r="N392" i="36"/>
  <c r="N360" i="36"/>
  <c r="N374" i="36"/>
  <c r="R371" i="36"/>
  <c r="N351" i="36"/>
  <c r="R422" i="36"/>
  <c r="R416" i="36"/>
  <c r="N415" i="36"/>
  <c r="R400" i="36"/>
  <c r="N399" i="36"/>
  <c r="N368" i="36"/>
  <c r="N361" i="36"/>
  <c r="N352" i="36"/>
  <c r="N418" i="36"/>
  <c r="S418" i="36" s="1"/>
  <c r="Y418" i="36" s="1"/>
  <c r="R412" i="36"/>
  <c r="N411" i="36"/>
  <c r="R405" i="36"/>
  <c r="N403" i="36"/>
  <c r="R398" i="36"/>
  <c r="N376" i="36"/>
  <c r="N349" i="36"/>
  <c r="S349" i="36" s="1"/>
  <c r="N348" i="36"/>
  <c r="S348" i="36" s="1"/>
  <c r="R415" i="36"/>
  <c r="N412" i="36"/>
  <c r="N363" i="36"/>
  <c r="X346" i="36"/>
  <c r="N420" i="36"/>
  <c r="S420" i="36" s="1"/>
  <c r="Y420" i="36" s="1"/>
  <c r="R374" i="36"/>
  <c r="N373" i="36"/>
  <c r="R352" i="36"/>
  <c r="R402" i="36"/>
  <c r="R396" i="36"/>
  <c r="R386" i="36"/>
  <c r="R380" i="36"/>
  <c r="R361" i="36"/>
  <c r="I423" i="36"/>
  <c r="N423" i="36" s="1"/>
  <c r="N416" i="36"/>
  <c r="R404" i="36"/>
  <c r="R403" i="36"/>
  <c r="N401" i="36"/>
  <c r="R387" i="36"/>
  <c r="R376" i="36"/>
  <c r="N366" i="36"/>
  <c r="X350" i="36"/>
  <c r="X348" i="36"/>
  <c r="N357" i="36"/>
  <c r="N397" i="36"/>
  <c r="R393" i="36"/>
  <c r="R392" i="36"/>
  <c r="R391" i="36"/>
  <c r="R388" i="36"/>
  <c r="N385" i="36"/>
  <c r="N381" i="36"/>
  <c r="N379" i="36"/>
  <c r="R378" i="36"/>
  <c r="N375" i="36"/>
  <c r="N364" i="36"/>
  <c r="N362" i="36"/>
  <c r="R354" i="36"/>
  <c r="X349" i="36"/>
  <c r="X347" i="36"/>
  <c r="R419" i="36"/>
  <c r="N406" i="36"/>
  <c r="N398" i="36"/>
  <c r="N388" i="36"/>
  <c r="N387" i="36"/>
  <c r="N386" i="36"/>
  <c r="N355" i="36"/>
  <c r="R351" i="36"/>
  <c r="N347" i="36"/>
  <c r="S347" i="36" s="1"/>
  <c r="N346" i="36"/>
  <c r="S346" i="36" s="1"/>
  <c r="N404" i="36"/>
  <c r="N391" i="36"/>
  <c r="N389" i="36"/>
  <c r="N353" i="36"/>
  <c r="S353" i="36" s="1"/>
  <c r="Y353" i="36" s="1"/>
  <c r="R364" i="36"/>
  <c r="X355" i="36"/>
  <c r="N350" i="36"/>
  <c r="S344" i="36"/>
  <c r="Y344" i="36" s="1"/>
  <c r="N417" i="36"/>
  <c r="R384" i="36"/>
  <c r="R372" i="36"/>
  <c r="R370" i="36"/>
  <c r="R366" i="36"/>
  <c r="R365" i="36"/>
  <c r="R358" i="36"/>
  <c r="X345" i="36"/>
  <c r="R423" i="36"/>
  <c r="N383" i="36"/>
  <c r="N371" i="36"/>
  <c r="N367" i="36"/>
  <c r="N359" i="36"/>
  <c r="N402" i="36"/>
  <c r="R368" i="36"/>
  <c r="R379" i="36"/>
  <c r="R360" i="36"/>
  <c r="N390" i="36"/>
  <c r="N370" i="36"/>
  <c r="N414" i="36"/>
  <c r="R410" i="36"/>
  <c r="N378" i="36"/>
  <c r="N358" i="36"/>
  <c r="R383" i="36"/>
  <c r="Y145" i="51" l="1"/>
  <c r="Y139" i="51"/>
  <c r="Y88" i="51"/>
  <c r="Y53" i="51"/>
  <c r="Y120" i="51"/>
  <c r="Y111" i="51"/>
  <c r="Y133" i="51"/>
  <c r="Y107" i="51"/>
  <c r="Y46" i="51"/>
  <c r="Y130" i="51"/>
  <c r="Y138" i="51"/>
  <c r="Y99" i="51"/>
  <c r="Y141" i="51"/>
  <c r="Y15" i="51"/>
  <c r="Y22" i="51"/>
  <c r="Y104" i="51"/>
  <c r="Y78" i="51"/>
  <c r="Y36" i="51"/>
  <c r="Y12" i="51"/>
  <c r="Y48" i="51"/>
  <c r="X229" i="51"/>
  <c r="Y25" i="51"/>
  <c r="Y8" i="51"/>
  <c r="Y38" i="51"/>
  <c r="Y67" i="51"/>
  <c r="Y105" i="51"/>
  <c r="Y28" i="51"/>
  <c r="Y128" i="51"/>
  <c r="Y165" i="51"/>
  <c r="Y29" i="51"/>
  <c r="Y132" i="51"/>
  <c r="Y119" i="51"/>
  <c r="Y108" i="51"/>
  <c r="Y155" i="51"/>
  <c r="Y37" i="51"/>
  <c r="Y127" i="51"/>
  <c r="Y19" i="51"/>
  <c r="Y21" i="51"/>
  <c r="Y20" i="51"/>
  <c r="Y146" i="51"/>
  <c r="Y77" i="51"/>
  <c r="Y137" i="51"/>
  <c r="Y26" i="51"/>
  <c r="Y9" i="51"/>
  <c r="Y55" i="51"/>
  <c r="Y41" i="51"/>
  <c r="Y85" i="51"/>
  <c r="Y61" i="51"/>
  <c r="Y125" i="51"/>
  <c r="Y60" i="51"/>
  <c r="Y16" i="51"/>
  <c r="Y50" i="51"/>
  <c r="Y68" i="51"/>
  <c r="Y143" i="51"/>
  <c r="Y129" i="51"/>
  <c r="Y72" i="51"/>
  <c r="Y149" i="51"/>
  <c r="Y124" i="51"/>
  <c r="Y17" i="51"/>
  <c r="Y86" i="51"/>
  <c r="Y103" i="51"/>
  <c r="Y63" i="51"/>
  <c r="Y10" i="51"/>
  <c r="Y47" i="51"/>
  <c r="Y33" i="51"/>
  <c r="Y23" i="51"/>
  <c r="Y14" i="51"/>
  <c r="Y51" i="51"/>
  <c r="Y166" i="51"/>
  <c r="Y93" i="51"/>
  <c r="Y172" i="51"/>
  <c r="Y42" i="51"/>
  <c r="Y73" i="51"/>
  <c r="Y160" i="51"/>
  <c r="Y87" i="51"/>
  <c r="Y89" i="51"/>
  <c r="Y49" i="51"/>
  <c r="Y6" i="51"/>
  <c r="Y116" i="51"/>
  <c r="Y13" i="51"/>
  <c r="Y134" i="51"/>
  <c r="Y158" i="51"/>
  <c r="Y175" i="51"/>
  <c r="Y98" i="51"/>
  <c r="Y56" i="51"/>
  <c r="S190" i="51"/>
  <c r="S173" i="51"/>
  <c r="Y173" i="51" s="1"/>
  <c r="Y123" i="51"/>
  <c r="Y62" i="51"/>
  <c r="Y101" i="51"/>
  <c r="Y54" i="51"/>
  <c r="Y102" i="51"/>
  <c r="Y209" i="51"/>
  <c r="Y97" i="51"/>
  <c r="Y114" i="51"/>
  <c r="X231" i="51"/>
  <c r="Y178" i="51"/>
  <c r="R234" i="51"/>
  <c r="S180" i="51"/>
  <c r="Y180" i="51" s="1"/>
  <c r="Y168" i="51"/>
  <c r="Y106" i="51"/>
  <c r="Y58" i="51"/>
  <c r="Y424" i="36"/>
  <c r="Y426" i="36" s="1"/>
  <c r="S426" i="36"/>
  <c r="S216" i="36"/>
  <c r="Y216" i="36"/>
  <c r="Y153" i="51"/>
  <c r="S229" i="51"/>
  <c r="Y233" i="51"/>
  <c r="C234" i="51"/>
  <c r="X228" i="51"/>
  <c r="Y136" i="51"/>
  <c r="C232" i="51"/>
  <c r="N231" i="51"/>
  <c r="Y208" i="51"/>
  <c r="Y71" i="51"/>
  <c r="C228" i="51"/>
  <c r="Y183" i="51"/>
  <c r="Y231" i="51" s="1"/>
  <c r="S201" i="51"/>
  <c r="Q232" i="51" s="1"/>
  <c r="N233" i="51"/>
  <c r="C229" i="51"/>
  <c r="N228" i="51"/>
  <c r="S7" i="51"/>
  <c r="S214" i="51"/>
  <c r="N234" i="51"/>
  <c r="Y110" i="51"/>
  <c r="Y159" i="51"/>
  <c r="N232" i="51"/>
  <c r="X230" i="51"/>
  <c r="C231" i="51"/>
  <c r="Y131" i="51"/>
  <c r="Y192" i="51"/>
  <c r="Q230" i="51"/>
  <c r="Y162" i="51"/>
  <c r="Y230" i="51" s="1"/>
  <c r="Y118" i="51"/>
  <c r="Y176" i="51"/>
  <c r="Q231" i="51"/>
  <c r="C230" i="51"/>
  <c r="C233" i="51"/>
  <c r="N230" i="51"/>
  <c r="S215" i="51"/>
  <c r="Y215" i="51" s="1"/>
  <c r="Y190" i="51"/>
  <c r="Y232" i="51" s="1"/>
  <c r="N229" i="51"/>
  <c r="S354" i="36"/>
  <c r="Y354" i="36" s="1"/>
  <c r="Y345" i="36"/>
  <c r="S355" i="36"/>
  <c r="Y355" i="36" s="1"/>
  <c r="S401" i="36"/>
  <c r="Y401" i="36" s="1"/>
  <c r="S414" i="36"/>
  <c r="Y414" i="36" s="1"/>
  <c r="S410" i="36"/>
  <c r="Y410" i="36" s="1"/>
  <c r="S385" i="36"/>
  <c r="Y385" i="36" s="1"/>
  <c r="S394" i="36"/>
  <c r="Y394" i="36" s="1"/>
  <c r="S380" i="36"/>
  <c r="Y380" i="36" s="1"/>
  <c r="S419" i="36"/>
  <c r="Y419" i="36" s="1"/>
  <c r="S409" i="36"/>
  <c r="Y409" i="36" s="1"/>
  <c r="S389" i="36"/>
  <c r="Y389" i="36" s="1"/>
  <c r="S372" i="36"/>
  <c r="Y372" i="36" s="1"/>
  <c r="S391" i="36"/>
  <c r="Y391" i="36" s="1"/>
  <c r="S371" i="36"/>
  <c r="Y371" i="36" s="1"/>
  <c r="S357" i="36"/>
  <c r="Y357" i="36" s="1"/>
  <c r="S365" i="36"/>
  <c r="Y365" i="36" s="1"/>
  <c r="S397" i="36"/>
  <c r="Y397" i="36" s="1"/>
  <c r="S405" i="36"/>
  <c r="Y405" i="36" s="1"/>
  <c r="S400" i="36"/>
  <c r="Y400" i="36" s="1"/>
  <c r="S411" i="36"/>
  <c r="Y411" i="36" s="1"/>
  <c r="S381" i="36"/>
  <c r="Y381" i="36" s="1"/>
  <c r="S422" i="36"/>
  <c r="Y422" i="36" s="1"/>
  <c r="S396" i="36"/>
  <c r="Y396" i="36" s="1"/>
  <c r="S361" i="36"/>
  <c r="Y361" i="36" s="1"/>
  <c r="S378" i="36"/>
  <c r="Y378" i="36" s="1"/>
  <c r="S417" i="36"/>
  <c r="Y417" i="36" s="1"/>
  <c r="S399" i="36"/>
  <c r="Y399" i="36" s="1"/>
  <c r="S416" i="36"/>
  <c r="Y416" i="36" s="1"/>
  <c r="S363" i="36"/>
  <c r="Y363" i="36" s="1"/>
  <c r="S413" i="36"/>
  <c r="Y413" i="36" s="1"/>
  <c r="S360" i="36"/>
  <c r="Y360" i="36" s="1"/>
  <c r="S407" i="36"/>
  <c r="Y407" i="36" s="1"/>
  <c r="S367" i="36"/>
  <c r="Y367" i="36" s="1"/>
  <c r="S377" i="36"/>
  <c r="Y377" i="36" s="1"/>
  <c r="S375" i="36"/>
  <c r="Y375" i="36" s="1"/>
  <c r="S368" i="36"/>
  <c r="Y368" i="36" s="1"/>
  <c r="S350" i="36"/>
  <c r="Y350" i="36" s="1"/>
  <c r="Y346" i="36"/>
  <c r="S406" i="36"/>
  <c r="Y406" i="36" s="1"/>
  <c r="S412" i="36"/>
  <c r="Y412" i="36" s="1"/>
  <c r="S390" i="36"/>
  <c r="Y390" i="36" s="1"/>
  <c r="S359" i="36"/>
  <c r="Y359" i="36" s="1"/>
  <c r="S393" i="36"/>
  <c r="Y393" i="36" s="1"/>
  <c r="S383" i="36"/>
  <c r="Y383" i="36" s="1"/>
  <c r="S415" i="36"/>
  <c r="Y415" i="36" s="1"/>
  <c r="S373" i="36"/>
  <c r="Y373" i="36" s="1"/>
  <c r="S351" i="36"/>
  <c r="Y351" i="36" s="1"/>
  <c r="S384" i="36"/>
  <c r="Y384" i="36" s="1"/>
  <c r="S364" i="36"/>
  <c r="Y364" i="36" s="1"/>
  <c r="S392" i="36"/>
  <c r="Y392" i="36" s="1"/>
  <c r="S374" i="36"/>
  <c r="Y374" i="36" s="1"/>
  <c r="Y349" i="36"/>
  <c r="S387" i="36"/>
  <c r="Y387" i="36" s="1"/>
  <c r="Y348" i="36"/>
  <c r="S362" i="36"/>
  <c r="Y362" i="36" s="1"/>
  <c r="S352" i="36"/>
  <c r="Y352" i="36" s="1"/>
  <c r="S403" i="36"/>
  <c r="Y403" i="36" s="1"/>
  <c r="S402" i="36"/>
  <c r="Y402" i="36" s="1"/>
  <c r="S404" i="36"/>
  <c r="Y404" i="36" s="1"/>
  <c r="S366" i="36"/>
  <c r="Y366" i="36" s="1"/>
  <c r="Y347" i="36"/>
  <c r="S388" i="36"/>
  <c r="Y388" i="36" s="1"/>
  <c r="S398" i="36"/>
  <c r="Y398" i="36" s="1"/>
  <c r="S358" i="36"/>
  <c r="Y358" i="36" s="1"/>
  <c r="S386" i="36"/>
  <c r="Y386" i="36" s="1"/>
  <c r="S376" i="36"/>
  <c r="Y376" i="36" s="1"/>
  <c r="S379" i="36"/>
  <c r="Y379" i="36" s="1"/>
  <c r="S370" i="36"/>
  <c r="Y370" i="36" s="1"/>
  <c r="S423" i="36"/>
  <c r="Y228" i="51" l="1"/>
  <c r="Y229" i="51"/>
  <c r="Y214" i="51"/>
  <c r="Y234" i="51" s="1"/>
  <c r="S234" i="51"/>
  <c r="S228" i="51"/>
  <c r="Y7" i="51"/>
  <c r="R233" i="51"/>
  <c r="Y201" i="51"/>
  <c r="Y423" i="36"/>
  <c r="V215" i="36" l="1"/>
  <c r="W215" i="36"/>
  <c r="W214" i="36"/>
  <c r="W234" i="36" s="1"/>
  <c r="V214" i="36"/>
  <c r="V234" i="36" s="1"/>
  <c r="U8" i="36"/>
  <c r="U9" i="36"/>
  <c r="U10" i="36"/>
  <c r="U11" i="36"/>
  <c r="U12" i="36"/>
  <c r="U13" i="36"/>
  <c r="U14" i="36"/>
  <c r="U15" i="36"/>
  <c r="U16" i="36"/>
  <c r="U17" i="36"/>
  <c r="U19" i="36"/>
  <c r="U20" i="36"/>
  <c r="U21" i="36"/>
  <c r="U22" i="36"/>
  <c r="U23" i="36"/>
  <c r="U24" i="36"/>
  <c r="U25" i="36"/>
  <c r="U26" i="36"/>
  <c r="U27" i="36"/>
  <c r="U28" i="36"/>
  <c r="U29" i="36"/>
  <c r="U30" i="36"/>
  <c r="U32" i="36"/>
  <c r="U33" i="36"/>
  <c r="U34" i="36"/>
  <c r="U35" i="36"/>
  <c r="U36" i="36"/>
  <c r="U37" i="36"/>
  <c r="U38" i="36"/>
  <c r="U39" i="36"/>
  <c r="U40" i="36"/>
  <c r="U41" i="36"/>
  <c r="U42" i="36"/>
  <c r="U43" i="36"/>
  <c r="U45" i="36"/>
  <c r="U46" i="36"/>
  <c r="U47" i="36"/>
  <c r="U48" i="36"/>
  <c r="U49" i="36"/>
  <c r="U50" i="36"/>
  <c r="U51" i="36"/>
  <c r="U52" i="36"/>
  <c r="U53" i="36"/>
  <c r="U54" i="36"/>
  <c r="U55" i="36"/>
  <c r="U56" i="36"/>
  <c r="U58" i="36"/>
  <c r="U59" i="36"/>
  <c r="U60" i="36"/>
  <c r="U61" i="36"/>
  <c r="U62" i="36"/>
  <c r="U63" i="36"/>
  <c r="U64" i="36"/>
  <c r="U65" i="36"/>
  <c r="U66" i="36"/>
  <c r="U67" i="36"/>
  <c r="U68" i="36"/>
  <c r="U69" i="36"/>
  <c r="U71" i="36"/>
  <c r="U72" i="36"/>
  <c r="U73" i="36"/>
  <c r="U74" i="36"/>
  <c r="U75" i="36"/>
  <c r="U76" i="36"/>
  <c r="U77" i="36"/>
  <c r="U78" i="36"/>
  <c r="U79" i="36"/>
  <c r="U80" i="36"/>
  <c r="U81" i="36"/>
  <c r="U82" i="36"/>
  <c r="U84" i="36"/>
  <c r="U85" i="36"/>
  <c r="U86" i="36"/>
  <c r="U87" i="36"/>
  <c r="U88" i="36"/>
  <c r="U89" i="36"/>
  <c r="U90" i="36"/>
  <c r="U91" i="36"/>
  <c r="U92" i="36"/>
  <c r="U93" i="36"/>
  <c r="U94" i="36"/>
  <c r="U95" i="36"/>
  <c r="U97" i="36"/>
  <c r="U98" i="36"/>
  <c r="U99" i="36"/>
  <c r="U100" i="36"/>
  <c r="U101" i="36"/>
  <c r="U102" i="36"/>
  <c r="U103" i="36"/>
  <c r="U104" i="36"/>
  <c r="U105" i="36"/>
  <c r="U106" i="36"/>
  <c r="U107" i="36"/>
  <c r="U108" i="36"/>
  <c r="U110" i="36"/>
  <c r="U111" i="36"/>
  <c r="U112" i="36"/>
  <c r="U113" i="36"/>
  <c r="U114" i="36"/>
  <c r="U115" i="36"/>
  <c r="U116" i="36"/>
  <c r="U117" i="36"/>
  <c r="U118" i="36"/>
  <c r="U119" i="36"/>
  <c r="U120" i="36"/>
  <c r="U121" i="36"/>
  <c r="U123" i="36"/>
  <c r="U124" i="36"/>
  <c r="U125" i="36"/>
  <c r="U126" i="36"/>
  <c r="U127" i="36"/>
  <c r="U128" i="36"/>
  <c r="U129" i="36"/>
  <c r="U130" i="36"/>
  <c r="U131" i="36"/>
  <c r="U132" i="36"/>
  <c r="U133" i="36"/>
  <c r="U134" i="36"/>
  <c r="U136" i="36"/>
  <c r="U137" i="36"/>
  <c r="U138" i="36"/>
  <c r="U139" i="36"/>
  <c r="U140" i="36"/>
  <c r="U141" i="36"/>
  <c r="U142" i="36"/>
  <c r="U143" i="36"/>
  <c r="U144" i="36"/>
  <c r="U145" i="36"/>
  <c r="U146" i="36"/>
  <c r="U147" i="36"/>
  <c r="U149" i="36"/>
  <c r="U150" i="36"/>
  <c r="U151" i="36"/>
  <c r="U152" i="36"/>
  <c r="U153" i="36"/>
  <c r="U154" i="36"/>
  <c r="U155" i="36"/>
  <c r="U156" i="36"/>
  <c r="U157" i="36"/>
  <c r="U158" i="36"/>
  <c r="U159" i="36"/>
  <c r="U160" i="36"/>
  <c r="U162" i="36"/>
  <c r="U163" i="36"/>
  <c r="U164" i="36"/>
  <c r="U165" i="36"/>
  <c r="U166" i="36"/>
  <c r="U167" i="36"/>
  <c r="U168" i="36"/>
  <c r="U169" i="36"/>
  <c r="U170" i="36"/>
  <c r="U171" i="36"/>
  <c r="U172" i="36"/>
  <c r="U173" i="36"/>
  <c r="U175" i="36"/>
  <c r="U176" i="36"/>
  <c r="U177" i="36"/>
  <c r="U178" i="36"/>
  <c r="U179" i="36"/>
  <c r="U180" i="36"/>
  <c r="U181" i="36"/>
  <c r="U182" i="36"/>
  <c r="U183" i="36"/>
  <c r="U184" i="36"/>
  <c r="U185" i="36"/>
  <c r="U186" i="36"/>
  <c r="U188" i="36"/>
  <c r="U189" i="36"/>
  <c r="U190" i="36"/>
  <c r="U191" i="36"/>
  <c r="U192" i="36"/>
  <c r="U193" i="36"/>
  <c r="U194" i="36"/>
  <c r="U195" i="36"/>
  <c r="U196" i="36"/>
  <c r="U197" i="36"/>
  <c r="U198" i="36"/>
  <c r="U199" i="36"/>
  <c r="U201" i="36"/>
  <c r="U202" i="36"/>
  <c r="U203" i="36"/>
  <c r="U204" i="36"/>
  <c r="U205" i="36"/>
  <c r="U206" i="36"/>
  <c r="U207" i="36"/>
  <c r="U208" i="36"/>
  <c r="U209" i="36"/>
  <c r="U210" i="36"/>
  <c r="U211" i="36"/>
  <c r="U212" i="36"/>
  <c r="U214" i="36"/>
  <c r="U215" i="36"/>
  <c r="U7" i="36"/>
  <c r="U6" i="36"/>
  <c r="T7" i="36"/>
  <c r="T8" i="36"/>
  <c r="T9" i="36"/>
  <c r="T10" i="36"/>
  <c r="T11" i="36"/>
  <c r="T12" i="36"/>
  <c r="T13" i="36"/>
  <c r="T14" i="36"/>
  <c r="T15" i="36"/>
  <c r="T16" i="36"/>
  <c r="T17" i="36"/>
  <c r="T19" i="36"/>
  <c r="T20" i="36"/>
  <c r="T21" i="36"/>
  <c r="T22" i="36"/>
  <c r="T23" i="36"/>
  <c r="T24" i="36"/>
  <c r="T25" i="36"/>
  <c r="T26" i="36"/>
  <c r="T27" i="36"/>
  <c r="T28" i="36"/>
  <c r="T29" i="36"/>
  <c r="T30" i="36"/>
  <c r="T32" i="36"/>
  <c r="T33" i="36"/>
  <c r="T34" i="36"/>
  <c r="T35" i="36"/>
  <c r="T36" i="36"/>
  <c r="T37" i="36"/>
  <c r="T38" i="36"/>
  <c r="T39" i="36"/>
  <c r="T40" i="36"/>
  <c r="T41" i="36"/>
  <c r="T42" i="36"/>
  <c r="T43" i="36"/>
  <c r="T45" i="36"/>
  <c r="T46" i="36"/>
  <c r="T47" i="36"/>
  <c r="T48" i="36"/>
  <c r="T49" i="36"/>
  <c r="T50" i="36"/>
  <c r="T51" i="36"/>
  <c r="T52" i="36"/>
  <c r="T53" i="36"/>
  <c r="T54" i="36"/>
  <c r="T55" i="36"/>
  <c r="T56" i="36"/>
  <c r="T58" i="36"/>
  <c r="T59" i="36"/>
  <c r="T60" i="36"/>
  <c r="T61" i="36"/>
  <c r="T62" i="36"/>
  <c r="T63" i="36"/>
  <c r="T64" i="36"/>
  <c r="T65" i="36"/>
  <c r="T66" i="36"/>
  <c r="T67" i="36"/>
  <c r="T68" i="36"/>
  <c r="T69" i="36"/>
  <c r="T71" i="36"/>
  <c r="T72" i="36"/>
  <c r="T73" i="36"/>
  <c r="T74" i="36"/>
  <c r="T75" i="36"/>
  <c r="T76" i="36"/>
  <c r="T77" i="36"/>
  <c r="T78" i="36"/>
  <c r="T79" i="36"/>
  <c r="T80" i="36"/>
  <c r="T81" i="36"/>
  <c r="T82" i="36"/>
  <c r="T84" i="36"/>
  <c r="T85" i="36"/>
  <c r="T86" i="36"/>
  <c r="T87" i="36"/>
  <c r="T88" i="36"/>
  <c r="T89" i="36"/>
  <c r="T90" i="36"/>
  <c r="T91" i="36"/>
  <c r="T92" i="36"/>
  <c r="T93" i="36"/>
  <c r="T94" i="36"/>
  <c r="T95" i="36"/>
  <c r="T97" i="36"/>
  <c r="T98" i="36"/>
  <c r="T99" i="36"/>
  <c r="T100" i="36"/>
  <c r="T101" i="36"/>
  <c r="T102" i="36"/>
  <c r="T103" i="36"/>
  <c r="T104" i="36"/>
  <c r="T105" i="36"/>
  <c r="T106" i="36"/>
  <c r="T107" i="36"/>
  <c r="T108" i="36"/>
  <c r="T110" i="36"/>
  <c r="T111" i="36"/>
  <c r="T112" i="36"/>
  <c r="T113" i="36"/>
  <c r="T114" i="36"/>
  <c r="T115" i="36"/>
  <c r="T116" i="36"/>
  <c r="T117" i="36"/>
  <c r="T118" i="36"/>
  <c r="T119" i="36"/>
  <c r="T120" i="36"/>
  <c r="T121" i="36"/>
  <c r="T123" i="36"/>
  <c r="T124" i="36"/>
  <c r="T125" i="36"/>
  <c r="T126" i="36"/>
  <c r="T127" i="36"/>
  <c r="T128" i="36"/>
  <c r="T129" i="36"/>
  <c r="T130" i="36"/>
  <c r="T131" i="36"/>
  <c r="T132" i="36"/>
  <c r="T133" i="36"/>
  <c r="T134" i="36"/>
  <c r="T136" i="36"/>
  <c r="T137" i="36"/>
  <c r="T138" i="36"/>
  <c r="T139" i="36"/>
  <c r="T140" i="36"/>
  <c r="T141" i="36"/>
  <c r="T142" i="36"/>
  <c r="T143" i="36"/>
  <c r="T144" i="36"/>
  <c r="T145" i="36"/>
  <c r="T146" i="36"/>
  <c r="T147" i="36"/>
  <c r="T149" i="36"/>
  <c r="T150" i="36"/>
  <c r="T151" i="36"/>
  <c r="T152" i="36"/>
  <c r="T153" i="36"/>
  <c r="T154" i="36"/>
  <c r="T155" i="36"/>
  <c r="T156" i="36"/>
  <c r="T157" i="36"/>
  <c r="T158" i="36"/>
  <c r="T159" i="36"/>
  <c r="T160" i="36"/>
  <c r="T162" i="36"/>
  <c r="T163" i="36"/>
  <c r="T164" i="36"/>
  <c r="T165" i="36"/>
  <c r="T166" i="36"/>
  <c r="T167" i="36"/>
  <c r="T168" i="36"/>
  <c r="T169" i="36"/>
  <c r="T170" i="36"/>
  <c r="T171" i="36"/>
  <c r="T172" i="36"/>
  <c r="T173" i="36"/>
  <c r="T175" i="36"/>
  <c r="T176" i="36"/>
  <c r="T177" i="36"/>
  <c r="T178" i="36"/>
  <c r="T179" i="36"/>
  <c r="T180" i="36"/>
  <c r="T181" i="36"/>
  <c r="T182" i="36"/>
  <c r="T183" i="36"/>
  <c r="T184" i="36"/>
  <c r="T185" i="36"/>
  <c r="T186" i="36"/>
  <c r="T188" i="36"/>
  <c r="T189" i="36"/>
  <c r="T190" i="36"/>
  <c r="T191" i="36"/>
  <c r="T192" i="36"/>
  <c r="T193" i="36"/>
  <c r="T194" i="36"/>
  <c r="T195" i="36"/>
  <c r="T196" i="36"/>
  <c r="T197" i="36"/>
  <c r="T198" i="36"/>
  <c r="T199" i="36"/>
  <c r="T201" i="36"/>
  <c r="T202" i="36"/>
  <c r="T203" i="36"/>
  <c r="T204" i="36"/>
  <c r="T205" i="36"/>
  <c r="T206" i="36"/>
  <c r="T207" i="36"/>
  <c r="T208" i="36"/>
  <c r="T209" i="36"/>
  <c r="T210" i="36"/>
  <c r="T211" i="36"/>
  <c r="T212" i="36"/>
  <c r="T214" i="36"/>
  <c r="T215" i="36"/>
  <c r="T6" i="36"/>
  <c r="Q143" i="36"/>
  <c r="Q144" i="36"/>
  <c r="Q145" i="36"/>
  <c r="Q146" i="36"/>
  <c r="Q147" i="36"/>
  <c r="Q149" i="36"/>
  <c r="Q150" i="36"/>
  <c r="Q151" i="36"/>
  <c r="Q152" i="36"/>
  <c r="Q153" i="36"/>
  <c r="Q154" i="36"/>
  <c r="Q155" i="36"/>
  <c r="Q156" i="36"/>
  <c r="Q157" i="36"/>
  <c r="Q158" i="36"/>
  <c r="Q159" i="36"/>
  <c r="Q160" i="36"/>
  <c r="Q162" i="36"/>
  <c r="Q163" i="36"/>
  <c r="Q164" i="36"/>
  <c r="Q165" i="36"/>
  <c r="Q166" i="36"/>
  <c r="Q167" i="36"/>
  <c r="Q168" i="36"/>
  <c r="Q169" i="36"/>
  <c r="Q170" i="36"/>
  <c r="Q171" i="36"/>
  <c r="Q172" i="36"/>
  <c r="Q173" i="36"/>
  <c r="Q175" i="36"/>
  <c r="Q176" i="36"/>
  <c r="Q177" i="36"/>
  <c r="Q178" i="36"/>
  <c r="Q179" i="36"/>
  <c r="Q180" i="36"/>
  <c r="Q181" i="36"/>
  <c r="Q182" i="36"/>
  <c r="Q183" i="36"/>
  <c r="Q184" i="36"/>
  <c r="Q185" i="36"/>
  <c r="Q186" i="36"/>
  <c r="Q188" i="36"/>
  <c r="Q189" i="36"/>
  <c r="Q190" i="36"/>
  <c r="Q191" i="36"/>
  <c r="Q192" i="36"/>
  <c r="Q193" i="36"/>
  <c r="Q194" i="36"/>
  <c r="Q195" i="36"/>
  <c r="Q196" i="36"/>
  <c r="Q197" i="36"/>
  <c r="Q198" i="36"/>
  <c r="Q199" i="36"/>
  <c r="Q201" i="36"/>
  <c r="Q202" i="36"/>
  <c r="Q203" i="36"/>
  <c r="Q204" i="36"/>
  <c r="Q205" i="36"/>
  <c r="Q206" i="36"/>
  <c r="Q207" i="36"/>
  <c r="Q208" i="36"/>
  <c r="Q209" i="36"/>
  <c r="Q210" i="36"/>
  <c r="Q211" i="36"/>
  <c r="Q212" i="36"/>
  <c r="Q214" i="36"/>
  <c r="Q234" i="36" s="1"/>
  <c r="Q215" i="36"/>
  <c r="Q217" i="36"/>
  <c r="Q218" i="36"/>
  <c r="Q219" i="36"/>
  <c r="Q220" i="36"/>
  <c r="Q221" i="36"/>
  <c r="Q142" i="36"/>
  <c r="P7" i="36"/>
  <c r="P8" i="36"/>
  <c r="P9" i="36"/>
  <c r="P10" i="36"/>
  <c r="P11" i="36"/>
  <c r="P12" i="36"/>
  <c r="P13" i="36"/>
  <c r="P14" i="36"/>
  <c r="P15" i="36"/>
  <c r="P16" i="36"/>
  <c r="P17" i="36"/>
  <c r="P19" i="36"/>
  <c r="P20" i="36"/>
  <c r="P21" i="36"/>
  <c r="P22" i="36"/>
  <c r="P23" i="36"/>
  <c r="P24" i="36"/>
  <c r="P25" i="36"/>
  <c r="P26" i="36"/>
  <c r="P27" i="36"/>
  <c r="P28" i="36"/>
  <c r="P29" i="36"/>
  <c r="P30" i="36"/>
  <c r="P32" i="36"/>
  <c r="P33" i="36"/>
  <c r="P34" i="36"/>
  <c r="P35" i="36"/>
  <c r="P36" i="36"/>
  <c r="P37" i="36"/>
  <c r="P38" i="36"/>
  <c r="P39" i="36"/>
  <c r="P40" i="36"/>
  <c r="P41" i="36"/>
  <c r="P42" i="36"/>
  <c r="P43" i="36"/>
  <c r="P45" i="36"/>
  <c r="P46" i="36"/>
  <c r="P47" i="36"/>
  <c r="P48" i="36"/>
  <c r="P49" i="36"/>
  <c r="P50" i="36"/>
  <c r="P51" i="36"/>
  <c r="P52" i="36"/>
  <c r="P53" i="36"/>
  <c r="P54" i="36"/>
  <c r="P55" i="36"/>
  <c r="P56" i="36"/>
  <c r="P58" i="36"/>
  <c r="P59" i="36"/>
  <c r="P60" i="36"/>
  <c r="P61" i="36"/>
  <c r="P62" i="36"/>
  <c r="P63" i="36"/>
  <c r="P64" i="36"/>
  <c r="P65" i="36"/>
  <c r="P66" i="36"/>
  <c r="P67" i="36"/>
  <c r="P68" i="36"/>
  <c r="P69" i="36"/>
  <c r="P71" i="36"/>
  <c r="P72" i="36"/>
  <c r="P73" i="36"/>
  <c r="P74" i="36"/>
  <c r="P75" i="36"/>
  <c r="P76" i="36"/>
  <c r="P77" i="36"/>
  <c r="P78" i="36"/>
  <c r="P79" i="36"/>
  <c r="P80" i="36"/>
  <c r="P81" i="36"/>
  <c r="P82" i="36"/>
  <c r="P84" i="36"/>
  <c r="P85" i="36"/>
  <c r="P86" i="36"/>
  <c r="P87" i="36"/>
  <c r="P88" i="36"/>
  <c r="P89" i="36"/>
  <c r="P90" i="36"/>
  <c r="P91" i="36"/>
  <c r="P92" i="36"/>
  <c r="P93" i="36"/>
  <c r="P94" i="36"/>
  <c r="P95" i="36"/>
  <c r="P97" i="36"/>
  <c r="P98" i="36"/>
  <c r="P99" i="36"/>
  <c r="P100" i="36"/>
  <c r="P101" i="36"/>
  <c r="P102" i="36"/>
  <c r="P103" i="36"/>
  <c r="P104" i="36"/>
  <c r="P105" i="36"/>
  <c r="P106" i="36"/>
  <c r="P107" i="36"/>
  <c r="P108" i="36"/>
  <c r="P110" i="36"/>
  <c r="P111" i="36"/>
  <c r="P112" i="36"/>
  <c r="P113" i="36"/>
  <c r="P114" i="36"/>
  <c r="P115" i="36"/>
  <c r="P116" i="36"/>
  <c r="P117" i="36"/>
  <c r="P118" i="36"/>
  <c r="P119" i="36"/>
  <c r="P120" i="36"/>
  <c r="P121" i="36"/>
  <c r="P123" i="36"/>
  <c r="P124" i="36"/>
  <c r="P125" i="36"/>
  <c r="P126" i="36"/>
  <c r="P127" i="36"/>
  <c r="P128" i="36"/>
  <c r="P129" i="36"/>
  <c r="P130" i="36"/>
  <c r="P131" i="36"/>
  <c r="P132" i="36"/>
  <c r="P133" i="36"/>
  <c r="P134" i="36"/>
  <c r="P136" i="36"/>
  <c r="P137" i="36"/>
  <c r="P138" i="36"/>
  <c r="P139" i="36"/>
  <c r="P140" i="36"/>
  <c r="P141" i="36"/>
  <c r="P142" i="36"/>
  <c r="P143" i="36"/>
  <c r="P144" i="36"/>
  <c r="P145" i="36"/>
  <c r="P146" i="36"/>
  <c r="P147" i="36"/>
  <c r="P149" i="36"/>
  <c r="P150" i="36"/>
  <c r="P151" i="36"/>
  <c r="P152" i="36"/>
  <c r="P153" i="36"/>
  <c r="P154" i="36"/>
  <c r="P155" i="36"/>
  <c r="P156" i="36"/>
  <c r="P157" i="36"/>
  <c r="P158" i="36"/>
  <c r="P159" i="36"/>
  <c r="P160" i="36"/>
  <c r="P162" i="36"/>
  <c r="P163" i="36"/>
  <c r="P164" i="36"/>
  <c r="P165" i="36"/>
  <c r="P166" i="36"/>
  <c r="P167" i="36"/>
  <c r="P168" i="36"/>
  <c r="P169" i="36"/>
  <c r="P170" i="36"/>
  <c r="P171" i="36"/>
  <c r="P172" i="36"/>
  <c r="P173" i="36"/>
  <c r="P175" i="36"/>
  <c r="P176" i="36"/>
  <c r="P177" i="36"/>
  <c r="P178" i="36"/>
  <c r="P179" i="36"/>
  <c r="P180" i="36"/>
  <c r="P181" i="36"/>
  <c r="P182" i="36"/>
  <c r="P183" i="36"/>
  <c r="P184" i="36"/>
  <c r="P185" i="36"/>
  <c r="P186" i="36"/>
  <c r="P188" i="36"/>
  <c r="P189" i="36"/>
  <c r="P190" i="36"/>
  <c r="P191" i="36"/>
  <c r="P192" i="36"/>
  <c r="P193" i="36"/>
  <c r="P194" i="36"/>
  <c r="P195" i="36"/>
  <c r="P196" i="36"/>
  <c r="P197" i="36"/>
  <c r="P198" i="36"/>
  <c r="P199" i="36"/>
  <c r="P201" i="36"/>
  <c r="P202" i="36"/>
  <c r="P203" i="36"/>
  <c r="P204" i="36"/>
  <c r="P205" i="36"/>
  <c r="P206" i="36"/>
  <c r="P207" i="36"/>
  <c r="P208" i="36"/>
  <c r="P209" i="36"/>
  <c r="P210" i="36"/>
  <c r="P211" i="36"/>
  <c r="P212" i="36"/>
  <c r="P214" i="36"/>
  <c r="P234" i="36" s="1"/>
  <c r="P215" i="36"/>
  <c r="P6" i="36"/>
  <c r="O7" i="36"/>
  <c r="O8" i="36"/>
  <c r="O9" i="36"/>
  <c r="O10" i="36"/>
  <c r="O11" i="36"/>
  <c r="O12" i="36"/>
  <c r="O13" i="36"/>
  <c r="O14" i="36"/>
  <c r="O15" i="36"/>
  <c r="O16" i="36"/>
  <c r="O17" i="36"/>
  <c r="O19" i="36"/>
  <c r="O20" i="36"/>
  <c r="O21" i="36"/>
  <c r="O22" i="36"/>
  <c r="O23" i="36"/>
  <c r="O24" i="36"/>
  <c r="O25" i="36"/>
  <c r="O26" i="36"/>
  <c r="O27" i="36"/>
  <c r="O28" i="36"/>
  <c r="O29" i="36"/>
  <c r="O30" i="36"/>
  <c r="O32" i="36"/>
  <c r="O33" i="36"/>
  <c r="O34" i="36"/>
  <c r="O35" i="36"/>
  <c r="O36" i="36"/>
  <c r="O37" i="36"/>
  <c r="O38" i="36"/>
  <c r="O39" i="36"/>
  <c r="O40" i="36"/>
  <c r="O41" i="36"/>
  <c r="O42" i="36"/>
  <c r="O43" i="36"/>
  <c r="O45" i="36"/>
  <c r="O46" i="36"/>
  <c r="O47" i="36"/>
  <c r="O48" i="36"/>
  <c r="O49" i="36"/>
  <c r="O50" i="36"/>
  <c r="O51" i="36"/>
  <c r="O52" i="36"/>
  <c r="O53" i="36"/>
  <c r="O54" i="36"/>
  <c r="O55" i="36"/>
  <c r="O56" i="36"/>
  <c r="O58" i="36"/>
  <c r="O59" i="36"/>
  <c r="O60" i="36"/>
  <c r="O61" i="36"/>
  <c r="O62" i="36"/>
  <c r="O63" i="36"/>
  <c r="O64" i="36"/>
  <c r="O65" i="36"/>
  <c r="O66" i="36"/>
  <c r="O67" i="36"/>
  <c r="O68" i="36"/>
  <c r="O69" i="36"/>
  <c r="O71" i="36"/>
  <c r="O72" i="36"/>
  <c r="O73" i="36"/>
  <c r="O74" i="36"/>
  <c r="O75" i="36"/>
  <c r="O76" i="36"/>
  <c r="O77" i="36"/>
  <c r="O78" i="36"/>
  <c r="O79" i="36"/>
  <c r="O80" i="36"/>
  <c r="O81" i="36"/>
  <c r="O82" i="36"/>
  <c r="O84" i="36"/>
  <c r="O85" i="36"/>
  <c r="O86" i="36"/>
  <c r="O87" i="36"/>
  <c r="O88" i="36"/>
  <c r="O89" i="36"/>
  <c r="O90" i="36"/>
  <c r="O91" i="36"/>
  <c r="O92" i="36"/>
  <c r="O93" i="36"/>
  <c r="O94" i="36"/>
  <c r="O95" i="36"/>
  <c r="O97" i="36"/>
  <c r="O98" i="36"/>
  <c r="O99" i="36"/>
  <c r="O100" i="36"/>
  <c r="O101" i="36"/>
  <c r="O102" i="36"/>
  <c r="O103" i="36"/>
  <c r="O104" i="36"/>
  <c r="O105" i="36"/>
  <c r="O106" i="36"/>
  <c r="O107" i="36"/>
  <c r="O108" i="36"/>
  <c r="O110" i="36"/>
  <c r="O111" i="36"/>
  <c r="O112" i="36"/>
  <c r="O113" i="36"/>
  <c r="O114" i="36"/>
  <c r="O115" i="36"/>
  <c r="O116" i="36"/>
  <c r="O117" i="36"/>
  <c r="O118" i="36"/>
  <c r="O119" i="36"/>
  <c r="O120" i="36"/>
  <c r="O121" i="36"/>
  <c r="O123" i="36"/>
  <c r="O124" i="36"/>
  <c r="O125" i="36"/>
  <c r="O126" i="36"/>
  <c r="O127" i="36"/>
  <c r="O128" i="36"/>
  <c r="O129" i="36"/>
  <c r="O130" i="36"/>
  <c r="O131" i="36"/>
  <c r="O132" i="36"/>
  <c r="O133" i="36"/>
  <c r="O134" i="36"/>
  <c r="O136" i="36"/>
  <c r="O137" i="36"/>
  <c r="O138" i="36"/>
  <c r="O139" i="36"/>
  <c r="O140" i="36"/>
  <c r="O141" i="36"/>
  <c r="O142" i="36"/>
  <c r="O143" i="36"/>
  <c r="O144" i="36"/>
  <c r="O145" i="36"/>
  <c r="O146" i="36"/>
  <c r="O147" i="36"/>
  <c r="O149" i="36"/>
  <c r="O150" i="36"/>
  <c r="O151" i="36"/>
  <c r="O152" i="36"/>
  <c r="O153" i="36"/>
  <c r="O154" i="36"/>
  <c r="O155" i="36"/>
  <c r="O156" i="36"/>
  <c r="O157" i="36"/>
  <c r="O158" i="36"/>
  <c r="O159" i="36"/>
  <c r="O160" i="36"/>
  <c r="O162" i="36"/>
  <c r="O163" i="36"/>
  <c r="O164" i="36"/>
  <c r="O165" i="36"/>
  <c r="O166" i="36"/>
  <c r="O167" i="36"/>
  <c r="O168" i="36"/>
  <c r="O169" i="36"/>
  <c r="O170" i="36"/>
  <c r="O171" i="36"/>
  <c r="O172" i="36"/>
  <c r="O173" i="36"/>
  <c r="O175" i="36"/>
  <c r="O176" i="36"/>
  <c r="O177" i="36"/>
  <c r="O178" i="36"/>
  <c r="O179" i="36"/>
  <c r="O180" i="36"/>
  <c r="O181" i="36"/>
  <c r="O182" i="36"/>
  <c r="O183" i="36"/>
  <c r="O184" i="36"/>
  <c r="O185" i="36"/>
  <c r="O186" i="36"/>
  <c r="O188" i="36"/>
  <c r="O189" i="36"/>
  <c r="O190" i="36"/>
  <c r="O191" i="36"/>
  <c r="O192" i="36"/>
  <c r="O193" i="36"/>
  <c r="O194" i="36"/>
  <c r="O195" i="36"/>
  <c r="O196" i="36"/>
  <c r="O197" i="36"/>
  <c r="O198" i="36"/>
  <c r="O199" i="36"/>
  <c r="O201" i="36"/>
  <c r="O202" i="36"/>
  <c r="O203" i="36"/>
  <c r="O204" i="36"/>
  <c r="O205" i="36"/>
  <c r="O206" i="36"/>
  <c r="O207" i="36"/>
  <c r="O208" i="36"/>
  <c r="O209" i="36"/>
  <c r="O210" i="36"/>
  <c r="O211" i="36"/>
  <c r="O212" i="36"/>
  <c r="O214" i="36"/>
  <c r="O215" i="36"/>
  <c r="O6" i="36"/>
  <c r="K201" i="36"/>
  <c r="K7" i="36"/>
  <c r="K8" i="36"/>
  <c r="K9" i="36"/>
  <c r="K10" i="36"/>
  <c r="K11" i="36"/>
  <c r="K12" i="36"/>
  <c r="K13" i="36"/>
  <c r="K14" i="36"/>
  <c r="K15" i="36"/>
  <c r="K16" i="36"/>
  <c r="K17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5" i="36"/>
  <c r="K46" i="36"/>
  <c r="K47" i="36"/>
  <c r="K48" i="36"/>
  <c r="K49" i="36"/>
  <c r="K50" i="36"/>
  <c r="K51" i="36"/>
  <c r="K52" i="36"/>
  <c r="K53" i="36"/>
  <c r="K54" i="36"/>
  <c r="K55" i="36"/>
  <c r="K56" i="36"/>
  <c r="K58" i="36"/>
  <c r="K59" i="36"/>
  <c r="K60" i="36"/>
  <c r="K61" i="36"/>
  <c r="K62" i="36"/>
  <c r="K63" i="36"/>
  <c r="K64" i="36"/>
  <c r="K65" i="36"/>
  <c r="K66" i="36"/>
  <c r="K67" i="36"/>
  <c r="K68" i="36"/>
  <c r="K69" i="36"/>
  <c r="K71" i="36"/>
  <c r="K72" i="36"/>
  <c r="K73" i="36"/>
  <c r="K74" i="36"/>
  <c r="K75" i="36"/>
  <c r="K76" i="36"/>
  <c r="K77" i="36"/>
  <c r="K78" i="36"/>
  <c r="K79" i="36"/>
  <c r="K80" i="36"/>
  <c r="K81" i="36"/>
  <c r="K82" i="36"/>
  <c r="K84" i="36"/>
  <c r="K85" i="36"/>
  <c r="K86" i="36"/>
  <c r="K87" i="36"/>
  <c r="K88" i="36"/>
  <c r="K89" i="36"/>
  <c r="K90" i="36"/>
  <c r="K91" i="36"/>
  <c r="K92" i="36"/>
  <c r="K93" i="36"/>
  <c r="K94" i="36"/>
  <c r="K95" i="36"/>
  <c r="K97" i="36"/>
  <c r="K98" i="36"/>
  <c r="K99" i="36"/>
  <c r="K100" i="36"/>
  <c r="K101" i="36"/>
  <c r="K102" i="36"/>
  <c r="K103" i="36"/>
  <c r="K104" i="36"/>
  <c r="K105" i="36"/>
  <c r="K106" i="36"/>
  <c r="K107" i="36"/>
  <c r="K108" i="36"/>
  <c r="K110" i="36"/>
  <c r="K111" i="36"/>
  <c r="K112" i="36"/>
  <c r="K113" i="36"/>
  <c r="K114" i="36"/>
  <c r="K115" i="36"/>
  <c r="K116" i="36"/>
  <c r="K117" i="36"/>
  <c r="K118" i="36"/>
  <c r="K119" i="36"/>
  <c r="K120" i="36"/>
  <c r="K121" i="36"/>
  <c r="K123" i="36"/>
  <c r="K124" i="36"/>
  <c r="K125" i="36"/>
  <c r="K126" i="36"/>
  <c r="K127" i="36"/>
  <c r="K128" i="36"/>
  <c r="K129" i="36"/>
  <c r="K130" i="36"/>
  <c r="K131" i="36"/>
  <c r="K132" i="36"/>
  <c r="K133" i="36"/>
  <c r="K134" i="36"/>
  <c r="K136" i="36"/>
  <c r="K137" i="36"/>
  <c r="K138" i="36"/>
  <c r="K139" i="36"/>
  <c r="K140" i="36"/>
  <c r="K141" i="36"/>
  <c r="K142" i="36"/>
  <c r="K143" i="36"/>
  <c r="K144" i="36"/>
  <c r="K145" i="36"/>
  <c r="K146" i="36"/>
  <c r="K147" i="36"/>
  <c r="K149" i="36"/>
  <c r="K150" i="36"/>
  <c r="K151" i="36"/>
  <c r="K152" i="36"/>
  <c r="K153" i="36"/>
  <c r="K154" i="36"/>
  <c r="K155" i="36"/>
  <c r="K156" i="36"/>
  <c r="K157" i="36"/>
  <c r="K158" i="36"/>
  <c r="K159" i="36"/>
  <c r="K160" i="36"/>
  <c r="K162" i="36"/>
  <c r="K163" i="36"/>
  <c r="K164" i="36"/>
  <c r="K165" i="36"/>
  <c r="K166" i="36"/>
  <c r="K167" i="36"/>
  <c r="K168" i="36"/>
  <c r="K169" i="36"/>
  <c r="K170" i="36"/>
  <c r="K171" i="36"/>
  <c r="K172" i="36"/>
  <c r="K173" i="36"/>
  <c r="K175" i="36"/>
  <c r="K176" i="36"/>
  <c r="K177" i="36"/>
  <c r="K178" i="36"/>
  <c r="K179" i="36"/>
  <c r="K180" i="36"/>
  <c r="K181" i="36"/>
  <c r="K182" i="36"/>
  <c r="K183" i="36"/>
  <c r="K184" i="36"/>
  <c r="K185" i="36"/>
  <c r="K186" i="36"/>
  <c r="K188" i="36"/>
  <c r="K189" i="36"/>
  <c r="K190" i="36"/>
  <c r="K191" i="36"/>
  <c r="K192" i="36"/>
  <c r="K193" i="36"/>
  <c r="K194" i="36"/>
  <c r="K195" i="36"/>
  <c r="K196" i="36"/>
  <c r="K197" i="36"/>
  <c r="K198" i="36"/>
  <c r="K199" i="36"/>
  <c r="K202" i="36"/>
  <c r="K203" i="36"/>
  <c r="K204" i="36"/>
  <c r="K205" i="36"/>
  <c r="K206" i="36"/>
  <c r="K207" i="36"/>
  <c r="K208" i="36"/>
  <c r="K209" i="36"/>
  <c r="K210" i="36"/>
  <c r="K211" i="36"/>
  <c r="K212" i="36"/>
  <c r="K214" i="36"/>
  <c r="K234" i="36" s="1"/>
  <c r="K215" i="36"/>
  <c r="K6" i="36"/>
  <c r="M7" i="36"/>
  <c r="M8" i="36"/>
  <c r="M9" i="36"/>
  <c r="M10" i="36"/>
  <c r="M11" i="36"/>
  <c r="M12" i="36"/>
  <c r="M13" i="36"/>
  <c r="M14" i="36"/>
  <c r="M15" i="36"/>
  <c r="M16" i="36"/>
  <c r="M17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4" i="36"/>
  <c r="M215" i="36"/>
  <c r="M6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4" i="36"/>
  <c r="L85" i="36"/>
  <c r="L86" i="36"/>
  <c r="L87" i="36"/>
  <c r="L88" i="36"/>
  <c r="L89" i="36"/>
  <c r="L90" i="36"/>
  <c r="L91" i="36"/>
  <c r="L92" i="36"/>
  <c r="L93" i="36"/>
  <c r="L94" i="36"/>
  <c r="L95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5" i="36"/>
  <c r="L176" i="36"/>
  <c r="L177" i="36"/>
  <c r="L178" i="36"/>
  <c r="L179" i="36"/>
  <c r="L180" i="36"/>
  <c r="L181" i="36"/>
  <c r="L182" i="36"/>
  <c r="L183" i="36"/>
  <c r="L184" i="36"/>
  <c r="L185" i="36"/>
  <c r="L186" i="36"/>
  <c r="L188" i="36"/>
  <c r="L189" i="36"/>
  <c r="L190" i="36"/>
  <c r="L191" i="36"/>
  <c r="L192" i="36"/>
  <c r="L193" i="36"/>
  <c r="L194" i="36"/>
  <c r="L195" i="36"/>
  <c r="L196" i="36"/>
  <c r="L197" i="36"/>
  <c r="L198" i="36"/>
  <c r="L199" i="36"/>
  <c r="L201" i="36"/>
  <c r="L202" i="36"/>
  <c r="L203" i="36"/>
  <c r="L204" i="36"/>
  <c r="L205" i="36"/>
  <c r="L206" i="36"/>
  <c r="L207" i="36"/>
  <c r="L208" i="36"/>
  <c r="L209" i="36"/>
  <c r="L210" i="36"/>
  <c r="L211" i="36"/>
  <c r="L212" i="36"/>
  <c r="L214" i="36"/>
  <c r="L234" i="36" s="1"/>
  <c r="L215" i="36"/>
  <c r="J7" i="36"/>
  <c r="J8" i="36"/>
  <c r="J9" i="36"/>
  <c r="J10" i="36"/>
  <c r="J11" i="36"/>
  <c r="J12" i="36"/>
  <c r="J13" i="36"/>
  <c r="J14" i="36"/>
  <c r="J15" i="36"/>
  <c r="J16" i="36"/>
  <c r="J17" i="36"/>
  <c r="J19" i="36"/>
  <c r="J20" i="36"/>
  <c r="J21" i="36"/>
  <c r="J22" i="36"/>
  <c r="J23" i="36"/>
  <c r="J24" i="36"/>
  <c r="J25" i="36"/>
  <c r="J26" i="36"/>
  <c r="J27" i="36"/>
  <c r="J28" i="36"/>
  <c r="J29" i="36"/>
  <c r="J30" i="36"/>
  <c r="J32" i="36"/>
  <c r="J33" i="36"/>
  <c r="J34" i="36"/>
  <c r="J35" i="36"/>
  <c r="J36" i="36"/>
  <c r="J37" i="36"/>
  <c r="J38" i="36"/>
  <c r="J39" i="36"/>
  <c r="J40" i="36"/>
  <c r="J41" i="36"/>
  <c r="J42" i="36"/>
  <c r="J43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8" i="36"/>
  <c r="J59" i="36"/>
  <c r="J60" i="36"/>
  <c r="J61" i="36"/>
  <c r="J62" i="36"/>
  <c r="J63" i="36"/>
  <c r="J64" i="36"/>
  <c r="J65" i="36"/>
  <c r="J66" i="36"/>
  <c r="J67" i="36"/>
  <c r="J68" i="36"/>
  <c r="J69" i="36"/>
  <c r="J71" i="36"/>
  <c r="J72" i="36"/>
  <c r="J73" i="36"/>
  <c r="J74" i="36"/>
  <c r="J75" i="36"/>
  <c r="J76" i="36"/>
  <c r="J77" i="36"/>
  <c r="J78" i="36"/>
  <c r="J79" i="36"/>
  <c r="J80" i="36"/>
  <c r="J81" i="36"/>
  <c r="J82" i="36"/>
  <c r="J84" i="36"/>
  <c r="J85" i="36"/>
  <c r="J86" i="36"/>
  <c r="J87" i="36"/>
  <c r="J88" i="36"/>
  <c r="J89" i="36"/>
  <c r="J90" i="36"/>
  <c r="J91" i="36"/>
  <c r="J92" i="36"/>
  <c r="J93" i="36"/>
  <c r="J94" i="36"/>
  <c r="J95" i="36"/>
  <c r="J97" i="36"/>
  <c r="J98" i="36"/>
  <c r="J99" i="36"/>
  <c r="J100" i="36"/>
  <c r="J101" i="36"/>
  <c r="J102" i="36"/>
  <c r="J103" i="36"/>
  <c r="J104" i="36"/>
  <c r="J105" i="36"/>
  <c r="J106" i="36"/>
  <c r="J107" i="36"/>
  <c r="J108" i="36"/>
  <c r="J110" i="36"/>
  <c r="J111" i="36"/>
  <c r="J112" i="36"/>
  <c r="J113" i="36"/>
  <c r="J114" i="36"/>
  <c r="J115" i="36"/>
  <c r="J116" i="36"/>
  <c r="J117" i="36"/>
  <c r="J118" i="36"/>
  <c r="J119" i="36"/>
  <c r="J120" i="36"/>
  <c r="J121" i="36"/>
  <c r="J123" i="36"/>
  <c r="J124" i="36"/>
  <c r="J125" i="36"/>
  <c r="J126" i="36"/>
  <c r="J127" i="36"/>
  <c r="J128" i="36"/>
  <c r="J129" i="36"/>
  <c r="J130" i="36"/>
  <c r="J131" i="36"/>
  <c r="J132" i="36"/>
  <c r="J133" i="36"/>
  <c r="J134" i="36"/>
  <c r="J136" i="36"/>
  <c r="J137" i="36"/>
  <c r="J138" i="36"/>
  <c r="J139" i="36"/>
  <c r="J140" i="36"/>
  <c r="J141" i="36"/>
  <c r="J142" i="36"/>
  <c r="J143" i="36"/>
  <c r="J144" i="36"/>
  <c r="J145" i="36"/>
  <c r="J146" i="36"/>
  <c r="J147" i="36"/>
  <c r="J149" i="36"/>
  <c r="J150" i="36"/>
  <c r="J151" i="36"/>
  <c r="J152" i="36"/>
  <c r="J153" i="36"/>
  <c r="J154" i="36"/>
  <c r="J155" i="36"/>
  <c r="J156" i="36"/>
  <c r="J157" i="36"/>
  <c r="J158" i="36"/>
  <c r="J159" i="36"/>
  <c r="J160" i="36"/>
  <c r="J162" i="36"/>
  <c r="J163" i="36"/>
  <c r="J164" i="36"/>
  <c r="J165" i="36"/>
  <c r="J166" i="36"/>
  <c r="J167" i="36"/>
  <c r="J168" i="36"/>
  <c r="J169" i="36"/>
  <c r="J170" i="36"/>
  <c r="J171" i="36"/>
  <c r="J172" i="36"/>
  <c r="J173" i="36"/>
  <c r="J175" i="36"/>
  <c r="J176" i="36"/>
  <c r="J177" i="36"/>
  <c r="J178" i="36"/>
  <c r="J179" i="36"/>
  <c r="J180" i="36"/>
  <c r="J181" i="36"/>
  <c r="J182" i="36"/>
  <c r="J183" i="36"/>
  <c r="J184" i="36"/>
  <c r="J185" i="36"/>
  <c r="J186" i="36"/>
  <c r="J188" i="36"/>
  <c r="J189" i="36"/>
  <c r="J190" i="36"/>
  <c r="J191" i="36"/>
  <c r="J192" i="36"/>
  <c r="J193" i="36"/>
  <c r="J194" i="36"/>
  <c r="J195" i="36"/>
  <c r="J196" i="36"/>
  <c r="J197" i="36"/>
  <c r="J198" i="36"/>
  <c r="J199" i="36"/>
  <c r="J201" i="36"/>
  <c r="J202" i="36"/>
  <c r="J203" i="36"/>
  <c r="J204" i="36"/>
  <c r="J205" i="36"/>
  <c r="J206" i="36"/>
  <c r="J207" i="36"/>
  <c r="J208" i="36"/>
  <c r="J209" i="36"/>
  <c r="J210" i="36"/>
  <c r="J211" i="36"/>
  <c r="J212" i="36"/>
  <c r="J214" i="36"/>
  <c r="J215" i="36"/>
  <c r="J6" i="36"/>
  <c r="I7" i="36"/>
  <c r="I8" i="36"/>
  <c r="I9" i="36"/>
  <c r="I10" i="36"/>
  <c r="I11" i="36"/>
  <c r="I12" i="36"/>
  <c r="I13" i="36"/>
  <c r="I14" i="36"/>
  <c r="I15" i="36"/>
  <c r="I16" i="36"/>
  <c r="I17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8" i="36"/>
  <c r="I59" i="36"/>
  <c r="I60" i="36"/>
  <c r="I61" i="36"/>
  <c r="I62" i="36"/>
  <c r="I63" i="36"/>
  <c r="I64" i="36"/>
  <c r="I65" i="36"/>
  <c r="I66" i="36"/>
  <c r="I67" i="36"/>
  <c r="I68" i="36"/>
  <c r="I69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4" i="36"/>
  <c r="I85" i="36"/>
  <c r="I86" i="36"/>
  <c r="I87" i="36"/>
  <c r="I88" i="36"/>
  <c r="I89" i="36"/>
  <c r="I90" i="36"/>
  <c r="I91" i="36"/>
  <c r="I92" i="36"/>
  <c r="I93" i="36"/>
  <c r="I94" i="36"/>
  <c r="I95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9" i="36"/>
  <c r="I150" i="36"/>
  <c r="I151" i="36"/>
  <c r="I152" i="36"/>
  <c r="I153" i="36"/>
  <c r="I154" i="36"/>
  <c r="I155" i="36"/>
  <c r="I156" i="36"/>
  <c r="I157" i="36"/>
  <c r="I158" i="36"/>
  <c r="I159" i="36"/>
  <c r="I160" i="36"/>
  <c r="I162" i="36"/>
  <c r="I163" i="36"/>
  <c r="I164" i="36"/>
  <c r="I165" i="36"/>
  <c r="I166" i="36"/>
  <c r="I167" i="36"/>
  <c r="I168" i="36"/>
  <c r="I169" i="36"/>
  <c r="I170" i="36"/>
  <c r="I171" i="36"/>
  <c r="I172" i="36"/>
  <c r="I173" i="36"/>
  <c r="I175" i="36"/>
  <c r="I176" i="36"/>
  <c r="I177" i="36"/>
  <c r="I178" i="36"/>
  <c r="I179" i="36"/>
  <c r="I180" i="36"/>
  <c r="I181" i="36"/>
  <c r="I182" i="36"/>
  <c r="I183" i="36"/>
  <c r="I184" i="36"/>
  <c r="I185" i="36"/>
  <c r="I186" i="36"/>
  <c r="I188" i="36"/>
  <c r="I189" i="36"/>
  <c r="I190" i="36"/>
  <c r="I191" i="36"/>
  <c r="I192" i="36"/>
  <c r="I193" i="36"/>
  <c r="I194" i="36"/>
  <c r="I195" i="36"/>
  <c r="I196" i="36"/>
  <c r="I197" i="36"/>
  <c r="I198" i="36"/>
  <c r="I199" i="36"/>
  <c r="I201" i="36"/>
  <c r="I202" i="36"/>
  <c r="I203" i="36"/>
  <c r="I204" i="36"/>
  <c r="I205" i="36"/>
  <c r="I206" i="36"/>
  <c r="I207" i="36"/>
  <c r="I208" i="36"/>
  <c r="I209" i="36"/>
  <c r="I210" i="36"/>
  <c r="I211" i="36"/>
  <c r="I212" i="36"/>
  <c r="I214" i="36"/>
  <c r="I234" i="36" s="1"/>
  <c r="I215" i="36"/>
  <c r="I6" i="36"/>
  <c r="D215" i="36"/>
  <c r="G137" i="36"/>
  <c r="G138" i="36"/>
  <c r="G139" i="36"/>
  <c r="G140" i="36"/>
  <c r="G141" i="36"/>
  <c r="G142" i="36"/>
  <c r="G143" i="36"/>
  <c r="G144" i="36"/>
  <c r="G145" i="36"/>
  <c r="G146" i="36"/>
  <c r="G147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5" i="36"/>
  <c r="G176" i="36"/>
  <c r="G177" i="36"/>
  <c r="G178" i="36"/>
  <c r="G179" i="36"/>
  <c r="G180" i="36"/>
  <c r="G181" i="36"/>
  <c r="G182" i="36"/>
  <c r="G183" i="36"/>
  <c r="G184" i="36"/>
  <c r="G185" i="36"/>
  <c r="G186" i="36"/>
  <c r="G188" i="36"/>
  <c r="G232" i="36" s="1"/>
  <c r="G189" i="36"/>
  <c r="G190" i="36"/>
  <c r="G191" i="36"/>
  <c r="G192" i="36"/>
  <c r="G193" i="36"/>
  <c r="G194" i="36"/>
  <c r="G195" i="36"/>
  <c r="G196" i="36"/>
  <c r="G197" i="36"/>
  <c r="G198" i="36"/>
  <c r="G199" i="36"/>
  <c r="G201" i="36"/>
  <c r="G202" i="36"/>
  <c r="G203" i="36"/>
  <c r="G204" i="36"/>
  <c r="G205" i="36"/>
  <c r="G206" i="36"/>
  <c r="G207" i="36"/>
  <c r="G208" i="36"/>
  <c r="G209" i="36"/>
  <c r="G210" i="36"/>
  <c r="C210" i="36" s="1"/>
  <c r="C418" i="36" s="1"/>
  <c r="G211" i="36"/>
  <c r="C206" i="36" s="1"/>
  <c r="C414" i="36" s="1"/>
  <c r="G212" i="36"/>
  <c r="C207" i="36" s="1"/>
  <c r="C415" i="36" s="1"/>
  <c r="G214" i="36"/>
  <c r="G215" i="36"/>
  <c r="G136" i="36"/>
  <c r="H137" i="36"/>
  <c r="H138" i="36"/>
  <c r="H139" i="36"/>
  <c r="H140" i="36"/>
  <c r="H141" i="36"/>
  <c r="H142" i="36"/>
  <c r="H143" i="36"/>
  <c r="H144" i="36"/>
  <c r="H145" i="36"/>
  <c r="H146" i="36"/>
  <c r="H147" i="36"/>
  <c r="H149" i="36"/>
  <c r="H150" i="36"/>
  <c r="H151" i="36"/>
  <c r="H152" i="36"/>
  <c r="H153" i="36"/>
  <c r="H154" i="36"/>
  <c r="H155" i="36"/>
  <c r="H156" i="36"/>
  <c r="H157" i="36"/>
  <c r="H158" i="36"/>
  <c r="H159" i="36"/>
  <c r="H160" i="36"/>
  <c r="H162" i="36"/>
  <c r="H163" i="36"/>
  <c r="H164" i="36"/>
  <c r="H165" i="36"/>
  <c r="H166" i="36"/>
  <c r="H167" i="36"/>
  <c r="H168" i="36"/>
  <c r="H169" i="36"/>
  <c r="H170" i="36"/>
  <c r="H171" i="36"/>
  <c r="H172" i="36"/>
  <c r="H173" i="36"/>
  <c r="H175" i="36"/>
  <c r="H176" i="36"/>
  <c r="H177" i="36"/>
  <c r="H178" i="36"/>
  <c r="H179" i="36"/>
  <c r="H180" i="36"/>
  <c r="H181" i="36"/>
  <c r="H182" i="36"/>
  <c r="H183" i="36"/>
  <c r="H184" i="36"/>
  <c r="H185" i="36"/>
  <c r="H186" i="36"/>
  <c r="H188" i="36"/>
  <c r="H189" i="36"/>
  <c r="H190" i="36"/>
  <c r="H191" i="36"/>
  <c r="H192" i="36"/>
  <c r="H193" i="36"/>
  <c r="H194" i="36"/>
  <c r="H195" i="36"/>
  <c r="H196" i="36"/>
  <c r="H197" i="36"/>
  <c r="H198" i="36"/>
  <c r="H199" i="36"/>
  <c r="H201" i="36"/>
  <c r="H202" i="36"/>
  <c r="H203" i="36"/>
  <c r="H204" i="36"/>
  <c r="H205" i="36"/>
  <c r="H206" i="36"/>
  <c r="H207" i="36"/>
  <c r="H208" i="36"/>
  <c r="H209" i="36"/>
  <c r="H210" i="36"/>
  <c r="H211" i="36"/>
  <c r="H212" i="36"/>
  <c r="H214" i="36"/>
  <c r="H234" i="36" s="1"/>
  <c r="H215" i="36"/>
  <c r="H136" i="36"/>
  <c r="H6" i="36"/>
  <c r="J231" i="36" l="1"/>
  <c r="M228" i="36"/>
  <c r="O231" i="36"/>
  <c r="O229" i="36"/>
  <c r="U233" i="36"/>
  <c r="U231" i="36"/>
  <c r="U229" i="36"/>
  <c r="H233" i="36"/>
  <c r="H231" i="36"/>
  <c r="H229" i="36"/>
  <c r="L233" i="36"/>
  <c r="L231" i="36"/>
  <c r="L229" i="36"/>
  <c r="K232" i="36"/>
  <c r="K230" i="36"/>
  <c r="K228" i="36"/>
  <c r="K233" i="36"/>
  <c r="Q233" i="36"/>
  <c r="Q231" i="36"/>
  <c r="Q229" i="36"/>
  <c r="T234" i="36"/>
  <c r="T232" i="36"/>
  <c r="T230" i="36"/>
  <c r="T228" i="36"/>
  <c r="C208" i="36"/>
  <c r="C416" i="36" s="1"/>
  <c r="G234" i="36"/>
  <c r="O233" i="36"/>
  <c r="P233" i="36"/>
  <c r="P229" i="36"/>
  <c r="H228" i="36"/>
  <c r="G233" i="36"/>
  <c r="G231" i="36"/>
  <c r="G229" i="36"/>
  <c r="G230" i="36"/>
  <c r="M234" i="36"/>
  <c r="M230" i="36"/>
  <c r="I228" i="36"/>
  <c r="P231" i="36"/>
  <c r="J234" i="36"/>
  <c r="J232" i="36"/>
  <c r="J230" i="36"/>
  <c r="J228" i="36"/>
  <c r="M233" i="36"/>
  <c r="M231" i="36"/>
  <c r="M229" i="36"/>
  <c r="O234" i="36"/>
  <c r="O232" i="36"/>
  <c r="O230" i="36"/>
  <c r="O228" i="36"/>
  <c r="U234" i="36"/>
  <c r="U232" i="36"/>
  <c r="U230" i="36"/>
  <c r="U228" i="36"/>
  <c r="J233" i="36"/>
  <c r="J229" i="36"/>
  <c r="I232" i="36"/>
  <c r="G228" i="36"/>
  <c r="L232" i="36"/>
  <c r="L230" i="36"/>
  <c r="L228" i="36"/>
  <c r="K231" i="36"/>
  <c r="K229" i="36"/>
  <c r="Q232" i="36"/>
  <c r="Q230" i="36"/>
  <c r="T233" i="36"/>
  <c r="T231" i="36"/>
  <c r="T229" i="36"/>
  <c r="M232" i="36"/>
  <c r="I230" i="36"/>
  <c r="H232" i="36"/>
  <c r="H230" i="36"/>
  <c r="I233" i="36"/>
  <c r="I231" i="36"/>
  <c r="I229" i="36"/>
  <c r="P232" i="36"/>
  <c r="P230" i="36"/>
  <c r="P228" i="36"/>
  <c r="Q228" i="36"/>
  <c r="C209" i="36"/>
  <c r="C417" i="36" s="1"/>
  <c r="X215" i="36"/>
  <c r="X208" i="36"/>
  <c r="X199" i="36"/>
  <c r="X191" i="36"/>
  <c r="X182" i="36"/>
  <c r="X196" i="36"/>
  <c r="X188" i="36"/>
  <c r="X212" i="36"/>
  <c r="X204" i="36"/>
  <c r="X195" i="36"/>
  <c r="X186" i="36"/>
  <c r="X178" i="36"/>
  <c r="X209" i="36"/>
  <c r="X201" i="36"/>
  <c r="X192" i="36"/>
  <c r="X183" i="36"/>
  <c r="X211" i="36"/>
  <c r="X203" i="36"/>
  <c r="X194" i="36"/>
  <c r="X185" i="36"/>
  <c r="X177" i="36"/>
  <c r="X180" i="36"/>
  <c r="X210" i="36"/>
  <c r="X202" i="36"/>
  <c r="X193" i="36"/>
  <c r="X184" i="36"/>
  <c r="X176" i="36"/>
  <c r="X205" i="36"/>
  <c r="X179" i="36"/>
  <c r="X207" i="36"/>
  <c r="X198" i="36"/>
  <c r="X190" i="36"/>
  <c r="X181" i="36"/>
  <c r="X206" i="36"/>
  <c r="X197" i="36"/>
  <c r="X189" i="36"/>
  <c r="X214" i="36"/>
  <c r="X234" i="36" s="1"/>
  <c r="R142" i="36"/>
  <c r="R210" i="36"/>
  <c r="R202" i="36"/>
  <c r="R193" i="36"/>
  <c r="R184" i="36"/>
  <c r="R176" i="36"/>
  <c r="R167" i="36"/>
  <c r="R158" i="36"/>
  <c r="R150" i="36"/>
  <c r="R181" i="36"/>
  <c r="R199" i="36"/>
  <c r="R156" i="36"/>
  <c r="R212" i="36"/>
  <c r="R204" i="36"/>
  <c r="R195" i="36"/>
  <c r="R186" i="36"/>
  <c r="R178" i="36"/>
  <c r="R169" i="36"/>
  <c r="R160" i="36"/>
  <c r="R152" i="36"/>
  <c r="R143" i="36"/>
  <c r="R211" i="36"/>
  <c r="R203" i="36"/>
  <c r="R194" i="36"/>
  <c r="R185" i="36"/>
  <c r="R177" i="36"/>
  <c r="R168" i="36"/>
  <c r="R159" i="36"/>
  <c r="R151" i="36"/>
  <c r="R209" i="36"/>
  <c r="R201" i="36"/>
  <c r="R192" i="36"/>
  <c r="R183" i="36"/>
  <c r="R175" i="36"/>
  <c r="R166" i="36"/>
  <c r="R157" i="36"/>
  <c r="R149" i="36"/>
  <c r="R214" i="36"/>
  <c r="R205" i="36"/>
  <c r="R196" i="36"/>
  <c r="R188" i="36"/>
  <c r="R179" i="36"/>
  <c r="R170" i="36"/>
  <c r="R162" i="36"/>
  <c r="R153" i="36"/>
  <c r="R144" i="36"/>
  <c r="R155" i="36"/>
  <c r="R208" i="36"/>
  <c r="R191" i="36"/>
  <c r="R182" i="36"/>
  <c r="R173" i="36"/>
  <c r="R165" i="36"/>
  <c r="R147" i="36"/>
  <c r="R207" i="36"/>
  <c r="R198" i="36"/>
  <c r="R190" i="36"/>
  <c r="R172" i="36"/>
  <c r="R164" i="36"/>
  <c r="R146" i="36"/>
  <c r="R215" i="36"/>
  <c r="R206" i="36"/>
  <c r="R197" i="36"/>
  <c r="R189" i="36"/>
  <c r="R180" i="36"/>
  <c r="R171" i="36"/>
  <c r="R163" i="36"/>
  <c r="R154" i="36"/>
  <c r="R145" i="36"/>
  <c r="N210" i="36"/>
  <c r="N202" i="36"/>
  <c r="N185" i="36"/>
  <c r="N177" i="36"/>
  <c r="N116" i="36"/>
  <c r="N81" i="36"/>
  <c r="N73" i="36"/>
  <c r="N12" i="36"/>
  <c r="N167" i="36"/>
  <c r="N115" i="36"/>
  <c r="N80" i="36"/>
  <c r="N37" i="36"/>
  <c r="N192" i="36"/>
  <c r="N183" i="36"/>
  <c r="N175" i="36"/>
  <c r="N166" i="36"/>
  <c r="N157" i="36"/>
  <c r="N149" i="36"/>
  <c r="N131" i="36"/>
  <c r="N123" i="36"/>
  <c r="N114" i="36"/>
  <c r="N88" i="36"/>
  <c r="N79" i="36"/>
  <c r="N71" i="36"/>
  <c r="N62" i="36"/>
  <c r="N53" i="36"/>
  <c r="N45" i="36"/>
  <c r="N27" i="36"/>
  <c r="N19" i="36"/>
  <c r="N10" i="36"/>
  <c r="N158" i="36"/>
  <c r="N28" i="36"/>
  <c r="N193" i="36"/>
  <c r="N124" i="36"/>
  <c r="N54" i="36"/>
  <c r="N150" i="36"/>
  <c r="N98" i="36"/>
  <c r="N63" i="36"/>
  <c r="N11" i="36"/>
  <c r="N215" i="36"/>
  <c r="N206" i="36"/>
  <c r="N197" i="36"/>
  <c r="N189" i="36"/>
  <c r="N171" i="36"/>
  <c r="N163" i="36"/>
  <c r="N154" i="36"/>
  <c r="N128" i="36"/>
  <c r="N119" i="36"/>
  <c r="N111" i="36"/>
  <c r="N102" i="36"/>
  <c r="N93" i="36"/>
  <c r="N85" i="36"/>
  <c r="N67" i="36"/>
  <c r="N59" i="36"/>
  <c r="N50" i="36"/>
  <c r="N24" i="36"/>
  <c r="N15" i="36"/>
  <c r="N7" i="36"/>
  <c r="N176" i="36"/>
  <c r="N141" i="36"/>
  <c r="S141" i="36" s="1"/>
  <c r="N106" i="36"/>
  <c r="N72" i="36"/>
  <c r="N20" i="36"/>
  <c r="N214" i="36"/>
  <c r="N234" i="36" s="1"/>
  <c r="N205" i="36"/>
  <c r="N179" i="36"/>
  <c r="N170" i="36"/>
  <c r="N162" i="36"/>
  <c r="N144" i="36"/>
  <c r="N136" i="36"/>
  <c r="N127" i="36"/>
  <c r="N118" i="36"/>
  <c r="N110" i="36"/>
  <c r="N101" i="36"/>
  <c r="N75" i="36"/>
  <c r="N66" i="36"/>
  <c r="N58" i="36"/>
  <c r="N40" i="36"/>
  <c r="N32" i="36"/>
  <c r="N23" i="36"/>
  <c r="N14" i="36"/>
  <c r="N184" i="36"/>
  <c r="N132" i="36"/>
  <c r="N89" i="36"/>
  <c r="N46" i="36"/>
  <c r="N195" i="36"/>
  <c r="N186" i="36"/>
  <c r="N178" i="36"/>
  <c r="N160" i="36"/>
  <c r="N152" i="36"/>
  <c r="N143" i="36"/>
  <c r="N134" i="36"/>
  <c r="N126" i="36"/>
  <c r="N117" i="36"/>
  <c r="N91" i="36"/>
  <c r="N82" i="36"/>
  <c r="N74" i="36"/>
  <c r="N56" i="36"/>
  <c r="N48" i="36"/>
  <c r="N39" i="36"/>
  <c r="N30" i="36"/>
  <c r="N22" i="36"/>
  <c r="N13" i="36"/>
  <c r="N211" i="36"/>
  <c r="N203" i="36"/>
  <c r="N194" i="36"/>
  <c r="N168" i="36"/>
  <c r="N159" i="36"/>
  <c r="N151" i="36"/>
  <c r="N142" i="36"/>
  <c r="N133" i="36"/>
  <c r="N125" i="36"/>
  <c r="N107" i="36"/>
  <c r="N99" i="36"/>
  <c r="N90" i="36"/>
  <c r="N64" i="36"/>
  <c r="N55" i="36"/>
  <c r="N47" i="36"/>
  <c r="N38" i="36"/>
  <c r="N29" i="36"/>
  <c r="N21" i="36"/>
  <c r="N212" i="36"/>
  <c r="N204" i="36"/>
  <c r="N169" i="36"/>
  <c r="N108" i="36"/>
  <c r="N100" i="36"/>
  <c r="N65" i="36"/>
  <c r="N196" i="36"/>
  <c r="N188" i="36"/>
  <c r="N153" i="36"/>
  <c r="N92" i="36"/>
  <c r="N84" i="36"/>
  <c r="N49" i="36"/>
  <c r="N156" i="36"/>
  <c r="N121" i="36"/>
  <c r="N113" i="36"/>
  <c r="N52" i="36"/>
  <c r="N17" i="36"/>
  <c r="N9" i="36"/>
  <c r="N208" i="36"/>
  <c r="S208" i="36" s="1"/>
  <c r="Y208" i="36" s="1"/>
  <c r="N199" i="36"/>
  <c r="N191" i="36"/>
  <c r="N182" i="36"/>
  <c r="N173" i="36"/>
  <c r="N165" i="36"/>
  <c r="N147" i="36"/>
  <c r="N139" i="36"/>
  <c r="S139" i="36" s="1"/>
  <c r="N130" i="36"/>
  <c r="N104" i="36"/>
  <c r="N95" i="36"/>
  <c r="N87" i="36"/>
  <c r="N78" i="36"/>
  <c r="N69" i="36"/>
  <c r="N61" i="36"/>
  <c r="N43" i="36"/>
  <c r="N35" i="36"/>
  <c r="N26" i="36"/>
  <c r="N207" i="36"/>
  <c r="N198" i="36"/>
  <c r="N190" i="36"/>
  <c r="N181" i="36"/>
  <c r="N172" i="36"/>
  <c r="N164" i="36"/>
  <c r="N155" i="36"/>
  <c r="N146" i="36"/>
  <c r="N138" i="36"/>
  <c r="S138" i="36" s="1"/>
  <c r="N129" i="36"/>
  <c r="N120" i="36"/>
  <c r="N112" i="36"/>
  <c r="N103" i="36"/>
  <c r="N94" i="36"/>
  <c r="N86" i="36"/>
  <c r="N77" i="36"/>
  <c r="N68" i="36"/>
  <c r="N60" i="36"/>
  <c r="N51" i="36"/>
  <c r="N42" i="36"/>
  <c r="N34" i="36"/>
  <c r="N25" i="36"/>
  <c r="N16" i="36"/>
  <c r="N8" i="36"/>
  <c r="N209" i="36"/>
  <c r="N201" i="36"/>
  <c r="N233" i="36" s="1"/>
  <c r="N140" i="36"/>
  <c r="S140" i="36" s="1"/>
  <c r="N105" i="36"/>
  <c r="N97" i="36"/>
  <c r="N36" i="36"/>
  <c r="N180" i="36"/>
  <c r="S180" i="36" s="1"/>
  <c r="N145" i="36"/>
  <c r="N137" i="36"/>
  <c r="S137" i="36" s="1"/>
  <c r="N76" i="36"/>
  <c r="N41" i="36"/>
  <c r="N33" i="36"/>
  <c r="C215" i="36"/>
  <c r="C214" i="36"/>
  <c r="C212" i="36"/>
  <c r="C420" i="36" s="1"/>
  <c r="C211" i="36"/>
  <c r="C419" i="36" s="1"/>
  <c r="R232" i="36" l="1"/>
  <c r="R228" i="36"/>
  <c r="X233" i="36"/>
  <c r="R231" i="36"/>
  <c r="R233" i="36"/>
  <c r="N231" i="36"/>
  <c r="S136" i="36"/>
  <c r="N228" i="36"/>
  <c r="N229" i="36"/>
  <c r="R234" i="36"/>
  <c r="N232" i="36"/>
  <c r="R229" i="36"/>
  <c r="X232" i="36"/>
  <c r="N230" i="36"/>
  <c r="R230" i="36"/>
  <c r="Y180" i="36"/>
  <c r="S142" i="36"/>
  <c r="S168" i="36"/>
  <c r="S202" i="36"/>
  <c r="Y202" i="36" s="1"/>
  <c r="S169" i="36"/>
  <c r="S177" i="36"/>
  <c r="Y177" i="36" s="1"/>
  <c r="S181" i="36"/>
  <c r="Y181" i="36" s="1"/>
  <c r="S210" i="36"/>
  <c r="Y210" i="36" s="1"/>
  <c r="S182" i="36"/>
  <c r="Y182" i="36" s="1"/>
  <c r="S160" i="36"/>
  <c r="S173" i="36"/>
  <c r="S166" i="36"/>
  <c r="S146" i="36"/>
  <c r="S199" i="36"/>
  <c r="Y199" i="36" s="1"/>
  <c r="S155" i="36"/>
  <c r="S184" i="36"/>
  <c r="Y184" i="36" s="1"/>
  <c r="S151" i="36"/>
  <c r="S193" i="36"/>
  <c r="Y193" i="36" s="1"/>
  <c r="S175" i="36"/>
  <c r="S167" i="36"/>
  <c r="S150" i="36"/>
  <c r="S176" i="36"/>
  <c r="Y176" i="36" s="1"/>
  <c r="S158" i="36"/>
  <c r="S144" i="36"/>
  <c r="S156" i="36"/>
  <c r="S171" i="36"/>
  <c r="S204" i="36"/>
  <c r="Y204" i="36" s="1"/>
  <c r="S197" i="36"/>
  <c r="Y197" i="36" s="1"/>
  <c r="S211" i="36"/>
  <c r="Y211" i="36" s="1"/>
  <c r="S214" i="36"/>
  <c r="S209" i="36"/>
  <c r="Y209" i="36" s="1"/>
  <c r="S207" i="36"/>
  <c r="Y207" i="36" s="1"/>
  <c r="S189" i="36"/>
  <c r="Y189" i="36" s="1"/>
  <c r="S195" i="36"/>
  <c r="Y195" i="36" s="1"/>
  <c r="S194" i="36"/>
  <c r="Y194" i="36" s="1"/>
  <c r="S203" i="36"/>
  <c r="Y203" i="36" s="1"/>
  <c r="S205" i="36"/>
  <c r="Y205" i="36" s="1"/>
  <c r="S190" i="36"/>
  <c r="Y190" i="36" s="1"/>
  <c r="S196" i="36"/>
  <c r="Y196" i="36" s="1"/>
  <c r="S178" i="36"/>
  <c r="Y178" i="36" s="1"/>
  <c r="S201" i="36"/>
  <c r="S198" i="36"/>
  <c r="Y198" i="36" s="1"/>
  <c r="S186" i="36"/>
  <c r="Y186" i="36" s="1"/>
  <c r="S191" i="36"/>
  <c r="Y191" i="36" s="1"/>
  <c r="S192" i="36"/>
  <c r="Y192" i="36" s="1"/>
  <c r="S183" i="36"/>
  <c r="Y183" i="36" s="1"/>
  <c r="S159" i="36"/>
  <c r="S143" i="36"/>
  <c r="S170" i="36"/>
  <c r="S185" i="36"/>
  <c r="Y185" i="36" s="1"/>
  <c r="S172" i="36"/>
  <c r="S212" i="36"/>
  <c r="Y212" i="36" s="1"/>
  <c r="S152" i="36"/>
  <c r="S149" i="36"/>
  <c r="S188" i="36"/>
  <c r="S157" i="36"/>
  <c r="S162" i="36"/>
  <c r="S230" i="36" s="1"/>
  <c r="S164" i="36"/>
  <c r="S163" i="36"/>
  <c r="S147" i="36"/>
  <c r="S153" i="36"/>
  <c r="S179" i="36"/>
  <c r="Y179" i="36" s="1"/>
  <c r="S206" i="36"/>
  <c r="Y206" i="36" s="1"/>
  <c r="S145" i="36"/>
  <c r="S165" i="36"/>
  <c r="S215" i="36"/>
  <c r="S154" i="36"/>
  <c r="S228" i="36" l="1"/>
  <c r="S229" i="36"/>
  <c r="Y214" i="36"/>
  <c r="Y234" i="36" s="1"/>
  <c r="S234" i="36"/>
  <c r="Y201" i="36"/>
  <c r="Y233" i="36" s="1"/>
  <c r="S233" i="36"/>
  <c r="Y188" i="36"/>
  <c r="Y232" i="36" s="1"/>
  <c r="S232" i="36"/>
  <c r="S231" i="36"/>
  <c r="Y215" i="36"/>
  <c r="V175" i="36"/>
  <c r="V173" i="36"/>
  <c r="X173" i="36" s="1"/>
  <c r="Y173" i="36" s="1"/>
  <c r="V172" i="36"/>
  <c r="X172" i="36" s="1"/>
  <c r="Y172" i="36" s="1"/>
  <c r="V171" i="36"/>
  <c r="X171" i="36" s="1"/>
  <c r="Y171" i="36" s="1"/>
  <c r="V170" i="36"/>
  <c r="X170" i="36" s="1"/>
  <c r="Y170" i="36" s="1"/>
  <c r="V169" i="36"/>
  <c r="X169" i="36" s="1"/>
  <c r="Y169" i="36" s="1"/>
  <c r="V168" i="36"/>
  <c r="X168" i="36" s="1"/>
  <c r="Y168" i="36" s="1"/>
  <c r="V167" i="36"/>
  <c r="X167" i="36" s="1"/>
  <c r="Y167" i="36" s="1"/>
  <c r="V166" i="36"/>
  <c r="X166" i="36" s="1"/>
  <c r="Y166" i="36" s="1"/>
  <c r="V165" i="36"/>
  <c r="X165" i="36" s="1"/>
  <c r="Y165" i="36" s="1"/>
  <c r="V164" i="36"/>
  <c r="X164" i="36" s="1"/>
  <c r="Y164" i="36" s="1"/>
  <c r="V163" i="36"/>
  <c r="X163" i="36" s="1"/>
  <c r="Y163" i="36" s="1"/>
  <c r="V162" i="36"/>
  <c r="V160" i="36"/>
  <c r="X160" i="36" s="1"/>
  <c r="Y160" i="36" s="1"/>
  <c r="V159" i="36"/>
  <c r="X159" i="36" s="1"/>
  <c r="Y159" i="36" s="1"/>
  <c r="V158" i="36"/>
  <c r="X158" i="36" s="1"/>
  <c r="Y158" i="36" s="1"/>
  <c r="V157" i="36"/>
  <c r="X157" i="36" s="1"/>
  <c r="Y157" i="36" s="1"/>
  <c r="V156" i="36"/>
  <c r="X156" i="36" s="1"/>
  <c r="Y156" i="36" s="1"/>
  <c r="V155" i="36"/>
  <c r="X155" i="36" s="1"/>
  <c r="Y155" i="36" s="1"/>
  <c r="V154" i="36"/>
  <c r="X154" i="36" s="1"/>
  <c r="Y154" i="36" s="1"/>
  <c r="V153" i="36"/>
  <c r="X153" i="36" s="1"/>
  <c r="Y153" i="36" s="1"/>
  <c r="V152" i="36"/>
  <c r="X152" i="36" s="1"/>
  <c r="Y152" i="36" s="1"/>
  <c r="V151" i="36"/>
  <c r="X151" i="36" s="1"/>
  <c r="Y151" i="36" s="1"/>
  <c r="V150" i="36"/>
  <c r="X150" i="36" s="1"/>
  <c r="Y150" i="36" s="1"/>
  <c r="V149" i="36"/>
  <c r="V147" i="36"/>
  <c r="X147" i="36" s="1"/>
  <c r="Y147" i="36" s="1"/>
  <c r="V146" i="36"/>
  <c r="X146" i="36" s="1"/>
  <c r="Y146" i="36" s="1"/>
  <c r="V145" i="36"/>
  <c r="X145" i="36" s="1"/>
  <c r="Y145" i="36" s="1"/>
  <c r="V144" i="36"/>
  <c r="X144" i="36" s="1"/>
  <c r="Y144" i="36" s="1"/>
  <c r="V143" i="36"/>
  <c r="X143" i="36" s="1"/>
  <c r="Y143" i="36" s="1"/>
  <c r="V142" i="36"/>
  <c r="X142" i="36" s="1"/>
  <c r="Y142" i="36" s="1"/>
  <c r="V141" i="36"/>
  <c r="X141" i="36" s="1"/>
  <c r="Y141" i="36" s="1"/>
  <c r="V140" i="36"/>
  <c r="X140" i="36" s="1"/>
  <c r="Y140" i="36" s="1"/>
  <c r="V139" i="36"/>
  <c r="X139" i="36" s="1"/>
  <c r="Y139" i="36" s="1"/>
  <c r="V138" i="36"/>
  <c r="X138" i="36" s="1"/>
  <c r="Y138" i="36" s="1"/>
  <c r="V137" i="36"/>
  <c r="X137" i="36" s="1"/>
  <c r="Y137" i="36" s="1"/>
  <c r="V136" i="36"/>
  <c r="V134" i="36"/>
  <c r="X134" i="36" s="1"/>
  <c r="H134" i="36"/>
  <c r="G134" i="36"/>
  <c r="D134" i="36"/>
  <c r="V133" i="36"/>
  <c r="X133" i="36" s="1"/>
  <c r="H133" i="36"/>
  <c r="G133" i="36"/>
  <c r="D133" i="36"/>
  <c r="V132" i="36"/>
  <c r="X132" i="36" s="1"/>
  <c r="H132" i="36"/>
  <c r="G132" i="36"/>
  <c r="D132" i="36"/>
  <c r="V131" i="36"/>
  <c r="X131" i="36" s="1"/>
  <c r="H131" i="36"/>
  <c r="G131" i="36"/>
  <c r="D131" i="36"/>
  <c r="V130" i="36"/>
  <c r="X130" i="36" s="1"/>
  <c r="H130" i="36"/>
  <c r="G130" i="36"/>
  <c r="D130" i="36"/>
  <c r="V129" i="36"/>
  <c r="X129" i="36" s="1"/>
  <c r="H129" i="36"/>
  <c r="G129" i="36"/>
  <c r="D129" i="36"/>
  <c r="V128" i="36"/>
  <c r="X128" i="36" s="1"/>
  <c r="H128" i="36"/>
  <c r="G128" i="36"/>
  <c r="D128" i="36"/>
  <c r="V127" i="36"/>
  <c r="X127" i="36" s="1"/>
  <c r="H127" i="36"/>
  <c r="G127" i="36"/>
  <c r="D127" i="36"/>
  <c r="V126" i="36"/>
  <c r="X126" i="36" s="1"/>
  <c r="H126" i="36"/>
  <c r="G126" i="36"/>
  <c r="D126" i="36"/>
  <c r="V125" i="36"/>
  <c r="X125" i="36" s="1"/>
  <c r="H125" i="36"/>
  <c r="G125" i="36"/>
  <c r="D125" i="36"/>
  <c r="V124" i="36"/>
  <c r="X124" i="36" s="1"/>
  <c r="H124" i="36"/>
  <c r="G124" i="36"/>
  <c r="D124" i="36"/>
  <c r="V123" i="36"/>
  <c r="X123" i="36" s="1"/>
  <c r="H123" i="36"/>
  <c r="G123" i="36"/>
  <c r="D123" i="36"/>
  <c r="V121" i="36"/>
  <c r="X121" i="36" s="1"/>
  <c r="H121" i="36"/>
  <c r="G121" i="36"/>
  <c r="D121" i="36"/>
  <c r="V120" i="36"/>
  <c r="X120" i="36" s="1"/>
  <c r="H120" i="36"/>
  <c r="G120" i="36"/>
  <c r="D120" i="36"/>
  <c r="V119" i="36"/>
  <c r="X119" i="36" s="1"/>
  <c r="H119" i="36"/>
  <c r="G119" i="36"/>
  <c r="D119" i="36"/>
  <c r="V118" i="36"/>
  <c r="X118" i="36" s="1"/>
  <c r="H118" i="36"/>
  <c r="G118" i="36"/>
  <c r="D118" i="36"/>
  <c r="V117" i="36"/>
  <c r="X117" i="36" s="1"/>
  <c r="H117" i="36"/>
  <c r="G117" i="36"/>
  <c r="D117" i="36"/>
  <c r="V116" i="36"/>
  <c r="X116" i="36" s="1"/>
  <c r="H116" i="36"/>
  <c r="G116" i="36"/>
  <c r="D116" i="36"/>
  <c r="V115" i="36"/>
  <c r="X115" i="36" s="1"/>
  <c r="H115" i="36"/>
  <c r="G115" i="36"/>
  <c r="D115" i="36"/>
  <c r="V114" i="36"/>
  <c r="X114" i="36" s="1"/>
  <c r="H114" i="36"/>
  <c r="G114" i="36"/>
  <c r="D114" i="36"/>
  <c r="V113" i="36"/>
  <c r="X113" i="36" s="1"/>
  <c r="H113" i="36"/>
  <c r="G113" i="36"/>
  <c r="D113" i="36"/>
  <c r="V112" i="36"/>
  <c r="X112" i="36" s="1"/>
  <c r="H112" i="36"/>
  <c r="G112" i="36"/>
  <c r="D112" i="36"/>
  <c r="V111" i="36"/>
  <c r="X111" i="36" s="1"/>
  <c r="H111" i="36"/>
  <c r="G111" i="36"/>
  <c r="D111" i="36"/>
  <c r="V110" i="36"/>
  <c r="X110" i="36" s="1"/>
  <c r="H110" i="36"/>
  <c r="G110" i="36"/>
  <c r="D110" i="36"/>
  <c r="V108" i="36"/>
  <c r="X108" i="36" s="1"/>
  <c r="H108" i="36"/>
  <c r="G108" i="36"/>
  <c r="D108" i="36"/>
  <c r="V107" i="36"/>
  <c r="X107" i="36" s="1"/>
  <c r="H107" i="36"/>
  <c r="G107" i="36"/>
  <c r="D107" i="36"/>
  <c r="V106" i="36"/>
  <c r="X106" i="36" s="1"/>
  <c r="H106" i="36"/>
  <c r="G106" i="36"/>
  <c r="D106" i="36"/>
  <c r="V105" i="36"/>
  <c r="X105" i="36" s="1"/>
  <c r="H105" i="36"/>
  <c r="G105" i="36"/>
  <c r="D105" i="36"/>
  <c r="V104" i="36"/>
  <c r="X104" i="36" s="1"/>
  <c r="H104" i="36"/>
  <c r="G104" i="36"/>
  <c r="D104" i="36"/>
  <c r="V103" i="36"/>
  <c r="X103" i="36" s="1"/>
  <c r="H103" i="36"/>
  <c r="G103" i="36"/>
  <c r="D103" i="36"/>
  <c r="V102" i="36"/>
  <c r="X102" i="36" s="1"/>
  <c r="H102" i="36"/>
  <c r="G102" i="36"/>
  <c r="D102" i="36"/>
  <c r="V101" i="36"/>
  <c r="X101" i="36" s="1"/>
  <c r="H101" i="36"/>
  <c r="G101" i="36"/>
  <c r="D101" i="36"/>
  <c r="V100" i="36"/>
  <c r="X100" i="36" s="1"/>
  <c r="H100" i="36"/>
  <c r="G100" i="36"/>
  <c r="D100" i="36"/>
  <c r="V99" i="36"/>
  <c r="X99" i="36" s="1"/>
  <c r="H99" i="36"/>
  <c r="G99" i="36"/>
  <c r="D99" i="36"/>
  <c r="V98" i="36"/>
  <c r="X98" i="36" s="1"/>
  <c r="H98" i="36"/>
  <c r="G98" i="36"/>
  <c r="D98" i="36"/>
  <c r="V97" i="36"/>
  <c r="X97" i="36" s="1"/>
  <c r="H97" i="36"/>
  <c r="G97" i="36"/>
  <c r="D97" i="36"/>
  <c r="V95" i="36"/>
  <c r="X95" i="36" s="1"/>
  <c r="H95" i="36"/>
  <c r="G95" i="36"/>
  <c r="D95" i="36"/>
  <c r="V94" i="36"/>
  <c r="X94" i="36" s="1"/>
  <c r="H94" i="36"/>
  <c r="G94" i="36"/>
  <c r="D94" i="36"/>
  <c r="V93" i="36"/>
  <c r="X93" i="36" s="1"/>
  <c r="H93" i="36"/>
  <c r="G93" i="36"/>
  <c r="D93" i="36"/>
  <c r="V92" i="36"/>
  <c r="X92" i="36" s="1"/>
  <c r="H92" i="36"/>
  <c r="G92" i="36"/>
  <c r="D92" i="36"/>
  <c r="V91" i="36"/>
  <c r="X91" i="36" s="1"/>
  <c r="H91" i="36"/>
  <c r="G91" i="36"/>
  <c r="D91" i="36"/>
  <c r="V90" i="36"/>
  <c r="X90" i="36" s="1"/>
  <c r="H90" i="36"/>
  <c r="G90" i="36"/>
  <c r="D90" i="36"/>
  <c r="V89" i="36"/>
  <c r="X89" i="36" s="1"/>
  <c r="H89" i="36"/>
  <c r="G89" i="36"/>
  <c r="D89" i="36"/>
  <c r="V88" i="36"/>
  <c r="X88" i="36" s="1"/>
  <c r="H88" i="36"/>
  <c r="G88" i="36"/>
  <c r="D88" i="36"/>
  <c r="V87" i="36"/>
  <c r="X87" i="36" s="1"/>
  <c r="H87" i="36"/>
  <c r="G87" i="36"/>
  <c r="D87" i="36"/>
  <c r="V86" i="36"/>
  <c r="X86" i="36" s="1"/>
  <c r="H86" i="36"/>
  <c r="G86" i="36"/>
  <c r="D86" i="36"/>
  <c r="V85" i="36"/>
  <c r="X85" i="36" s="1"/>
  <c r="H85" i="36"/>
  <c r="G85" i="36"/>
  <c r="D85" i="36"/>
  <c r="V84" i="36"/>
  <c r="X84" i="36" s="1"/>
  <c r="H84" i="36"/>
  <c r="G84" i="36"/>
  <c r="D84" i="36"/>
  <c r="V82" i="36"/>
  <c r="X82" i="36" s="1"/>
  <c r="H82" i="36"/>
  <c r="G82" i="36"/>
  <c r="D82" i="36"/>
  <c r="V81" i="36"/>
  <c r="X81" i="36" s="1"/>
  <c r="H81" i="36"/>
  <c r="G81" i="36"/>
  <c r="D81" i="36"/>
  <c r="V80" i="36"/>
  <c r="X80" i="36" s="1"/>
  <c r="H80" i="36"/>
  <c r="G80" i="36"/>
  <c r="D80" i="36"/>
  <c r="V79" i="36"/>
  <c r="X79" i="36" s="1"/>
  <c r="H79" i="36"/>
  <c r="G79" i="36"/>
  <c r="D79" i="36"/>
  <c r="V78" i="36"/>
  <c r="X78" i="36" s="1"/>
  <c r="H78" i="36"/>
  <c r="G78" i="36"/>
  <c r="D78" i="36"/>
  <c r="V77" i="36"/>
  <c r="X77" i="36" s="1"/>
  <c r="H77" i="36"/>
  <c r="G77" i="36"/>
  <c r="D77" i="36"/>
  <c r="V76" i="36"/>
  <c r="X76" i="36" s="1"/>
  <c r="H76" i="36"/>
  <c r="G76" i="36"/>
  <c r="D76" i="36"/>
  <c r="V75" i="36"/>
  <c r="X75" i="36" s="1"/>
  <c r="H75" i="36"/>
  <c r="G75" i="36"/>
  <c r="D75" i="36"/>
  <c r="V74" i="36"/>
  <c r="X74" i="36" s="1"/>
  <c r="H74" i="36"/>
  <c r="G74" i="36"/>
  <c r="D74" i="36"/>
  <c r="V73" i="36"/>
  <c r="X73" i="36" s="1"/>
  <c r="H73" i="36"/>
  <c r="G73" i="36"/>
  <c r="D73" i="36"/>
  <c r="V72" i="36"/>
  <c r="X72" i="36" s="1"/>
  <c r="H72" i="36"/>
  <c r="G72" i="36"/>
  <c r="D72" i="36"/>
  <c r="V71" i="36"/>
  <c r="X71" i="36" s="1"/>
  <c r="H71" i="36"/>
  <c r="G71" i="36"/>
  <c r="D71" i="36"/>
  <c r="V69" i="36"/>
  <c r="X69" i="36" s="1"/>
  <c r="H69" i="36"/>
  <c r="G69" i="36"/>
  <c r="D69" i="36"/>
  <c r="V68" i="36"/>
  <c r="X68" i="36" s="1"/>
  <c r="H68" i="36"/>
  <c r="G68" i="36"/>
  <c r="D68" i="36"/>
  <c r="V67" i="36"/>
  <c r="X67" i="36" s="1"/>
  <c r="H67" i="36"/>
  <c r="G67" i="36"/>
  <c r="D67" i="36"/>
  <c r="V66" i="36"/>
  <c r="X66" i="36" s="1"/>
  <c r="H66" i="36"/>
  <c r="G66" i="36"/>
  <c r="D66" i="36"/>
  <c r="V65" i="36"/>
  <c r="X65" i="36" s="1"/>
  <c r="H65" i="36"/>
  <c r="G65" i="36"/>
  <c r="D65" i="36"/>
  <c r="V64" i="36"/>
  <c r="X64" i="36" s="1"/>
  <c r="H64" i="36"/>
  <c r="G64" i="36"/>
  <c r="D64" i="36"/>
  <c r="V63" i="36"/>
  <c r="X63" i="36" s="1"/>
  <c r="H63" i="36"/>
  <c r="G63" i="36"/>
  <c r="D63" i="36"/>
  <c r="V62" i="36"/>
  <c r="X62" i="36" s="1"/>
  <c r="H62" i="36"/>
  <c r="G62" i="36"/>
  <c r="D62" i="36"/>
  <c r="V61" i="36"/>
  <c r="X61" i="36" s="1"/>
  <c r="H61" i="36"/>
  <c r="G61" i="36"/>
  <c r="D61" i="36"/>
  <c r="V60" i="36"/>
  <c r="X60" i="36" s="1"/>
  <c r="H60" i="36"/>
  <c r="G60" i="36"/>
  <c r="D60" i="36"/>
  <c r="V59" i="36"/>
  <c r="X59" i="36" s="1"/>
  <c r="H59" i="36"/>
  <c r="G59" i="36"/>
  <c r="D59" i="36"/>
  <c r="V58" i="36"/>
  <c r="X58" i="36" s="1"/>
  <c r="H58" i="36"/>
  <c r="G58" i="36"/>
  <c r="D58" i="36"/>
  <c r="V56" i="36"/>
  <c r="X56" i="36" s="1"/>
  <c r="H56" i="36"/>
  <c r="G56" i="36"/>
  <c r="V55" i="36"/>
  <c r="X55" i="36" s="1"/>
  <c r="H55" i="36"/>
  <c r="G55" i="36"/>
  <c r="V54" i="36"/>
  <c r="X54" i="36" s="1"/>
  <c r="H54" i="36"/>
  <c r="G54" i="36"/>
  <c r="V53" i="36"/>
  <c r="X53" i="36" s="1"/>
  <c r="H53" i="36"/>
  <c r="G53" i="36"/>
  <c r="V52" i="36"/>
  <c r="X52" i="36" s="1"/>
  <c r="H52" i="36"/>
  <c r="G52" i="36"/>
  <c r="V51" i="36"/>
  <c r="X51" i="36" s="1"/>
  <c r="H51" i="36"/>
  <c r="G51" i="36"/>
  <c r="V50" i="36"/>
  <c r="X50" i="36" s="1"/>
  <c r="H50" i="36"/>
  <c r="G50" i="36"/>
  <c r="V49" i="36"/>
  <c r="X49" i="36" s="1"/>
  <c r="H49" i="36"/>
  <c r="G49" i="36"/>
  <c r="V48" i="36"/>
  <c r="X48" i="36" s="1"/>
  <c r="H48" i="36"/>
  <c r="G48" i="36"/>
  <c r="V47" i="36"/>
  <c r="X47" i="36" s="1"/>
  <c r="H47" i="36"/>
  <c r="G47" i="36"/>
  <c r="V46" i="36"/>
  <c r="X46" i="36" s="1"/>
  <c r="H46" i="36"/>
  <c r="G46" i="36"/>
  <c r="V45" i="36"/>
  <c r="X45" i="36" s="1"/>
  <c r="H45" i="36"/>
  <c r="G45" i="36"/>
  <c r="V43" i="36"/>
  <c r="X43" i="36" s="1"/>
  <c r="H43" i="36"/>
  <c r="G43" i="36"/>
  <c r="V42" i="36"/>
  <c r="X42" i="36" s="1"/>
  <c r="H42" i="36"/>
  <c r="G42" i="36"/>
  <c r="V41" i="36"/>
  <c r="X41" i="36" s="1"/>
  <c r="H41" i="36"/>
  <c r="G41" i="36"/>
  <c r="V40" i="36"/>
  <c r="X40" i="36" s="1"/>
  <c r="H40" i="36"/>
  <c r="G40" i="36"/>
  <c r="V39" i="36"/>
  <c r="X39" i="36" s="1"/>
  <c r="H39" i="36"/>
  <c r="G39" i="36"/>
  <c r="V38" i="36"/>
  <c r="X38" i="36" s="1"/>
  <c r="H38" i="36"/>
  <c r="G38" i="36"/>
  <c r="V37" i="36"/>
  <c r="X37" i="36" s="1"/>
  <c r="H37" i="36"/>
  <c r="G37" i="36"/>
  <c r="V36" i="36"/>
  <c r="X36" i="36" s="1"/>
  <c r="H36" i="36"/>
  <c r="G36" i="36"/>
  <c r="V35" i="36"/>
  <c r="X35" i="36" s="1"/>
  <c r="H35" i="36"/>
  <c r="G35" i="36"/>
  <c r="V34" i="36"/>
  <c r="X34" i="36" s="1"/>
  <c r="H34" i="36"/>
  <c r="G34" i="36"/>
  <c r="V33" i="36"/>
  <c r="X33" i="36" s="1"/>
  <c r="H33" i="36"/>
  <c r="G33" i="36"/>
  <c r="V32" i="36"/>
  <c r="X32" i="36" s="1"/>
  <c r="H32" i="36"/>
  <c r="G32" i="36"/>
  <c r="V30" i="36"/>
  <c r="X30" i="36" s="1"/>
  <c r="H30" i="36"/>
  <c r="G30" i="36"/>
  <c r="V29" i="36"/>
  <c r="X29" i="36" s="1"/>
  <c r="H29" i="36"/>
  <c r="G29" i="36"/>
  <c r="V28" i="36"/>
  <c r="X28" i="36" s="1"/>
  <c r="H28" i="36"/>
  <c r="G28" i="36"/>
  <c r="V27" i="36"/>
  <c r="X27" i="36" s="1"/>
  <c r="H27" i="36"/>
  <c r="G27" i="36"/>
  <c r="V26" i="36"/>
  <c r="X26" i="36" s="1"/>
  <c r="H26" i="36"/>
  <c r="G26" i="36"/>
  <c r="V25" i="36"/>
  <c r="X25" i="36" s="1"/>
  <c r="H25" i="36"/>
  <c r="G25" i="36"/>
  <c r="V24" i="36"/>
  <c r="X24" i="36" s="1"/>
  <c r="H24" i="36"/>
  <c r="G24" i="36"/>
  <c r="V23" i="36"/>
  <c r="X23" i="36" s="1"/>
  <c r="H23" i="36"/>
  <c r="G23" i="36"/>
  <c r="V22" i="36"/>
  <c r="X22" i="36" s="1"/>
  <c r="H22" i="36"/>
  <c r="G22" i="36"/>
  <c r="V21" i="36"/>
  <c r="X21" i="36" s="1"/>
  <c r="H21" i="36"/>
  <c r="G21" i="36"/>
  <c r="V20" i="36"/>
  <c r="X20" i="36" s="1"/>
  <c r="H20" i="36"/>
  <c r="G20" i="36"/>
  <c r="V19" i="36"/>
  <c r="X19" i="36" s="1"/>
  <c r="H19" i="36"/>
  <c r="G19" i="36"/>
  <c r="V17" i="36"/>
  <c r="X17" i="36" s="1"/>
  <c r="H17" i="36"/>
  <c r="G17" i="36"/>
  <c r="V16" i="36"/>
  <c r="X16" i="36" s="1"/>
  <c r="H16" i="36"/>
  <c r="G16" i="36"/>
  <c r="V15" i="36"/>
  <c r="X15" i="36" s="1"/>
  <c r="H15" i="36"/>
  <c r="G15" i="36"/>
  <c r="V14" i="36"/>
  <c r="X14" i="36" s="1"/>
  <c r="H14" i="36"/>
  <c r="G14" i="36"/>
  <c r="V13" i="36"/>
  <c r="X13" i="36" s="1"/>
  <c r="H13" i="36"/>
  <c r="G13" i="36"/>
  <c r="V12" i="36"/>
  <c r="X12" i="36" s="1"/>
  <c r="H12" i="36"/>
  <c r="G12" i="36"/>
  <c r="V11" i="36"/>
  <c r="X11" i="36" s="1"/>
  <c r="H11" i="36"/>
  <c r="G11" i="36"/>
  <c r="V10" i="36"/>
  <c r="X10" i="36" s="1"/>
  <c r="H10" i="36"/>
  <c r="G10" i="36"/>
  <c r="V9" i="36"/>
  <c r="X9" i="36" s="1"/>
  <c r="H9" i="36"/>
  <c r="G9" i="36"/>
  <c r="V8" i="36"/>
  <c r="X8" i="36" s="1"/>
  <c r="H8" i="36"/>
  <c r="G8" i="36"/>
  <c r="V7" i="36"/>
  <c r="X7" i="36" s="1"/>
  <c r="H7" i="36"/>
  <c r="G7" i="36"/>
  <c r="V6" i="36"/>
  <c r="X6" i="36" s="1"/>
  <c r="G6" i="36"/>
  <c r="X136" i="36" l="1"/>
  <c r="V228" i="36"/>
  <c r="X149" i="36"/>
  <c r="V229" i="36"/>
  <c r="X175" i="36"/>
  <c r="V231" i="36"/>
  <c r="X162" i="36"/>
  <c r="V230" i="36"/>
  <c r="S60" i="36"/>
  <c r="Y60" i="36" s="1"/>
  <c r="S68" i="36"/>
  <c r="S86" i="36"/>
  <c r="Y86" i="36" s="1"/>
  <c r="S103" i="36"/>
  <c r="Y103" i="36" s="1"/>
  <c r="S112" i="36"/>
  <c r="Y112" i="36" s="1"/>
  <c r="Y68" i="36"/>
  <c r="S77" i="36"/>
  <c r="Y77" i="36" s="1"/>
  <c r="S94" i="36"/>
  <c r="Y94" i="36" s="1"/>
  <c r="S59" i="36"/>
  <c r="Y59" i="36" s="1"/>
  <c r="S61" i="36"/>
  <c r="Y61" i="36" s="1"/>
  <c r="S63" i="36"/>
  <c r="Y63" i="36" s="1"/>
  <c r="S67" i="36"/>
  <c r="Y67" i="36" s="1"/>
  <c r="S69" i="36"/>
  <c r="Y69" i="36" s="1"/>
  <c r="S76" i="36"/>
  <c r="Y76" i="36" s="1"/>
  <c r="S85" i="36"/>
  <c r="Y85" i="36" s="1"/>
  <c r="S87" i="36"/>
  <c r="Y87" i="36" s="1"/>
  <c r="S89" i="36"/>
  <c r="Y89" i="36" s="1"/>
  <c r="S93" i="36"/>
  <c r="Y93" i="36" s="1"/>
  <c r="S98" i="36"/>
  <c r="Y98" i="36" s="1"/>
  <c r="S102" i="36"/>
  <c r="Y102" i="36" s="1"/>
  <c r="S106" i="36"/>
  <c r="Y106" i="36" s="1"/>
  <c r="S124" i="36"/>
  <c r="Y124" i="36" s="1"/>
  <c r="S132" i="36"/>
  <c r="Y132" i="36" s="1"/>
  <c r="S10" i="36"/>
  <c r="Y10" i="36" s="1"/>
  <c r="S19" i="36"/>
  <c r="Y19" i="36" s="1"/>
  <c r="S27" i="36"/>
  <c r="Y27" i="36" s="1"/>
  <c r="S36" i="36"/>
  <c r="Y36" i="36" s="1"/>
  <c r="S45" i="36"/>
  <c r="Y45" i="36" s="1"/>
  <c r="S14" i="36"/>
  <c r="Y14" i="36" s="1"/>
  <c r="S23" i="36"/>
  <c r="Y23" i="36" s="1"/>
  <c r="S32" i="36"/>
  <c r="Y32" i="36" s="1"/>
  <c r="S40" i="36"/>
  <c r="Y40" i="36" s="1"/>
  <c r="S49" i="36"/>
  <c r="Y49" i="36" s="1"/>
  <c r="S12" i="36"/>
  <c r="Y12" i="36" s="1"/>
  <c r="S21" i="36"/>
  <c r="Y21" i="36" s="1"/>
  <c r="S29" i="36"/>
  <c r="Y29" i="36" s="1"/>
  <c r="S38" i="36"/>
  <c r="Y38" i="36" s="1"/>
  <c r="S47" i="36"/>
  <c r="Y47" i="36" s="1"/>
  <c r="S8" i="36"/>
  <c r="Y8" i="36" s="1"/>
  <c r="S16" i="36"/>
  <c r="Y16" i="36" s="1"/>
  <c r="S25" i="36"/>
  <c r="Y25" i="36" s="1"/>
  <c r="S34" i="36"/>
  <c r="Y34" i="36" s="1"/>
  <c r="S42" i="36"/>
  <c r="Y42" i="36" s="1"/>
  <c r="S84" i="36"/>
  <c r="Y84" i="36" s="1"/>
  <c r="S120" i="36"/>
  <c r="Y120" i="36" s="1"/>
  <c r="S78" i="36"/>
  <c r="Y78" i="36" s="1"/>
  <c r="S51" i="36"/>
  <c r="Y51" i="36" s="1"/>
  <c r="S58" i="36"/>
  <c r="Y58" i="36" s="1"/>
  <c r="S66" i="36"/>
  <c r="Y66" i="36" s="1"/>
  <c r="S72" i="36"/>
  <c r="Y72" i="36" s="1"/>
  <c r="S92" i="36"/>
  <c r="Y92" i="36" s="1"/>
  <c r="S115" i="36"/>
  <c r="Y115" i="36" s="1"/>
  <c r="S127" i="36"/>
  <c r="Y127" i="36" s="1"/>
  <c r="S118" i="36"/>
  <c r="Y118" i="36" s="1"/>
  <c r="S113" i="36"/>
  <c r="Y113" i="36" s="1"/>
  <c r="S111" i="36"/>
  <c r="Y111" i="36" s="1"/>
  <c r="S119" i="36"/>
  <c r="Y119" i="36" s="1"/>
  <c r="S128" i="36"/>
  <c r="Y128" i="36" s="1"/>
  <c r="S64" i="36"/>
  <c r="Y64" i="36" s="1"/>
  <c r="S73" i="36"/>
  <c r="Y73" i="36" s="1"/>
  <c r="S81" i="36"/>
  <c r="Y81" i="36" s="1"/>
  <c r="S90" i="36"/>
  <c r="Y90" i="36" s="1"/>
  <c r="S99" i="36"/>
  <c r="Y99" i="36" s="1"/>
  <c r="S116" i="36"/>
  <c r="Y116" i="36" s="1"/>
  <c r="S125" i="36"/>
  <c r="Y125" i="36" s="1"/>
  <c r="S133" i="36"/>
  <c r="Y133" i="36" s="1"/>
  <c r="S101" i="36"/>
  <c r="Y101" i="36" s="1"/>
  <c r="S107" i="36"/>
  <c r="Y107" i="36" s="1"/>
  <c r="S95" i="36"/>
  <c r="Y95" i="36" s="1"/>
  <c r="S104" i="36"/>
  <c r="Y104" i="36" s="1"/>
  <c r="S110" i="36"/>
  <c r="Y110" i="36" s="1"/>
  <c r="S62" i="36"/>
  <c r="Y62" i="36" s="1"/>
  <c r="S71" i="36"/>
  <c r="Y71" i="36" s="1"/>
  <c r="S79" i="36"/>
  <c r="Y79" i="36" s="1"/>
  <c r="S88" i="36"/>
  <c r="Y88" i="36" s="1"/>
  <c r="S97" i="36"/>
  <c r="Y97" i="36" s="1"/>
  <c r="S105" i="36"/>
  <c r="Y105" i="36" s="1"/>
  <c r="S114" i="36"/>
  <c r="Y114" i="36" s="1"/>
  <c r="S123" i="36"/>
  <c r="Y123" i="36" s="1"/>
  <c r="S131" i="36"/>
  <c r="Y131" i="36" s="1"/>
  <c r="S53" i="36"/>
  <c r="Y53" i="36" s="1"/>
  <c r="S121" i="36"/>
  <c r="Y121" i="36" s="1"/>
  <c r="S55" i="36"/>
  <c r="Y55" i="36" s="1"/>
  <c r="S130" i="36"/>
  <c r="Y130" i="36" s="1"/>
  <c r="S75" i="36"/>
  <c r="Y75" i="36" s="1"/>
  <c r="S80" i="36"/>
  <c r="Y80" i="36" s="1"/>
  <c r="S129" i="36"/>
  <c r="Y129" i="36" s="1"/>
  <c r="S7" i="36"/>
  <c r="Y7" i="36" s="1"/>
  <c r="S9" i="36"/>
  <c r="Y9" i="36" s="1"/>
  <c r="S11" i="36"/>
  <c r="Y11" i="36" s="1"/>
  <c r="S13" i="36"/>
  <c r="Y13" i="36" s="1"/>
  <c r="S15" i="36"/>
  <c r="Y15" i="36" s="1"/>
  <c r="S17" i="36"/>
  <c r="Y17" i="36" s="1"/>
  <c r="S20" i="36"/>
  <c r="Y20" i="36" s="1"/>
  <c r="S22" i="36"/>
  <c r="Y22" i="36" s="1"/>
  <c r="S24" i="36"/>
  <c r="Y24" i="36" s="1"/>
  <c r="S26" i="36"/>
  <c r="Y26" i="36" s="1"/>
  <c r="S28" i="36"/>
  <c r="Y28" i="36" s="1"/>
  <c r="S30" i="36"/>
  <c r="Y30" i="36" s="1"/>
  <c r="S33" i="36"/>
  <c r="Y33" i="36" s="1"/>
  <c r="S35" i="36"/>
  <c r="Y35" i="36" s="1"/>
  <c r="S37" i="36"/>
  <c r="Y37" i="36" s="1"/>
  <c r="S39" i="36"/>
  <c r="Y39" i="36" s="1"/>
  <c r="S41" i="36"/>
  <c r="Y41" i="36" s="1"/>
  <c r="S43" i="36"/>
  <c r="Y43" i="36" s="1"/>
  <c r="S46" i="36"/>
  <c r="Y46" i="36" s="1"/>
  <c r="S48" i="36"/>
  <c r="Y48" i="36" s="1"/>
  <c r="S50" i="36"/>
  <c r="Y50" i="36" s="1"/>
  <c r="S52" i="36"/>
  <c r="Y52" i="36" s="1"/>
  <c r="S54" i="36"/>
  <c r="Y54" i="36" s="1"/>
  <c r="S56" i="36"/>
  <c r="Y56" i="36" s="1"/>
  <c r="S65" i="36"/>
  <c r="Y65" i="36" s="1"/>
  <c r="S74" i="36"/>
  <c r="Y74" i="36" s="1"/>
  <c r="S82" i="36"/>
  <c r="Y82" i="36" s="1"/>
  <c r="S91" i="36"/>
  <c r="Y91" i="36" s="1"/>
  <c r="S100" i="36"/>
  <c r="Y100" i="36" s="1"/>
  <c r="S108" i="36"/>
  <c r="Y108" i="36" s="1"/>
  <c r="S117" i="36"/>
  <c r="Y117" i="36" s="1"/>
  <c r="S126" i="36"/>
  <c r="Y126" i="36" s="1"/>
  <c r="S134" i="36"/>
  <c r="Y134" i="36" s="1"/>
  <c r="N6" i="36"/>
  <c r="S6" i="36" s="1"/>
  <c r="C77" i="36"/>
  <c r="C74" i="36"/>
  <c r="C82" i="36"/>
  <c r="C71" i="36"/>
  <c r="C79" i="36"/>
  <c r="C68" i="36"/>
  <c r="C69" i="36"/>
  <c r="C62" i="36"/>
  <c r="C72" i="36"/>
  <c r="C78" i="36"/>
  <c r="C63" i="36"/>
  <c r="C65" i="36"/>
  <c r="C80" i="36"/>
  <c r="C75" i="36"/>
  <c r="C66" i="36"/>
  <c r="C58" i="36"/>
  <c r="C76" i="36"/>
  <c r="C67" i="36"/>
  <c r="C59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64" i="36"/>
  <c r="C73" i="36"/>
  <c r="C81" i="36"/>
  <c r="C61" i="36"/>
  <c r="C60" i="36"/>
  <c r="Y175" i="36" l="1"/>
  <c r="Y231" i="36" s="1"/>
  <c r="X231" i="36"/>
  <c r="Y162" i="36"/>
  <c r="Y230" i="36" s="1"/>
  <c r="X230" i="36"/>
  <c r="Y149" i="36"/>
  <c r="Y229" i="36" s="1"/>
  <c r="X229" i="36"/>
  <c r="Y136" i="36"/>
  <c r="Y228" i="36" s="1"/>
  <c r="X228" i="36"/>
  <c r="Y6" i="36"/>
  <c r="EA4" i="4" l="1"/>
  <c r="EA5" i="4"/>
  <c r="EA6" i="4"/>
  <c r="EA7" i="4"/>
  <c r="EA8" i="4"/>
  <c r="EA9" i="4"/>
  <c r="EA10" i="4"/>
  <c r="EA11" i="4"/>
  <c r="EA12" i="4"/>
  <c r="EA13" i="4"/>
  <c r="EA14" i="4"/>
  <c r="EA15" i="4"/>
  <c r="EA16" i="4"/>
  <c r="EA17" i="4"/>
  <c r="EA18" i="4"/>
  <c r="EA19" i="4"/>
  <c r="EA20" i="4"/>
  <c r="EA21" i="4"/>
  <c r="EA22" i="4"/>
  <c r="EA23" i="4"/>
  <c r="EA24" i="4"/>
  <c r="EA25" i="4"/>
  <c r="EA26" i="4"/>
  <c r="EA27" i="4"/>
  <c r="EA28" i="4"/>
  <c r="EA29" i="4"/>
  <c r="EA30" i="4"/>
  <c r="EA31" i="4"/>
  <c r="EA32" i="4"/>
  <c r="EA33" i="4"/>
  <c r="EA34" i="4"/>
  <c r="EA35" i="4"/>
  <c r="EA36" i="4"/>
  <c r="EA37" i="4"/>
  <c r="EA38" i="4"/>
  <c r="EA39" i="4"/>
  <c r="EA40" i="4"/>
  <c r="EA41" i="4"/>
  <c r="EA42" i="4"/>
  <c r="EA43" i="4"/>
  <c r="EA44" i="4"/>
  <c r="EA45" i="4"/>
  <c r="EA46" i="4"/>
  <c r="EA47" i="4"/>
  <c r="EA48" i="4"/>
  <c r="EA49" i="4"/>
  <c r="EA50" i="4"/>
  <c r="EA51" i="4"/>
  <c r="EA52" i="4"/>
  <c r="EA53" i="4"/>
  <c r="EA54" i="4"/>
  <c r="EA55" i="4"/>
  <c r="EA56" i="4"/>
  <c r="EA57" i="4"/>
  <c r="EA58" i="4"/>
  <c r="EA59" i="4"/>
  <c r="EA60" i="4"/>
  <c r="EA61" i="4"/>
  <c r="EA62" i="4"/>
  <c r="EA63" i="4"/>
  <c r="EA64" i="4"/>
  <c r="EA65" i="4"/>
  <c r="EA66" i="4"/>
  <c r="EA67" i="4"/>
  <c r="EA68" i="4"/>
  <c r="EA69" i="4"/>
  <c r="EA70" i="4"/>
  <c r="EA71" i="4"/>
  <c r="EA72" i="4"/>
  <c r="EA73" i="4"/>
  <c r="EA74" i="4"/>
  <c r="EA75" i="4"/>
  <c r="EA76" i="4"/>
  <c r="EA77" i="4"/>
  <c r="EA78" i="4"/>
  <c r="EA79" i="4"/>
  <c r="EA80" i="4"/>
  <c r="EA81" i="4"/>
  <c r="EA82" i="4"/>
  <c r="EA83" i="4"/>
  <c r="EA84" i="4"/>
  <c r="EA85" i="4"/>
  <c r="EA86" i="4"/>
  <c r="EA87" i="4"/>
  <c r="EA88" i="4"/>
  <c r="EA89" i="4"/>
  <c r="EA90" i="4"/>
  <c r="EA91" i="4"/>
  <c r="EA92" i="4"/>
  <c r="EA93" i="4"/>
  <c r="EA94" i="4"/>
  <c r="EA95" i="4"/>
  <c r="EA96" i="4"/>
  <c r="EA97" i="4"/>
  <c r="EA98" i="4"/>
  <c r="EA99" i="4"/>
  <c r="EA100" i="4"/>
  <c r="EA101" i="4"/>
  <c r="EA102" i="4"/>
  <c r="EA103" i="4"/>
  <c r="EA104" i="4"/>
  <c r="EA105" i="4"/>
  <c r="EA106" i="4"/>
  <c r="EA107" i="4"/>
  <c r="EA108" i="4"/>
  <c r="EA109" i="4"/>
  <c r="EA110" i="4"/>
  <c r="EA111" i="4"/>
  <c r="EA112" i="4"/>
  <c r="EA113" i="4"/>
  <c r="EA114" i="4"/>
  <c r="EA115" i="4"/>
  <c r="EA116" i="4"/>
  <c r="EA117" i="4"/>
  <c r="EA118" i="4"/>
  <c r="EA119" i="4"/>
  <c r="EA120" i="4"/>
  <c r="EA121" i="4"/>
  <c r="EA122" i="4"/>
  <c r="EA123" i="4"/>
  <c r="EA124" i="4"/>
  <c r="EA125" i="4"/>
  <c r="EA126" i="4"/>
  <c r="EA127" i="4"/>
  <c r="EA128" i="4"/>
  <c r="EA129" i="4"/>
  <c r="EA130" i="4"/>
  <c r="EA131" i="4"/>
  <c r="EA132" i="4"/>
  <c r="EA133" i="4"/>
  <c r="EA134" i="4"/>
  <c r="EA135" i="4"/>
  <c r="EA136" i="4"/>
  <c r="EA137" i="4"/>
  <c r="EA138" i="4"/>
  <c r="EA139" i="4"/>
  <c r="EA140" i="4"/>
  <c r="EA141" i="4"/>
  <c r="EA142" i="4"/>
  <c r="EA143" i="4"/>
  <c r="EA144" i="4"/>
  <c r="EA145" i="4"/>
  <c r="EA146" i="4"/>
  <c r="EA147" i="4"/>
  <c r="EA148" i="4"/>
  <c r="EA149" i="4"/>
  <c r="EA150" i="4"/>
  <c r="EA151" i="4"/>
  <c r="EA152" i="4"/>
  <c r="EA153" i="4"/>
  <c r="EA154" i="4"/>
  <c r="EA155" i="4"/>
  <c r="EA156" i="4"/>
  <c r="EA157" i="4"/>
  <c r="EA158" i="4"/>
  <c r="EA159" i="4"/>
  <c r="EA160" i="4"/>
  <c r="EA161" i="4"/>
  <c r="EA162" i="4"/>
  <c r="EA163" i="4"/>
  <c r="EA164" i="4"/>
  <c r="EA165" i="4"/>
  <c r="EA166" i="4"/>
  <c r="EA167" i="4"/>
  <c r="EA168" i="4"/>
  <c r="EA169" i="4"/>
  <c r="EA170" i="4"/>
  <c r="EA171" i="4"/>
  <c r="EA172" i="4"/>
  <c r="EA173" i="4"/>
  <c r="EA174" i="4"/>
  <c r="EA175" i="4"/>
  <c r="EA176" i="4"/>
  <c r="EA177" i="4"/>
  <c r="EA178" i="4"/>
  <c r="EA179" i="4"/>
  <c r="EA180" i="4"/>
  <c r="EA181" i="4"/>
  <c r="EA182" i="4"/>
  <c r="EA183" i="4"/>
  <c r="EA184" i="4"/>
  <c r="EA185" i="4"/>
  <c r="EA186" i="4"/>
  <c r="EA187" i="4"/>
  <c r="EA188" i="4"/>
  <c r="EA189" i="4"/>
  <c r="EA190" i="4"/>
  <c r="EA191" i="4"/>
  <c r="EA192" i="4"/>
  <c r="EA193" i="4"/>
  <c r="EA194" i="4"/>
  <c r="EA195" i="4"/>
  <c r="EA196" i="4"/>
  <c r="EA197" i="4"/>
  <c r="EA198" i="4"/>
  <c r="EA199" i="4"/>
  <c r="EA200" i="4"/>
  <c r="EA201" i="4"/>
  <c r="EA202" i="4"/>
  <c r="EA203" i="4"/>
  <c r="EA204" i="4"/>
  <c r="EA205" i="4"/>
  <c r="EA206" i="4"/>
  <c r="EA207" i="4"/>
  <c r="EA208" i="4"/>
  <c r="EA209" i="4"/>
  <c r="EA210" i="4"/>
  <c r="EA211" i="4"/>
  <c r="EA212" i="4"/>
  <c r="EA213" i="4"/>
  <c r="EA214" i="4"/>
  <c r="EA215" i="4"/>
  <c r="EA216" i="4"/>
  <c r="EA217" i="4"/>
  <c r="EA218" i="4"/>
  <c r="EA219" i="4"/>
  <c r="EA220" i="4"/>
  <c r="EA221" i="4"/>
  <c r="EA222" i="4"/>
  <c r="EA223" i="4"/>
  <c r="EA224" i="4"/>
  <c r="EA225" i="4"/>
  <c r="EA226" i="4"/>
  <c r="EA227" i="4"/>
  <c r="EA228" i="4"/>
  <c r="EA229" i="4"/>
  <c r="EA230" i="4"/>
  <c r="EA231" i="4"/>
  <c r="EA232" i="4"/>
  <c r="EA233" i="4"/>
  <c r="EA234" i="4"/>
  <c r="EA235" i="4"/>
  <c r="EA236" i="4"/>
  <c r="EA237" i="4"/>
  <c r="EA238" i="4"/>
  <c r="EA239" i="4"/>
  <c r="EA240" i="4"/>
  <c r="EA241" i="4"/>
  <c r="EA242" i="4"/>
  <c r="EA243" i="4"/>
  <c r="EA244" i="4"/>
  <c r="EA245" i="4"/>
  <c r="EA246" i="4"/>
  <c r="EA247" i="4"/>
  <c r="EA248" i="4"/>
  <c r="EA249" i="4"/>
  <c r="EA250" i="4"/>
  <c r="EA251" i="4"/>
  <c r="EA252" i="4"/>
  <c r="EA253" i="4"/>
  <c r="EA254" i="4"/>
  <c r="EA255" i="4"/>
  <c r="EA256" i="4"/>
  <c r="EA257" i="4"/>
  <c r="EA258" i="4"/>
  <c r="EA259" i="4"/>
  <c r="EA260" i="4"/>
  <c r="EA261" i="4"/>
  <c r="EA262" i="4"/>
  <c r="EA263" i="4"/>
  <c r="EA264" i="4"/>
  <c r="EA265" i="4"/>
  <c r="EA266" i="4"/>
  <c r="EA267" i="4"/>
  <c r="EA268" i="4"/>
  <c r="EA269" i="4"/>
  <c r="EA270" i="4"/>
  <c r="EA271" i="4"/>
  <c r="EA272" i="4"/>
  <c r="EA273" i="4"/>
  <c r="EA274" i="4"/>
  <c r="EA275" i="4"/>
  <c r="EA276" i="4"/>
  <c r="EA277" i="4"/>
  <c r="EA278" i="4"/>
  <c r="EA279" i="4"/>
  <c r="EA280" i="4"/>
  <c r="EA281" i="4"/>
  <c r="EA282" i="4"/>
  <c r="EA283" i="4"/>
  <c r="EA284" i="4"/>
  <c r="EA285" i="4"/>
  <c r="EA286" i="4"/>
  <c r="EA287" i="4"/>
  <c r="EA288" i="4"/>
  <c r="EA289" i="4"/>
  <c r="EA290" i="4"/>
  <c r="EA291" i="4"/>
  <c r="EA292" i="4"/>
  <c r="EA293" i="4"/>
  <c r="EA294" i="4"/>
  <c r="EA295" i="4"/>
  <c r="EA296" i="4"/>
  <c r="EA297" i="4"/>
  <c r="EA298" i="4"/>
  <c r="EA299" i="4"/>
  <c r="EA300" i="4"/>
  <c r="EA301" i="4"/>
  <c r="EA302" i="4"/>
  <c r="EA303" i="4"/>
  <c r="EA304" i="4"/>
  <c r="EA305" i="4"/>
  <c r="EA306" i="4"/>
  <c r="EA307" i="4"/>
  <c r="EA308" i="4"/>
  <c r="EA309" i="4"/>
  <c r="EA310" i="4"/>
  <c r="EA311" i="4"/>
  <c r="EA312" i="4"/>
  <c r="EA313" i="4"/>
  <c r="EA314" i="4"/>
  <c r="DL407" i="4"/>
  <c r="ED318" i="4"/>
  <c r="ED315" i="4"/>
  <c r="ED316" i="4"/>
  <c r="ED317" i="4"/>
  <c r="ED319" i="4"/>
  <c r="ED320" i="4"/>
  <c r="ED321" i="4"/>
  <c r="ED322" i="4"/>
  <c r="ED323" i="4"/>
  <c r="ED324" i="4"/>
  <c r="ED325" i="4"/>
  <c r="ED326" i="4"/>
  <c r="ED327" i="4"/>
  <c r="ED328" i="4"/>
  <c r="ED329" i="4"/>
  <c r="ED330" i="4"/>
  <c r="ED331" i="4"/>
  <c r="ED332" i="4"/>
  <c r="ED333" i="4"/>
  <c r="ED334" i="4"/>
  <c r="ED335" i="4"/>
  <c r="ED336" i="4"/>
  <c r="ED337" i="4"/>
  <c r="ED338" i="4"/>
  <c r="ED339" i="4"/>
  <c r="ED340" i="4"/>
  <c r="ED341" i="4"/>
  <c r="ED342" i="4"/>
  <c r="ED343" i="4"/>
  <c r="ED344" i="4"/>
  <c r="ED345" i="4"/>
  <c r="ED346" i="4"/>
  <c r="ED347" i="4"/>
  <c r="ED348" i="4"/>
  <c r="ED349" i="4"/>
  <c r="ED350" i="4"/>
  <c r="ED351" i="4"/>
  <c r="ED352" i="4"/>
  <c r="ED353" i="4"/>
  <c r="ED354" i="4"/>
  <c r="ED355" i="4"/>
  <c r="ED356" i="4"/>
  <c r="ED357" i="4"/>
  <c r="ED358" i="4"/>
  <c r="ED359" i="4"/>
  <c r="ED360" i="4"/>
  <c r="ED361" i="4"/>
  <c r="ED362" i="4"/>
  <c r="ED363" i="4"/>
  <c r="ED364" i="4"/>
  <c r="ED365" i="4"/>
  <c r="ED366" i="4"/>
  <c r="ED367" i="4"/>
  <c r="ED368" i="4"/>
  <c r="ED369" i="4"/>
  <c r="ED370" i="4"/>
  <c r="ED371" i="4"/>
  <c r="ED372" i="4"/>
  <c r="ED373" i="4"/>
  <c r="ED374" i="4"/>
  <c r="ED375" i="4"/>
  <c r="ED376" i="4"/>
  <c r="ED377" i="4"/>
  <c r="ED378" i="4"/>
  <c r="ED379" i="4"/>
  <c r="ED380" i="4"/>
  <c r="ED381" i="4"/>
  <c r="ED382" i="4"/>
  <c r="ED383" i="4"/>
  <c r="ED384" i="4"/>
  <c r="ED385" i="4"/>
  <c r="ED386" i="4"/>
  <c r="ED387" i="4"/>
  <c r="ED388" i="4"/>
  <c r="ED389" i="4"/>
  <c r="ED390" i="4"/>
  <c r="ED391" i="4"/>
  <c r="ED392" i="4"/>
  <c r="ED393" i="4"/>
  <c r="ED394" i="4"/>
  <c r="ED395" i="4"/>
  <c r="ED396" i="4"/>
  <c r="ED397" i="4"/>
  <c r="ED398" i="4"/>
  <c r="ED399" i="4"/>
  <c r="ED400" i="4"/>
  <c r="ED401" i="4"/>
  <c r="ED402" i="4"/>
  <c r="ED403" i="4"/>
  <c r="ED404" i="4"/>
  <c r="ED405" i="4"/>
  <c r="ED406" i="4"/>
  <c r="ED408" i="4"/>
  <c r="ED409" i="4"/>
  <c r="ED410" i="4"/>
  <c r="ED411" i="4"/>
  <c r="ED412" i="4"/>
  <c r="ED413" i="4"/>
  <c r="ED414" i="4"/>
  <c r="ED415" i="4"/>
  <c r="ED416" i="4"/>
  <c r="ED417" i="4"/>
  <c r="ED418" i="4"/>
  <c r="ED419" i="4"/>
  <c r="ED420" i="4"/>
  <c r="ED421" i="4"/>
  <c r="ED422" i="4"/>
  <c r="ED423" i="4"/>
  <c r="ED424" i="4"/>
  <c r="ED425" i="4"/>
  <c r="ED426" i="4"/>
  <c r="ED427" i="4"/>
  <c r="ED428" i="4"/>
  <c r="ED429" i="4"/>
  <c r="ED430" i="4"/>
  <c r="ED431" i="4"/>
  <c r="ED432" i="4"/>
  <c r="ED433" i="4"/>
  <c r="ED434" i="4"/>
  <c r="ED435" i="4"/>
  <c r="ED436" i="4"/>
  <c r="ED437" i="4"/>
  <c r="DE4" i="4"/>
  <c r="DE5" i="4"/>
  <c r="DE6" i="4"/>
  <c r="DE7" i="4"/>
  <c r="DE8" i="4"/>
  <c r="DE9" i="4"/>
  <c r="DE10" i="4"/>
  <c r="DE11" i="4"/>
  <c r="DE12" i="4"/>
  <c r="DE13" i="4"/>
  <c r="DE14" i="4"/>
  <c r="DE15" i="4"/>
  <c r="DE16" i="4"/>
  <c r="DE17" i="4"/>
  <c r="DE18" i="4"/>
  <c r="DE19" i="4"/>
  <c r="DE20" i="4"/>
  <c r="DE21" i="4"/>
  <c r="DE22" i="4"/>
  <c r="DE23" i="4"/>
  <c r="DE24" i="4"/>
  <c r="DE25" i="4"/>
  <c r="DE26" i="4"/>
  <c r="DE27" i="4"/>
  <c r="DE28" i="4"/>
  <c r="DE29" i="4"/>
  <c r="DE30" i="4"/>
  <c r="DE31" i="4"/>
  <c r="DE32" i="4"/>
  <c r="DE33" i="4"/>
  <c r="DE34" i="4"/>
  <c r="DE35" i="4"/>
  <c r="DE36" i="4"/>
  <c r="DE37" i="4"/>
  <c r="DE38" i="4"/>
  <c r="DE39" i="4"/>
  <c r="DE40" i="4"/>
  <c r="DE41" i="4"/>
  <c r="DE42" i="4"/>
  <c r="DE43" i="4"/>
  <c r="DE44" i="4"/>
  <c r="DE45" i="4"/>
  <c r="DE46" i="4"/>
  <c r="DE47" i="4"/>
  <c r="DE48" i="4"/>
  <c r="DE49" i="4"/>
  <c r="DE50" i="4"/>
  <c r="DE51" i="4"/>
  <c r="DE52" i="4"/>
  <c r="DE53" i="4"/>
  <c r="DE54" i="4"/>
  <c r="DE55" i="4"/>
  <c r="DE56" i="4"/>
  <c r="DE57" i="4"/>
  <c r="DE58" i="4"/>
  <c r="DE59" i="4"/>
  <c r="DE60" i="4"/>
  <c r="DE61" i="4"/>
  <c r="DE62" i="4"/>
  <c r="DE63" i="4"/>
  <c r="DE64" i="4"/>
  <c r="DE65" i="4"/>
  <c r="DE66" i="4"/>
  <c r="DE67" i="4"/>
  <c r="DE68" i="4"/>
  <c r="DE69" i="4"/>
  <c r="DE70" i="4"/>
  <c r="DE71" i="4"/>
  <c r="DE72" i="4"/>
  <c r="DE73" i="4"/>
  <c r="DE74" i="4"/>
  <c r="DE75" i="4"/>
  <c r="DE76" i="4"/>
  <c r="DE77" i="4"/>
  <c r="DE78" i="4"/>
  <c r="DE79" i="4"/>
  <c r="DE80" i="4"/>
  <c r="DE81" i="4"/>
  <c r="DE82" i="4"/>
  <c r="DE83" i="4"/>
  <c r="DE84" i="4"/>
  <c r="DE85" i="4"/>
  <c r="DE86" i="4"/>
  <c r="DE87" i="4"/>
  <c r="DE88" i="4"/>
  <c r="DE89" i="4"/>
  <c r="DE90" i="4"/>
  <c r="DE91" i="4"/>
  <c r="DE92" i="4"/>
  <c r="DE93" i="4"/>
  <c r="DE94" i="4"/>
  <c r="DE95" i="4"/>
  <c r="DE96" i="4"/>
  <c r="DE97" i="4"/>
  <c r="DE98" i="4"/>
  <c r="DE99" i="4"/>
  <c r="DE100" i="4"/>
  <c r="DE101" i="4"/>
  <c r="DE102" i="4"/>
  <c r="DE103" i="4"/>
  <c r="DE104" i="4"/>
  <c r="DE105" i="4"/>
  <c r="DE106" i="4"/>
  <c r="DE107" i="4"/>
  <c r="DE108" i="4"/>
  <c r="DE109" i="4"/>
  <c r="DE110" i="4"/>
  <c r="DE111" i="4"/>
  <c r="DE112" i="4"/>
  <c r="DE113" i="4"/>
  <c r="DE114" i="4"/>
  <c r="DE115" i="4"/>
  <c r="DE116" i="4"/>
  <c r="DE117" i="4"/>
  <c r="DE118" i="4"/>
  <c r="DE119" i="4"/>
  <c r="DE120" i="4"/>
  <c r="DE121" i="4"/>
  <c r="DE122" i="4"/>
  <c r="DE123" i="4"/>
  <c r="DE124" i="4"/>
  <c r="DE125" i="4"/>
  <c r="DE126" i="4"/>
  <c r="DE127" i="4"/>
  <c r="DE128" i="4"/>
  <c r="DE129" i="4"/>
  <c r="DE130" i="4"/>
  <c r="DE131" i="4"/>
  <c r="DE132" i="4"/>
  <c r="DE133" i="4"/>
  <c r="DE134" i="4"/>
  <c r="DE135" i="4"/>
  <c r="DE136" i="4"/>
  <c r="DE137" i="4"/>
  <c r="DE138" i="4"/>
  <c r="DE139" i="4"/>
  <c r="DE140" i="4"/>
  <c r="DE141" i="4"/>
  <c r="DE142" i="4"/>
  <c r="DE143" i="4"/>
  <c r="DE144" i="4"/>
  <c r="DE145" i="4"/>
  <c r="DE146" i="4"/>
  <c r="DE147" i="4"/>
  <c r="DE148" i="4"/>
  <c r="DE149" i="4"/>
  <c r="DE150" i="4"/>
  <c r="DE151" i="4"/>
  <c r="DE152" i="4"/>
  <c r="DE153" i="4"/>
  <c r="DE154" i="4"/>
  <c r="DE155" i="4"/>
  <c r="DE156" i="4"/>
  <c r="DE157" i="4"/>
  <c r="DE158" i="4"/>
  <c r="DE159" i="4"/>
  <c r="DE160" i="4"/>
  <c r="DE161" i="4"/>
  <c r="DE162" i="4"/>
  <c r="DE163" i="4"/>
  <c r="DE164" i="4"/>
  <c r="DE165" i="4"/>
  <c r="DE166" i="4"/>
  <c r="DE167" i="4"/>
  <c r="DE168" i="4"/>
  <c r="DE169" i="4"/>
  <c r="DE170" i="4"/>
  <c r="DE171" i="4"/>
  <c r="DE172" i="4"/>
  <c r="DE173" i="4"/>
  <c r="DE174" i="4"/>
  <c r="DE175" i="4"/>
  <c r="DE176" i="4"/>
  <c r="DE177" i="4"/>
  <c r="DE178" i="4"/>
  <c r="DE179" i="4"/>
  <c r="DE180" i="4"/>
  <c r="DE181" i="4"/>
  <c r="DE182" i="4"/>
  <c r="DE183" i="4"/>
  <c r="DE184" i="4"/>
  <c r="DE185" i="4"/>
  <c r="DE186" i="4"/>
  <c r="DE187" i="4"/>
  <c r="DE188" i="4"/>
  <c r="DE189" i="4"/>
  <c r="DE190" i="4"/>
  <c r="DE191" i="4"/>
  <c r="DE192" i="4"/>
  <c r="DE193" i="4"/>
  <c r="DE194" i="4"/>
  <c r="DE195" i="4"/>
  <c r="DE196" i="4"/>
  <c r="DE197" i="4"/>
  <c r="DE198" i="4"/>
  <c r="DE199" i="4"/>
  <c r="DE200" i="4"/>
  <c r="DE201" i="4"/>
  <c r="DE202" i="4"/>
  <c r="DE203" i="4"/>
  <c r="DE204" i="4"/>
  <c r="DE205" i="4"/>
  <c r="DE206" i="4"/>
  <c r="DE207" i="4"/>
  <c r="DE208" i="4"/>
  <c r="DE209" i="4"/>
  <c r="DE210" i="4"/>
  <c r="DE211" i="4"/>
  <c r="DE212" i="4"/>
  <c r="DE213" i="4"/>
  <c r="DE214" i="4"/>
  <c r="DE215" i="4"/>
  <c r="DE216" i="4"/>
  <c r="DE217" i="4"/>
  <c r="DE218" i="4"/>
  <c r="DE219" i="4"/>
  <c r="DE220" i="4"/>
  <c r="DE221" i="4"/>
  <c r="DE222" i="4"/>
  <c r="DE223" i="4"/>
  <c r="DE224" i="4"/>
  <c r="DE225" i="4"/>
  <c r="DE226" i="4"/>
  <c r="DE227" i="4"/>
  <c r="DE228" i="4"/>
  <c r="DE229" i="4"/>
  <c r="DE230" i="4"/>
  <c r="DE231" i="4"/>
  <c r="DE232" i="4"/>
  <c r="DE233" i="4"/>
  <c r="DE234" i="4"/>
  <c r="DE235" i="4"/>
  <c r="DE236" i="4"/>
  <c r="DE237" i="4"/>
  <c r="DE238" i="4"/>
  <c r="DE239" i="4"/>
  <c r="DE240" i="4"/>
  <c r="DE241" i="4"/>
  <c r="DE242" i="4"/>
  <c r="DE243" i="4"/>
  <c r="DE244" i="4"/>
  <c r="DE245" i="4"/>
  <c r="DE246" i="4"/>
  <c r="DE247" i="4"/>
  <c r="DE248" i="4"/>
  <c r="DE249" i="4"/>
  <c r="DE250" i="4"/>
  <c r="DE251" i="4"/>
  <c r="DE252" i="4"/>
  <c r="DE253" i="4"/>
  <c r="DE254" i="4"/>
  <c r="DE255" i="4"/>
  <c r="DE256" i="4"/>
  <c r="DE257" i="4"/>
  <c r="DE258" i="4"/>
  <c r="DE259" i="4"/>
  <c r="DE260" i="4"/>
  <c r="DE261" i="4"/>
  <c r="DE262" i="4"/>
  <c r="DE263" i="4"/>
  <c r="DE264" i="4"/>
  <c r="DE265" i="4"/>
  <c r="DE266" i="4"/>
  <c r="DE267" i="4"/>
  <c r="DE268" i="4"/>
  <c r="DE269" i="4"/>
  <c r="DE270" i="4"/>
  <c r="DE271" i="4"/>
  <c r="DE272" i="4"/>
  <c r="DE273" i="4"/>
  <c r="DE274" i="4"/>
  <c r="DE275" i="4"/>
  <c r="DE276" i="4"/>
  <c r="DE277" i="4"/>
  <c r="DE278" i="4"/>
  <c r="DE279" i="4"/>
  <c r="DE280" i="4"/>
  <c r="DE281" i="4"/>
  <c r="DE282" i="4"/>
  <c r="DE283" i="4"/>
  <c r="DE284" i="4"/>
  <c r="DE285" i="4"/>
  <c r="DE286" i="4"/>
  <c r="DE287" i="4"/>
  <c r="DE288" i="4"/>
  <c r="DE289" i="4"/>
  <c r="DE290" i="4"/>
  <c r="DE291" i="4"/>
  <c r="DE292" i="4"/>
  <c r="DE293" i="4"/>
  <c r="DE294" i="4"/>
  <c r="DE295" i="4"/>
  <c r="DE296" i="4"/>
  <c r="DE297" i="4"/>
  <c r="DE298" i="4"/>
  <c r="DE299" i="4"/>
  <c r="DE300" i="4"/>
  <c r="DE301" i="4"/>
  <c r="DE302" i="4"/>
  <c r="DE303" i="4"/>
  <c r="DE304" i="4"/>
  <c r="DE305" i="4"/>
  <c r="DE306" i="4"/>
  <c r="DE307" i="4"/>
  <c r="DE308" i="4"/>
  <c r="DE309" i="4"/>
  <c r="DE310" i="4"/>
  <c r="DE311" i="4"/>
  <c r="DE312" i="4"/>
  <c r="DE313" i="4"/>
  <c r="DE314" i="4"/>
  <c r="DE315" i="4"/>
  <c r="DE316" i="4"/>
  <c r="DE317" i="4"/>
  <c r="DE318" i="4"/>
  <c r="DE319" i="4"/>
  <c r="DE320" i="4"/>
  <c r="DE321" i="4"/>
  <c r="DE322" i="4"/>
  <c r="DE323" i="4"/>
  <c r="DE324" i="4"/>
  <c r="DE325" i="4"/>
  <c r="DE326" i="4"/>
  <c r="DE327" i="4"/>
  <c r="DE328" i="4"/>
  <c r="DE329" i="4"/>
  <c r="DE330" i="4"/>
  <c r="DE331" i="4"/>
  <c r="DE332" i="4"/>
  <c r="DE333" i="4"/>
  <c r="DE334" i="4"/>
  <c r="DE335" i="4"/>
  <c r="DE336" i="4"/>
  <c r="DE337" i="4"/>
  <c r="DE338" i="4"/>
  <c r="DE339" i="4"/>
  <c r="DE340" i="4"/>
  <c r="DE341" i="4"/>
  <c r="DE342" i="4"/>
  <c r="DE343" i="4"/>
  <c r="DE344" i="4"/>
  <c r="DE345" i="4"/>
  <c r="DE346" i="4"/>
  <c r="DE347" i="4"/>
  <c r="DE348" i="4"/>
  <c r="DE349" i="4"/>
  <c r="DE350" i="4"/>
  <c r="DE351" i="4"/>
  <c r="DE352" i="4"/>
  <c r="DE353" i="4"/>
  <c r="DE354" i="4"/>
  <c r="DE355" i="4"/>
  <c r="DE356" i="4"/>
  <c r="DE357" i="4"/>
  <c r="DE358" i="4"/>
  <c r="DE359" i="4"/>
  <c r="DE360" i="4"/>
  <c r="DE361" i="4"/>
  <c r="DE362" i="4"/>
  <c r="DE363" i="4"/>
  <c r="DE364" i="4"/>
  <c r="DE365" i="4"/>
  <c r="DE366" i="4"/>
  <c r="DE367" i="4"/>
  <c r="DE368" i="4"/>
  <c r="DE369" i="4"/>
  <c r="DE370" i="4"/>
  <c r="DE371" i="4"/>
  <c r="DE372" i="4"/>
  <c r="DE373" i="4"/>
  <c r="DE374" i="4"/>
  <c r="DE375" i="4"/>
  <c r="DE376" i="4"/>
  <c r="DE377" i="4"/>
  <c r="DE378" i="4"/>
  <c r="DE379" i="4"/>
  <c r="DE380" i="4"/>
  <c r="DE381" i="4"/>
  <c r="DE382" i="4"/>
  <c r="DE383" i="4"/>
  <c r="DE384" i="4"/>
  <c r="DE385" i="4"/>
  <c r="DE386" i="4"/>
  <c r="DE387" i="4"/>
  <c r="DE388" i="4"/>
  <c r="DE389" i="4"/>
  <c r="DE390" i="4"/>
  <c r="DE391" i="4"/>
  <c r="DE392" i="4"/>
  <c r="DE393" i="4"/>
  <c r="DE394" i="4"/>
  <c r="DE395" i="4"/>
  <c r="DE396" i="4"/>
  <c r="DE397" i="4"/>
  <c r="DE398" i="4"/>
  <c r="DE399" i="4"/>
  <c r="DE400" i="4"/>
  <c r="DE401" i="4"/>
  <c r="DE402" i="4"/>
  <c r="DE403" i="4"/>
  <c r="DE404" i="4"/>
  <c r="DE405" i="4"/>
  <c r="DE406" i="4"/>
  <c r="DE407" i="4"/>
  <c r="DE408" i="4"/>
  <c r="DE409" i="4"/>
  <c r="DE410" i="4"/>
  <c r="DE411" i="4"/>
  <c r="DE412" i="4"/>
  <c r="DE413" i="4"/>
  <c r="DE414" i="4"/>
  <c r="DE415" i="4"/>
  <c r="DE416" i="4"/>
  <c r="DE417" i="4"/>
  <c r="DE418" i="4"/>
  <c r="DE419" i="4"/>
  <c r="DE420" i="4"/>
  <c r="DE421" i="4"/>
  <c r="DE422" i="4"/>
  <c r="DE423" i="4"/>
  <c r="DE424" i="4"/>
  <c r="DE425" i="4"/>
  <c r="DE426" i="4"/>
  <c r="DE427" i="4"/>
  <c r="DE428" i="4"/>
  <c r="DE429" i="4"/>
  <c r="DE430" i="4"/>
  <c r="DE431" i="4"/>
  <c r="DE432" i="4"/>
  <c r="DE433" i="4"/>
  <c r="DE434" i="4"/>
  <c r="DE435" i="4"/>
  <c r="DE436" i="4"/>
  <c r="DE437" i="4"/>
  <c r="DV374" i="4"/>
  <c r="DV375" i="4"/>
  <c r="DV376" i="4"/>
  <c r="DV377" i="4"/>
  <c r="DV378" i="4"/>
  <c r="DV379" i="4"/>
  <c r="DV380" i="4"/>
  <c r="DV381" i="4"/>
  <c r="DV382" i="4"/>
  <c r="DV383" i="4"/>
  <c r="DV384" i="4"/>
  <c r="DV385" i="4"/>
  <c r="DV386" i="4"/>
  <c r="DV387" i="4"/>
  <c r="DV388" i="4"/>
  <c r="DV389" i="4"/>
  <c r="DV390" i="4"/>
  <c r="DV391" i="4"/>
  <c r="DV392" i="4"/>
  <c r="DV393" i="4"/>
  <c r="DV394" i="4"/>
  <c r="DV395" i="4"/>
  <c r="DV396" i="4"/>
  <c r="DV397" i="4"/>
  <c r="DV398" i="4"/>
  <c r="DV399" i="4"/>
  <c r="DV400" i="4"/>
  <c r="DV401" i="4"/>
  <c r="DV402" i="4"/>
  <c r="DV403" i="4"/>
  <c r="DV404" i="4"/>
  <c r="DV405" i="4"/>
  <c r="DV406" i="4"/>
  <c r="DV407" i="4"/>
  <c r="DV408" i="4"/>
  <c r="DV409" i="4"/>
  <c r="DV410" i="4"/>
  <c r="DV411" i="4"/>
  <c r="DV412" i="4"/>
  <c r="DV413" i="4"/>
  <c r="DV414" i="4"/>
  <c r="DV415" i="4"/>
  <c r="DV416" i="4"/>
  <c r="DV417" i="4"/>
  <c r="DV418" i="4"/>
  <c r="DV419" i="4"/>
  <c r="DV420" i="4"/>
  <c r="DV421" i="4"/>
  <c r="DV422" i="4"/>
  <c r="DV423" i="4"/>
  <c r="DV424" i="4"/>
  <c r="DV425" i="4"/>
  <c r="DV426" i="4"/>
  <c r="DV427" i="4"/>
  <c r="DV428" i="4"/>
  <c r="DV429" i="4"/>
  <c r="DV430" i="4"/>
  <c r="DV431" i="4"/>
  <c r="DV432" i="4"/>
  <c r="DV433" i="4"/>
  <c r="DV434" i="4"/>
  <c r="DV435" i="4"/>
  <c r="DV436" i="4"/>
  <c r="DV437" i="4"/>
  <c r="DV373" i="4"/>
  <c r="DV372" i="4"/>
  <c r="DV371" i="4"/>
  <c r="DV370" i="4"/>
  <c r="DW371" i="4"/>
  <c r="DW372" i="4"/>
  <c r="DW373" i="4"/>
  <c r="DW374" i="4"/>
  <c r="DW375" i="4"/>
  <c r="DW376" i="4"/>
  <c r="DW377" i="4"/>
  <c r="DW378" i="4"/>
  <c r="DW379" i="4"/>
  <c r="DW380" i="4"/>
  <c r="DW381" i="4"/>
  <c r="DW382" i="4"/>
  <c r="DW383" i="4"/>
  <c r="DW384" i="4"/>
  <c r="DW385" i="4"/>
  <c r="DW386" i="4"/>
  <c r="DW387" i="4"/>
  <c r="DW388" i="4"/>
  <c r="DW389" i="4"/>
  <c r="DW390" i="4"/>
  <c r="DW391" i="4"/>
  <c r="DW392" i="4"/>
  <c r="DW393" i="4"/>
  <c r="DW394" i="4"/>
  <c r="DW395" i="4"/>
  <c r="DW396" i="4"/>
  <c r="DW397" i="4"/>
  <c r="DW398" i="4"/>
  <c r="DW399" i="4"/>
  <c r="DW400" i="4"/>
  <c r="DW401" i="4"/>
  <c r="DW402" i="4"/>
  <c r="DW403" i="4"/>
  <c r="DW404" i="4"/>
  <c r="DW405" i="4"/>
  <c r="DW406" i="4"/>
  <c r="DW407" i="4"/>
  <c r="DW408" i="4"/>
  <c r="DW409" i="4"/>
  <c r="DW410" i="4"/>
  <c r="DW411" i="4"/>
  <c r="DW412" i="4"/>
  <c r="DW413" i="4"/>
  <c r="DW414" i="4"/>
  <c r="DW415" i="4"/>
  <c r="DW416" i="4"/>
  <c r="DW417" i="4"/>
  <c r="DW418" i="4"/>
  <c r="DW419" i="4"/>
  <c r="DW420" i="4"/>
  <c r="DW421" i="4"/>
  <c r="DW422" i="4"/>
  <c r="DW423" i="4"/>
  <c r="DW424" i="4"/>
  <c r="DW425" i="4"/>
  <c r="DW426" i="4"/>
  <c r="DW427" i="4"/>
  <c r="DW428" i="4"/>
  <c r="DW429" i="4"/>
  <c r="DW430" i="4"/>
  <c r="DW431" i="4"/>
  <c r="DW432" i="4"/>
  <c r="DW433" i="4"/>
  <c r="DW434" i="4"/>
  <c r="DW435" i="4"/>
  <c r="DW436" i="4"/>
  <c r="DW437" i="4"/>
  <c r="DW370" i="4"/>
  <c r="DL4" i="4"/>
  <c r="DL5" i="4"/>
  <c r="DL6" i="4"/>
  <c r="DL7" i="4"/>
  <c r="DL8" i="4"/>
  <c r="DL9" i="4"/>
  <c r="DL10" i="4"/>
  <c r="DL11" i="4"/>
  <c r="DL12" i="4"/>
  <c r="DL13" i="4"/>
  <c r="DL14" i="4"/>
  <c r="DL15" i="4"/>
  <c r="DL16" i="4"/>
  <c r="DL17" i="4"/>
  <c r="DL18" i="4"/>
  <c r="DL19" i="4"/>
  <c r="DL20" i="4"/>
  <c r="DL21" i="4"/>
  <c r="DL22" i="4"/>
  <c r="DL23" i="4"/>
  <c r="DL24" i="4"/>
  <c r="DL25" i="4"/>
  <c r="DL26" i="4"/>
  <c r="DL27" i="4"/>
  <c r="DL28" i="4"/>
  <c r="DL29" i="4"/>
  <c r="DL30" i="4"/>
  <c r="DL31" i="4"/>
  <c r="DL32" i="4"/>
  <c r="DL33" i="4"/>
  <c r="DL34" i="4"/>
  <c r="DL35" i="4"/>
  <c r="DL36" i="4"/>
  <c r="DL37" i="4"/>
  <c r="DL38" i="4"/>
  <c r="DL39" i="4"/>
  <c r="DL40" i="4"/>
  <c r="DL41" i="4"/>
  <c r="DL42" i="4"/>
  <c r="DL43" i="4"/>
  <c r="DL44" i="4"/>
  <c r="DL45" i="4"/>
  <c r="DL46" i="4"/>
  <c r="DL47" i="4"/>
  <c r="DL48" i="4"/>
  <c r="DL49" i="4"/>
  <c r="DL50" i="4"/>
  <c r="DL51" i="4"/>
  <c r="DL52" i="4"/>
  <c r="DL53" i="4"/>
  <c r="DL54" i="4"/>
  <c r="DL55" i="4"/>
  <c r="DL56" i="4"/>
  <c r="DL57" i="4"/>
  <c r="DL58" i="4"/>
  <c r="DL59" i="4"/>
  <c r="DL60" i="4"/>
  <c r="DL61" i="4"/>
  <c r="DL62" i="4"/>
  <c r="DL63" i="4"/>
  <c r="DL64" i="4"/>
  <c r="DL65" i="4"/>
  <c r="DL66" i="4"/>
  <c r="DL67" i="4"/>
  <c r="DL68" i="4"/>
  <c r="DL69" i="4"/>
  <c r="DL70" i="4"/>
  <c r="DL71" i="4"/>
  <c r="DL72" i="4"/>
  <c r="DL73" i="4"/>
  <c r="DL74" i="4"/>
  <c r="DL75" i="4"/>
  <c r="DL76" i="4"/>
  <c r="DL77" i="4"/>
  <c r="DL78" i="4"/>
  <c r="DL79" i="4"/>
  <c r="DL80" i="4"/>
  <c r="DL81" i="4"/>
  <c r="DL82" i="4"/>
  <c r="DL83" i="4"/>
  <c r="DL84" i="4"/>
  <c r="DL85" i="4"/>
  <c r="DL86" i="4"/>
  <c r="DL87" i="4"/>
  <c r="DL88" i="4"/>
  <c r="DL89" i="4"/>
  <c r="DL90" i="4"/>
  <c r="DL91" i="4"/>
  <c r="DL92" i="4"/>
  <c r="DL93" i="4"/>
  <c r="DL94" i="4"/>
  <c r="DL95" i="4"/>
  <c r="DL96" i="4"/>
  <c r="DL97" i="4"/>
  <c r="DL98" i="4"/>
  <c r="DL99" i="4"/>
  <c r="DL100" i="4"/>
  <c r="DL101" i="4"/>
  <c r="DL102" i="4"/>
  <c r="DL103" i="4"/>
  <c r="DL104" i="4"/>
  <c r="DL105" i="4"/>
  <c r="DL106" i="4"/>
  <c r="DL107" i="4"/>
  <c r="DL108" i="4"/>
  <c r="DL109" i="4"/>
  <c r="DL110" i="4"/>
  <c r="DL111" i="4"/>
  <c r="DL112" i="4"/>
  <c r="DL113" i="4"/>
  <c r="DL114" i="4"/>
  <c r="DL115" i="4"/>
  <c r="DL116" i="4"/>
  <c r="DL117" i="4"/>
  <c r="DL118" i="4"/>
  <c r="DL119" i="4"/>
  <c r="DL120" i="4"/>
  <c r="DL121" i="4"/>
  <c r="DL122" i="4"/>
  <c r="DL123" i="4"/>
  <c r="DL124" i="4"/>
  <c r="DL125" i="4"/>
  <c r="DL126" i="4"/>
  <c r="DL127" i="4"/>
  <c r="DL128" i="4"/>
  <c r="DL129" i="4"/>
  <c r="DL130" i="4"/>
  <c r="DL131" i="4"/>
  <c r="DL132" i="4"/>
  <c r="DL133" i="4"/>
  <c r="DL134" i="4"/>
  <c r="DL135" i="4"/>
  <c r="DL136" i="4"/>
  <c r="DL137" i="4"/>
  <c r="DL138" i="4"/>
  <c r="DL139" i="4"/>
  <c r="DL140" i="4"/>
  <c r="DL141" i="4"/>
  <c r="DL142" i="4"/>
  <c r="DL143" i="4"/>
  <c r="DL144" i="4"/>
  <c r="DL145" i="4"/>
  <c r="DL146" i="4"/>
  <c r="DL147" i="4"/>
  <c r="DL148" i="4"/>
  <c r="DL149" i="4"/>
  <c r="DL150" i="4"/>
  <c r="DL151" i="4"/>
  <c r="DL152" i="4"/>
  <c r="DL153" i="4"/>
  <c r="DL154" i="4"/>
  <c r="DL155" i="4"/>
  <c r="DL156" i="4"/>
  <c r="DL157" i="4"/>
  <c r="DL158" i="4"/>
  <c r="DL159" i="4"/>
  <c r="DL160" i="4"/>
  <c r="DL161" i="4"/>
  <c r="DL162" i="4"/>
  <c r="DL163" i="4"/>
  <c r="DL164" i="4"/>
  <c r="DL165" i="4"/>
  <c r="DL166" i="4"/>
  <c r="DL167" i="4"/>
  <c r="DL168" i="4"/>
  <c r="DL169" i="4"/>
  <c r="DL170" i="4"/>
  <c r="DL171" i="4"/>
  <c r="DL172" i="4"/>
  <c r="DL173" i="4"/>
  <c r="DL174" i="4"/>
  <c r="DL175" i="4"/>
  <c r="DL176" i="4"/>
  <c r="DL177" i="4"/>
  <c r="DL178" i="4"/>
  <c r="DL179" i="4"/>
  <c r="DL180" i="4"/>
  <c r="DL181" i="4"/>
  <c r="DL182" i="4"/>
  <c r="DL183" i="4"/>
  <c r="DL184" i="4"/>
  <c r="DL185" i="4"/>
  <c r="DL186" i="4"/>
  <c r="DL187" i="4"/>
  <c r="DL188" i="4"/>
  <c r="DL189" i="4"/>
  <c r="DL190" i="4"/>
  <c r="DL191" i="4"/>
  <c r="DL192" i="4"/>
  <c r="DL193" i="4"/>
  <c r="DL194" i="4"/>
  <c r="DL195" i="4"/>
  <c r="DL196" i="4"/>
  <c r="DL197" i="4"/>
  <c r="DL198" i="4"/>
  <c r="DL199" i="4"/>
  <c r="DL200" i="4"/>
  <c r="DL201" i="4"/>
  <c r="DL202" i="4"/>
  <c r="DL203" i="4"/>
  <c r="DL204" i="4"/>
  <c r="DL205" i="4"/>
  <c r="DL206" i="4"/>
  <c r="DL207" i="4"/>
  <c r="DL208" i="4"/>
  <c r="DL209" i="4"/>
  <c r="DL210" i="4"/>
  <c r="DL211" i="4"/>
  <c r="DL212" i="4"/>
  <c r="DL213" i="4"/>
  <c r="DL214" i="4"/>
  <c r="DL215" i="4"/>
  <c r="DL216" i="4"/>
  <c r="DL217" i="4"/>
  <c r="DL218" i="4"/>
  <c r="DL219" i="4"/>
  <c r="DL220" i="4"/>
  <c r="DL221" i="4"/>
  <c r="DL222" i="4"/>
  <c r="DL223" i="4"/>
  <c r="DL224" i="4"/>
  <c r="DL225" i="4"/>
  <c r="DL226" i="4"/>
  <c r="DL227" i="4"/>
  <c r="DL228" i="4"/>
  <c r="DL229" i="4"/>
  <c r="DL230" i="4"/>
  <c r="DL231" i="4"/>
  <c r="DL232" i="4"/>
  <c r="DL233" i="4"/>
  <c r="DL234" i="4"/>
  <c r="DL235" i="4"/>
  <c r="DL236" i="4"/>
  <c r="DL237" i="4"/>
  <c r="DL238" i="4"/>
  <c r="DL239" i="4"/>
  <c r="DL240" i="4"/>
  <c r="DL241" i="4"/>
  <c r="DL242" i="4"/>
  <c r="DL243" i="4"/>
  <c r="DL244" i="4"/>
  <c r="DL245" i="4"/>
  <c r="DL246" i="4"/>
  <c r="DL247" i="4"/>
  <c r="DL248" i="4"/>
  <c r="DL249" i="4"/>
  <c r="DL250" i="4"/>
  <c r="DL251" i="4"/>
  <c r="DL252" i="4"/>
  <c r="DL253" i="4"/>
  <c r="DL254" i="4"/>
  <c r="DL255" i="4"/>
  <c r="DL256" i="4"/>
  <c r="DL257" i="4"/>
  <c r="DL258" i="4"/>
  <c r="DL259" i="4"/>
  <c r="DL260" i="4"/>
  <c r="DL261" i="4"/>
  <c r="DL262" i="4"/>
  <c r="DL263" i="4"/>
  <c r="DL264" i="4"/>
  <c r="DL265" i="4"/>
  <c r="DL266" i="4"/>
  <c r="DL267" i="4"/>
  <c r="DL268" i="4"/>
  <c r="DL269" i="4"/>
  <c r="DL270" i="4"/>
  <c r="DL271" i="4"/>
  <c r="DL272" i="4"/>
  <c r="DL273" i="4"/>
  <c r="DL274" i="4"/>
  <c r="DL275" i="4"/>
  <c r="DL276" i="4"/>
  <c r="DL277" i="4"/>
  <c r="DL278" i="4"/>
  <c r="DL279" i="4"/>
  <c r="DL280" i="4"/>
  <c r="DL281" i="4"/>
  <c r="DL282" i="4"/>
  <c r="DL283" i="4"/>
  <c r="DL284" i="4"/>
  <c r="DL285" i="4"/>
  <c r="DL286" i="4"/>
  <c r="DL287" i="4"/>
  <c r="DL288" i="4"/>
  <c r="DL289" i="4"/>
  <c r="DL290" i="4"/>
  <c r="DL291" i="4"/>
  <c r="DL292" i="4"/>
  <c r="DL293" i="4"/>
  <c r="DL294" i="4"/>
  <c r="DL295" i="4"/>
  <c r="DL296" i="4"/>
  <c r="DL297" i="4"/>
  <c r="DL298" i="4"/>
  <c r="DL299" i="4"/>
  <c r="DL300" i="4"/>
  <c r="DL301" i="4"/>
  <c r="DL302" i="4"/>
  <c r="DL303" i="4"/>
  <c r="DL304" i="4"/>
  <c r="DL305" i="4"/>
  <c r="DL306" i="4"/>
  <c r="DL307" i="4"/>
  <c r="DL308" i="4"/>
  <c r="DL309" i="4"/>
  <c r="DL310" i="4"/>
  <c r="DL311" i="4"/>
  <c r="DL312" i="4"/>
  <c r="DL313" i="4"/>
  <c r="DL314" i="4"/>
  <c r="DL315" i="4"/>
  <c r="DL316" i="4"/>
  <c r="DL317" i="4"/>
  <c r="DL318" i="4"/>
  <c r="DL319" i="4"/>
  <c r="DL320" i="4"/>
  <c r="DL321" i="4"/>
  <c r="DL322" i="4"/>
  <c r="DL323" i="4"/>
  <c r="DL324" i="4"/>
  <c r="DL325" i="4"/>
  <c r="DL326" i="4"/>
  <c r="DL327" i="4"/>
  <c r="DL328" i="4"/>
  <c r="DL329" i="4"/>
  <c r="DL330" i="4"/>
  <c r="DL331" i="4"/>
  <c r="DL332" i="4"/>
  <c r="DL333" i="4"/>
  <c r="DL334" i="4"/>
  <c r="DL335" i="4"/>
  <c r="DL336" i="4"/>
  <c r="DL337" i="4"/>
  <c r="DL338" i="4"/>
  <c r="DL339" i="4"/>
  <c r="DL340" i="4"/>
  <c r="DL341" i="4"/>
  <c r="DL342" i="4"/>
  <c r="DL343" i="4"/>
  <c r="DL344" i="4"/>
  <c r="DL345" i="4"/>
  <c r="DL346" i="4"/>
  <c r="DL347" i="4"/>
  <c r="DL348" i="4"/>
  <c r="DL349" i="4"/>
  <c r="DL350" i="4"/>
  <c r="DL351" i="4"/>
  <c r="DL352" i="4"/>
  <c r="DL353" i="4"/>
  <c r="DL354" i="4"/>
  <c r="DL355" i="4"/>
  <c r="DL356" i="4"/>
  <c r="DL357" i="4"/>
  <c r="DL358" i="4"/>
  <c r="DL359" i="4"/>
  <c r="DL360" i="4"/>
  <c r="DL361" i="4"/>
  <c r="DL362" i="4"/>
  <c r="DL363" i="4"/>
  <c r="DL364" i="4"/>
  <c r="DL365" i="4"/>
  <c r="DL366" i="4"/>
  <c r="DL367" i="4"/>
  <c r="DL368" i="4"/>
  <c r="DL369" i="4"/>
  <c r="DL370" i="4"/>
  <c r="DL371" i="4"/>
  <c r="DL372" i="4"/>
  <c r="DL373" i="4"/>
  <c r="DL374" i="4"/>
  <c r="DL375" i="4"/>
  <c r="DL376" i="4"/>
  <c r="DL377" i="4"/>
  <c r="DL378" i="4"/>
  <c r="DL379" i="4"/>
  <c r="DL380" i="4"/>
  <c r="DL381" i="4"/>
  <c r="DL382" i="4"/>
  <c r="DL383" i="4"/>
  <c r="DL384" i="4"/>
  <c r="DL385" i="4"/>
  <c r="DL386" i="4"/>
  <c r="DL387" i="4"/>
  <c r="DL388" i="4"/>
  <c r="DL389" i="4"/>
  <c r="DL390" i="4"/>
  <c r="DL391" i="4"/>
  <c r="DL392" i="4"/>
  <c r="DL393" i="4"/>
  <c r="DL394" i="4"/>
  <c r="DL395" i="4"/>
  <c r="DL396" i="4"/>
  <c r="DL397" i="4"/>
  <c r="DL398" i="4"/>
  <c r="DL399" i="4"/>
  <c r="DL400" i="4"/>
  <c r="DL401" i="4"/>
  <c r="DL402" i="4"/>
  <c r="DL403" i="4"/>
  <c r="DL404" i="4"/>
  <c r="DL405" i="4"/>
  <c r="DL406" i="4"/>
  <c r="DL408" i="4"/>
  <c r="DL409" i="4"/>
  <c r="DL410" i="4"/>
  <c r="DL411" i="4"/>
  <c r="DL412" i="4"/>
  <c r="DL413" i="4"/>
  <c r="DL414" i="4"/>
  <c r="DL415" i="4"/>
  <c r="DL416" i="4"/>
  <c r="DL417" i="4"/>
  <c r="DL418" i="4"/>
  <c r="DL419" i="4"/>
  <c r="DL420" i="4"/>
  <c r="DL421" i="4"/>
  <c r="DL422" i="4"/>
  <c r="DL423" i="4"/>
  <c r="DL424" i="4"/>
  <c r="DL425" i="4"/>
  <c r="DL426" i="4"/>
  <c r="DL427" i="4"/>
  <c r="DL428" i="4"/>
  <c r="DL429" i="4"/>
  <c r="DL430" i="4"/>
  <c r="DL431" i="4"/>
  <c r="DL432" i="4"/>
  <c r="DL433" i="4"/>
  <c r="DL434" i="4"/>
  <c r="DL435" i="4"/>
  <c r="DL436" i="4"/>
  <c r="DL437" i="4"/>
  <c r="DP4" i="4"/>
  <c r="DP5" i="4"/>
  <c r="DP6" i="4"/>
  <c r="DP7" i="4"/>
  <c r="DP8" i="4"/>
  <c r="DP9" i="4"/>
  <c r="DP10" i="4"/>
  <c r="DP11" i="4"/>
  <c r="DP12" i="4"/>
  <c r="DP13" i="4"/>
  <c r="DP14" i="4"/>
  <c r="DP15" i="4"/>
  <c r="DP16" i="4"/>
  <c r="DP17" i="4"/>
  <c r="DP18" i="4"/>
  <c r="DP19" i="4"/>
  <c r="DP20" i="4"/>
  <c r="DP21" i="4"/>
  <c r="DP22" i="4"/>
  <c r="DP23" i="4"/>
  <c r="DP24" i="4"/>
  <c r="DP25" i="4"/>
  <c r="DP26" i="4"/>
  <c r="DP27" i="4"/>
  <c r="DP28" i="4"/>
  <c r="DP29" i="4"/>
  <c r="DP30" i="4"/>
  <c r="DP31" i="4"/>
  <c r="DP32" i="4"/>
  <c r="DP33" i="4"/>
  <c r="DP34" i="4"/>
  <c r="DP35" i="4"/>
  <c r="DP36" i="4"/>
  <c r="DP37" i="4"/>
  <c r="DP38" i="4"/>
  <c r="DP39" i="4"/>
  <c r="DP40" i="4"/>
  <c r="DP41" i="4"/>
  <c r="DP42" i="4"/>
  <c r="DP43" i="4"/>
  <c r="DP44" i="4"/>
  <c r="DP45" i="4"/>
  <c r="DP46" i="4"/>
  <c r="DP47" i="4"/>
  <c r="DP48" i="4"/>
  <c r="DP49" i="4"/>
  <c r="DP50" i="4"/>
  <c r="DP51" i="4"/>
  <c r="DP52" i="4"/>
  <c r="DP53" i="4"/>
  <c r="DP54" i="4"/>
  <c r="DP55" i="4"/>
  <c r="DP56" i="4"/>
  <c r="DP57" i="4"/>
  <c r="DP58" i="4"/>
  <c r="DP59" i="4"/>
  <c r="DP60" i="4"/>
  <c r="DP61" i="4"/>
  <c r="DP62" i="4"/>
  <c r="DP63" i="4"/>
  <c r="DP64" i="4"/>
  <c r="DP65" i="4"/>
  <c r="DP66" i="4"/>
  <c r="DP67" i="4"/>
  <c r="DP68" i="4"/>
  <c r="DP69" i="4"/>
  <c r="DP70" i="4"/>
  <c r="DP71" i="4"/>
  <c r="DP72" i="4"/>
  <c r="DP73" i="4"/>
  <c r="DP74" i="4"/>
  <c r="DP75" i="4"/>
  <c r="DP76" i="4"/>
  <c r="DP77" i="4"/>
  <c r="DP78" i="4"/>
  <c r="DP79" i="4"/>
  <c r="DP80" i="4"/>
  <c r="DP81" i="4"/>
  <c r="DP82" i="4"/>
  <c r="DP83" i="4"/>
  <c r="DP84" i="4"/>
  <c r="DP85" i="4"/>
  <c r="DP86" i="4"/>
  <c r="DP87" i="4"/>
  <c r="DP88" i="4"/>
  <c r="DP89" i="4"/>
  <c r="DP90" i="4"/>
  <c r="DP91" i="4"/>
  <c r="DP92" i="4"/>
  <c r="DP93" i="4"/>
  <c r="DP94" i="4"/>
  <c r="DP95" i="4"/>
  <c r="DP96" i="4"/>
  <c r="DP97" i="4"/>
  <c r="DP98" i="4"/>
  <c r="DP99" i="4"/>
  <c r="DP100" i="4"/>
  <c r="DP101" i="4"/>
  <c r="DP102" i="4"/>
  <c r="DP103" i="4"/>
  <c r="DP104" i="4"/>
  <c r="DP105" i="4"/>
  <c r="DP106" i="4"/>
  <c r="DP107" i="4"/>
  <c r="DP108" i="4"/>
  <c r="DP109" i="4"/>
  <c r="DP110" i="4"/>
  <c r="DP111" i="4"/>
  <c r="DP112" i="4"/>
  <c r="DP113" i="4"/>
  <c r="DP114" i="4"/>
  <c r="DP115" i="4"/>
  <c r="DP116" i="4"/>
  <c r="DP117" i="4"/>
  <c r="DP118" i="4"/>
  <c r="DP119" i="4"/>
  <c r="DP120" i="4"/>
  <c r="DP121" i="4"/>
  <c r="DP122" i="4"/>
  <c r="DP123" i="4"/>
  <c r="DP124" i="4"/>
  <c r="DP125" i="4"/>
  <c r="DP126" i="4"/>
  <c r="DP127" i="4"/>
  <c r="DP128" i="4"/>
  <c r="DP129" i="4"/>
  <c r="DP130" i="4"/>
  <c r="DP131" i="4"/>
  <c r="DP132" i="4"/>
  <c r="DP133" i="4"/>
  <c r="DP134" i="4"/>
  <c r="DP135" i="4"/>
  <c r="DP136" i="4"/>
  <c r="DP137" i="4"/>
  <c r="DP138" i="4"/>
  <c r="DP139" i="4"/>
  <c r="DP140" i="4"/>
  <c r="DP141" i="4"/>
  <c r="DP142" i="4"/>
  <c r="DP143" i="4"/>
  <c r="DP144" i="4"/>
  <c r="DP145" i="4"/>
  <c r="DP146" i="4"/>
  <c r="DP147" i="4"/>
  <c r="DP148" i="4"/>
  <c r="DP149" i="4"/>
  <c r="DP150" i="4"/>
  <c r="DP151" i="4"/>
  <c r="DP152" i="4"/>
  <c r="DP153" i="4"/>
  <c r="DP154" i="4"/>
  <c r="DP155" i="4"/>
  <c r="DP156" i="4"/>
  <c r="DP157" i="4"/>
  <c r="DP158" i="4"/>
  <c r="DP159" i="4"/>
  <c r="DP160" i="4"/>
  <c r="DP161" i="4"/>
  <c r="DP162" i="4"/>
  <c r="DP163" i="4"/>
  <c r="DP164" i="4"/>
  <c r="DP165" i="4"/>
  <c r="DP166" i="4"/>
  <c r="DP167" i="4"/>
  <c r="DP168" i="4"/>
  <c r="DP169" i="4"/>
  <c r="DP170" i="4"/>
  <c r="DP171" i="4"/>
  <c r="DP172" i="4"/>
  <c r="DP173" i="4"/>
  <c r="DP174" i="4"/>
  <c r="DP175" i="4"/>
  <c r="DP176" i="4"/>
  <c r="DP177" i="4"/>
  <c r="DP178" i="4"/>
  <c r="DP179" i="4"/>
  <c r="DP180" i="4"/>
  <c r="DP181" i="4"/>
  <c r="DP182" i="4"/>
  <c r="DP183" i="4"/>
  <c r="DP184" i="4"/>
  <c r="DP185" i="4"/>
  <c r="DP186" i="4"/>
  <c r="DP187" i="4"/>
  <c r="DP188" i="4"/>
  <c r="DP189" i="4"/>
  <c r="DP190" i="4"/>
  <c r="DP191" i="4"/>
  <c r="DP192" i="4"/>
  <c r="DP193" i="4"/>
  <c r="DP194" i="4"/>
  <c r="DP195" i="4"/>
  <c r="DP196" i="4"/>
  <c r="DP197" i="4"/>
  <c r="DP198" i="4"/>
  <c r="DP199" i="4"/>
  <c r="DP200" i="4"/>
  <c r="DP201" i="4"/>
  <c r="DP202" i="4"/>
  <c r="DP203" i="4"/>
  <c r="DP204" i="4"/>
  <c r="DP205" i="4"/>
  <c r="DP206" i="4"/>
  <c r="DP207" i="4"/>
  <c r="DP208" i="4"/>
  <c r="DP209" i="4"/>
  <c r="DP210" i="4"/>
  <c r="DP211" i="4"/>
  <c r="DP212" i="4"/>
  <c r="DP213" i="4"/>
  <c r="DP214" i="4"/>
  <c r="DP215" i="4"/>
  <c r="DP216" i="4"/>
  <c r="DP217" i="4"/>
  <c r="DP218" i="4"/>
  <c r="DP219" i="4"/>
  <c r="DP220" i="4"/>
  <c r="DP221" i="4"/>
  <c r="DP222" i="4"/>
  <c r="DP223" i="4"/>
  <c r="DP224" i="4"/>
  <c r="DP225" i="4"/>
  <c r="DP226" i="4"/>
  <c r="DP227" i="4"/>
  <c r="DP228" i="4"/>
  <c r="DP229" i="4"/>
  <c r="DP230" i="4"/>
  <c r="DP231" i="4"/>
  <c r="DP232" i="4"/>
  <c r="DP233" i="4"/>
  <c r="DP234" i="4"/>
  <c r="DP235" i="4"/>
  <c r="DP236" i="4"/>
  <c r="DP237" i="4"/>
  <c r="DP238" i="4"/>
  <c r="DP239" i="4"/>
  <c r="DP240" i="4"/>
  <c r="DP241" i="4"/>
  <c r="DP242" i="4"/>
  <c r="DP243" i="4"/>
  <c r="DP244" i="4"/>
  <c r="DP245" i="4"/>
  <c r="DP246" i="4"/>
  <c r="DP247" i="4"/>
  <c r="DP248" i="4"/>
  <c r="DP249" i="4"/>
  <c r="DP250" i="4"/>
  <c r="DP251" i="4"/>
  <c r="DP252" i="4"/>
  <c r="DP253" i="4"/>
  <c r="DP254" i="4"/>
  <c r="DP255" i="4"/>
  <c r="DP256" i="4"/>
  <c r="DP257" i="4"/>
  <c r="DP258" i="4"/>
  <c r="DP259" i="4"/>
  <c r="DP260" i="4"/>
  <c r="DP261" i="4"/>
  <c r="DP262" i="4"/>
  <c r="DP263" i="4"/>
  <c r="DP264" i="4"/>
  <c r="DP265" i="4"/>
  <c r="DP266" i="4"/>
  <c r="DP267" i="4"/>
  <c r="DP268" i="4"/>
  <c r="DP269" i="4"/>
  <c r="DP270" i="4"/>
  <c r="DP271" i="4"/>
  <c r="DP272" i="4"/>
  <c r="DP273" i="4"/>
  <c r="DP274" i="4"/>
  <c r="DP275" i="4"/>
  <c r="DP276" i="4"/>
  <c r="DP277" i="4"/>
  <c r="DP278" i="4"/>
  <c r="DP279" i="4"/>
  <c r="DP280" i="4"/>
  <c r="DP281" i="4"/>
  <c r="DP282" i="4"/>
  <c r="DP283" i="4"/>
  <c r="DP284" i="4"/>
  <c r="DP285" i="4"/>
  <c r="DP286" i="4"/>
  <c r="DP287" i="4"/>
  <c r="DP288" i="4"/>
  <c r="DP289" i="4"/>
  <c r="DP290" i="4"/>
  <c r="DP291" i="4"/>
  <c r="DP292" i="4"/>
  <c r="DP293" i="4"/>
  <c r="DP294" i="4"/>
  <c r="DP295" i="4"/>
  <c r="DP296" i="4"/>
  <c r="DP297" i="4"/>
  <c r="DP298" i="4"/>
  <c r="DP299" i="4"/>
  <c r="DP300" i="4"/>
  <c r="DP301" i="4"/>
  <c r="DP302" i="4"/>
  <c r="DP303" i="4"/>
  <c r="DP304" i="4"/>
  <c r="DP305" i="4"/>
  <c r="DP306" i="4"/>
  <c r="DP307" i="4"/>
  <c r="DP308" i="4"/>
  <c r="DP309" i="4"/>
  <c r="DP310" i="4"/>
  <c r="DP311" i="4"/>
  <c r="DP312" i="4"/>
  <c r="DP313" i="4"/>
  <c r="DP314" i="4"/>
  <c r="DP315" i="4"/>
  <c r="DP316" i="4"/>
  <c r="DP317" i="4"/>
  <c r="DP318" i="4"/>
  <c r="DP319" i="4"/>
  <c r="DP320" i="4"/>
  <c r="DP321" i="4"/>
  <c r="DP322" i="4"/>
  <c r="DP323" i="4"/>
  <c r="DP324" i="4"/>
  <c r="DP325" i="4"/>
  <c r="DP326" i="4"/>
  <c r="DP327" i="4"/>
  <c r="DP328" i="4"/>
  <c r="DP329" i="4"/>
  <c r="DP330" i="4"/>
  <c r="DP331" i="4"/>
  <c r="DP332" i="4"/>
  <c r="DP333" i="4"/>
  <c r="DP334" i="4"/>
  <c r="DP335" i="4"/>
  <c r="DP336" i="4"/>
  <c r="DP337" i="4"/>
  <c r="DP338" i="4"/>
  <c r="DP339" i="4"/>
  <c r="DP340" i="4"/>
  <c r="DP341" i="4"/>
  <c r="DP342" i="4"/>
  <c r="DP343" i="4"/>
  <c r="DP344" i="4"/>
  <c r="DP345" i="4"/>
  <c r="DP346" i="4"/>
  <c r="DP347" i="4"/>
  <c r="DP348" i="4"/>
  <c r="DP349" i="4"/>
  <c r="DP350" i="4"/>
  <c r="DP351" i="4"/>
  <c r="DP352" i="4"/>
  <c r="DP353" i="4"/>
  <c r="DP354" i="4"/>
  <c r="DP355" i="4"/>
  <c r="DP356" i="4"/>
  <c r="DP357" i="4"/>
  <c r="DP358" i="4"/>
  <c r="DP359" i="4"/>
  <c r="DP360" i="4"/>
  <c r="DP361" i="4"/>
  <c r="DP362" i="4"/>
  <c r="DP363" i="4"/>
  <c r="DP364" i="4"/>
  <c r="DP365" i="4"/>
  <c r="DP366" i="4"/>
  <c r="DP367" i="4"/>
  <c r="DP368" i="4"/>
  <c r="DP369" i="4"/>
  <c r="DP370" i="4"/>
  <c r="DP371" i="4"/>
  <c r="DP372" i="4"/>
  <c r="DP373" i="4"/>
  <c r="DP374" i="4"/>
  <c r="DP375" i="4"/>
  <c r="DP376" i="4"/>
  <c r="DP377" i="4"/>
  <c r="DP378" i="4"/>
  <c r="DP379" i="4"/>
  <c r="DP380" i="4"/>
  <c r="DP381" i="4"/>
  <c r="DP382" i="4"/>
  <c r="DP383" i="4"/>
  <c r="DP384" i="4"/>
  <c r="DP385" i="4"/>
  <c r="DP386" i="4"/>
  <c r="DP387" i="4"/>
  <c r="DP388" i="4"/>
  <c r="DP389" i="4"/>
  <c r="DP390" i="4"/>
  <c r="DP391" i="4"/>
  <c r="DP392" i="4"/>
  <c r="DP393" i="4"/>
  <c r="DP394" i="4"/>
  <c r="DP395" i="4"/>
  <c r="DP396" i="4"/>
  <c r="DP397" i="4"/>
  <c r="DP398" i="4"/>
  <c r="DP399" i="4"/>
  <c r="DP400" i="4"/>
  <c r="DP401" i="4"/>
  <c r="DP402" i="4"/>
  <c r="DP403" i="4"/>
  <c r="DP404" i="4"/>
  <c r="DP405" i="4"/>
  <c r="DP406" i="4"/>
  <c r="DP407" i="4"/>
  <c r="DP408" i="4"/>
  <c r="DP409" i="4"/>
  <c r="DP410" i="4"/>
  <c r="DP411" i="4"/>
  <c r="DP413" i="4"/>
  <c r="DP414" i="4"/>
  <c r="DP415" i="4"/>
  <c r="DP416" i="4"/>
  <c r="DP417" i="4"/>
  <c r="DP418" i="4"/>
  <c r="DP419" i="4"/>
  <c r="DP420" i="4"/>
  <c r="DP421" i="4"/>
  <c r="DP422" i="4"/>
  <c r="DP423" i="4"/>
  <c r="DP424" i="4"/>
  <c r="DP425" i="4"/>
  <c r="DP426" i="4"/>
  <c r="DP427" i="4"/>
  <c r="DP428" i="4"/>
  <c r="DP429" i="4"/>
  <c r="DP430" i="4"/>
  <c r="DP431" i="4"/>
  <c r="DP432" i="4"/>
  <c r="DP433" i="4"/>
  <c r="DP434" i="4"/>
  <c r="DP435" i="4"/>
  <c r="DP436" i="4"/>
  <c r="DP437" i="4"/>
  <c r="DP412" i="4"/>
  <c r="DT374" i="4"/>
  <c r="DT375" i="4"/>
  <c r="DT376" i="4"/>
  <c r="DT377" i="4"/>
  <c r="DT378" i="4"/>
  <c r="DT379" i="4"/>
  <c r="DT380" i="4"/>
  <c r="DT381" i="4"/>
  <c r="DT382" i="4"/>
  <c r="DT383" i="4"/>
  <c r="DT384" i="4"/>
  <c r="DT385" i="4"/>
  <c r="DT386" i="4"/>
  <c r="DT387" i="4"/>
  <c r="DT388" i="4"/>
  <c r="DT389" i="4"/>
  <c r="DT390" i="4"/>
  <c r="DT391" i="4"/>
  <c r="DT392" i="4"/>
  <c r="DT393" i="4"/>
  <c r="DT394" i="4"/>
  <c r="DT395" i="4"/>
  <c r="DT396" i="4"/>
  <c r="DT397" i="4"/>
  <c r="DT398" i="4"/>
  <c r="DT399" i="4"/>
  <c r="DT400" i="4"/>
  <c r="DT401" i="4"/>
  <c r="DT402" i="4"/>
  <c r="DT403" i="4"/>
  <c r="DT404" i="4"/>
  <c r="DT405" i="4"/>
  <c r="DT406" i="4"/>
  <c r="DT407" i="4"/>
  <c r="DT408" i="4"/>
  <c r="DT409" i="4"/>
  <c r="DT410" i="4"/>
  <c r="DT411" i="4"/>
  <c r="DT412" i="4"/>
  <c r="DT413" i="4"/>
  <c r="DT414" i="4"/>
  <c r="DT415" i="4"/>
  <c r="DT416" i="4"/>
  <c r="DT417" i="4"/>
  <c r="DT418" i="4"/>
  <c r="DT419" i="4"/>
  <c r="DT420" i="4"/>
  <c r="DT421" i="4"/>
  <c r="DT422" i="4"/>
  <c r="DT423" i="4"/>
  <c r="DT424" i="4"/>
  <c r="DT425" i="4"/>
  <c r="DT426" i="4"/>
  <c r="DT427" i="4"/>
  <c r="DT428" i="4"/>
  <c r="DT429" i="4"/>
  <c r="DT430" i="4"/>
  <c r="DT431" i="4"/>
  <c r="DT432" i="4"/>
  <c r="DT433" i="4"/>
  <c r="DT434" i="4"/>
  <c r="DT435" i="4"/>
  <c r="DT436" i="4"/>
  <c r="DT437" i="4"/>
  <c r="DK430" i="4"/>
  <c r="DK431" i="4"/>
  <c r="DK432" i="4"/>
  <c r="DK433" i="4"/>
  <c r="DK434" i="4"/>
  <c r="DK435" i="4"/>
  <c r="DK436" i="4"/>
  <c r="DK437" i="4"/>
  <c r="DU371" i="4"/>
  <c r="DU372" i="4"/>
  <c r="DU373" i="4"/>
  <c r="DU374" i="4"/>
  <c r="DU375" i="4"/>
  <c r="DU376" i="4"/>
  <c r="DU377" i="4"/>
  <c r="DU378" i="4"/>
  <c r="DU379" i="4"/>
  <c r="DU380" i="4"/>
  <c r="DU381" i="4"/>
  <c r="DU382" i="4"/>
  <c r="DU383" i="4"/>
  <c r="DU384" i="4"/>
  <c r="DU385" i="4"/>
  <c r="DU386" i="4"/>
  <c r="DU387" i="4"/>
  <c r="DU388" i="4"/>
  <c r="DU389" i="4"/>
  <c r="DU390" i="4"/>
  <c r="DU391" i="4"/>
  <c r="DU392" i="4"/>
  <c r="DU393" i="4"/>
  <c r="DU394" i="4"/>
  <c r="DU395" i="4"/>
  <c r="DU396" i="4"/>
  <c r="DU397" i="4"/>
  <c r="DU398" i="4"/>
  <c r="DU399" i="4"/>
  <c r="DU400" i="4"/>
  <c r="DU401" i="4"/>
  <c r="DU402" i="4"/>
  <c r="DU403" i="4"/>
  <c r="DU404" i="4"/>
  <c r="DU405" i="4"/>
  <c r="DU406" i="4"/>
  <c r="DU407" i="4"/>
  <c r="DU408" i="4"/>
  <c r="DU409" i="4"/>
  <c r="DU410" i="4"/>
  <c r="DU411" i="4"/>
  <c r="DU412" i="4"/>
  <c r="DU413" i="4"/>
  <c r="DU414" i="4"/>
  <c r="DU415" i="4"/>
  <c r="DU416" i="4"/>
  <c r="DU417" i="4"/>
  <c r="DU418" i="4"/>
  <c r="DU419" i="4"/>
  <c r="DU420" i="4"/>
  <c r="DU421" i="4"/>
  <c r="DU422" i="4"/>
  <c r="DU423" i="4"/>
  <c r="DU424" i="4"/>
  <c r="DU425" i="4"/>
  <c r="DU426" i="4"/>
  <c r="DU427" i="4"/>
  <c r="DU428" i="4"/>
  <c r="DU429" i="4"/>
  <c r="DU430" i="4"/>
  <c r="DU431" i="4"/>
  <c r="DU432" i="4"/>
  <c r="DU433" i="4"/>
  <c r="DU434" i="4"/>
  <c r="DU435" i="4"/>
  <c r="DU436" i="4"/>
  <c r="DU437" i="4"/>
  <c r="DZ5" i="4"/>
  <c r="DZ6" i="4"/>
  <c r="DZ7" i="4"/>
  <c r="DZ8" i="4"/>
  <c r="DZ9" i="4"/>
  <c r="DZ10" i="4"/>
  <c r="DZ11" i="4"/>
  <c r="DZ12" i="4"/>
  <c r="DZ13" i="4"/>
  <c r="DZ14" i="4"/>
  <c r="DZ15" i="4"/>
  <c r="DZ16" i="4"/>
  <c r="DZ17" i="4"/>
  <c r="DZ18" i="4"/>
  <c r="DZ19" i="4"/>
  <c r="DZ20" i="4"/>
  <c r="DZ21" i="4"/>
  <c r="DZ22" i="4"/>
  <c r="DZ23" i="4"/>
  <c r="DZ24" i="4"/>
  <c r="DZ25" i="4"/>
  <c r="DZ26" i="4"/>
  <c r="DZ27" i="4"/>
  <c r="DZ28" i="4"/>
  <c r="DZ29" i="4"/>
  <c r="DZ30" i="4"/>
  <c r="DZ31" i="4"/>
  <c r="DZ32" i="4"/>
  <c r="DZ33" i="4"/>
  <c r="DZ34" i="4"/>
  <c r="DZ35" i="4"/>
  <c r="DZ36" i="4"/>
  <c r="DZ37" i="4"/>
  <c r="DZ38" i="4"/>
  <c r="DZ39" i="4"/>
  <c r="DZ40" i="4"/>
  <c r="DZ41" i="4"/>
  <c r="DZ42" i="4"/>
  <c r="DZ43" i="4"/>
  <c r="DZ44" i="4"/>
  <c r="DZ45" i="4"/>
  <c r="DZ46" i="4"/>
  <c r="DZ47" i="4"/>
  <c r="DZ48" i="4"/>
  <c r="DZ49" i="4"/>
  <c r="DZ50" i="4"/>
  <c r="DZ51" i="4"/>
  <c r="DZ52" i="4"/>
  <c r="DZ53" i="4"/>
  <c r="DZ54" i="4"/>
  <c r="DZ55" i="4"/>
  <c r="DZ56" i="4"/>
  <c r="DZ57" i="4"/>
  <c r="DZ58" i="4"/>
  <c r="DZ59" i="4"/>
  <c r="DZ60" i="4"/>
  <c r="DZ61" i="4"/>
  <c r="DZ62" i="4"/>
  <c r="DZ63" i="4"/>
  <c r="DZ64" i="4"/>
  <c r="DZ65" i="4"/>
  <c r="DZ66" i="4"/>
  <c r="DZ67" i="4"/>
  <c r="DZ68" i="4"/>
  <c r="DZ69" i="4"/>
  <c r="DZ70" i="4"/>
  <c r="DZ71" i="4"/>
  <c r="DZ72" i="4"/>
  <c r="DZ73" i="4"/>
  <c r="DZ74" i="4"/>
  <c r="DZ75" i="4"/>
  <c r="DZ76" i="4"/>
  <c r="DZ77" i="4"/>
  <c r="DZ78" i="4"/>
  <c r="DZ79" i="4"/>
  <c r="DZ80" i="4"/>
  <c r="DZ81" i="4"/>
  <c r="DZ82" i="4"/>
  <c r="DZ83" i="4"/>
  <c r="DZ84" i="4"/>
  <c r="DZ85" i="4"/>
  <c r="DZ86" i="4"/>
  <c r="DZ87" i="4"/>
  <c r="DZ88" i="4"/>
  <c r="DZ89" i="4"/>
  <c r="DZ90" i="4"/>
  <c r="DZ91" i="4"/>
  <c r="DZ92" i="4"/>
  <c r="DZ93" i="4"/>
  <c r="DZ94" i="4"/>
  <c r="DZ95" i="4"/>
  <c r="DZ96" i="4"/>
  <c r="DZ97" i="4"/>
  <c r="DZ98" i="4"/>
  <c r="DZ99" i="4"/>
  <c r="DZ100" i="4"/>
  <c r="DZ101" i="4"/>
  <c r="DZ102" i="4"/>
  <c r="DZ103" i="4"/>
  <c r="DZ104" i="4"/>
  <c r="DZ105" i="4"/>
  <c r="DZ106" i="4"/>
  <c r="DZ107" i="4"/>
  <c r="DZ108" i="4"/>
  <c r="DZ109" i="4"/>
  <c r="DZ110" i="4"/>
  <c r="DZ111" i="4"/>
  <c r="DZ112" i="4"/>
  <c r="DZ113" i="4"/>
  <c r="DZ114" i="4"/>
  <c r="DZ115" i="4"/>
  <c r="DZ116" i="4"/>
  <c r="DZ117" i="4"/>
  <c r="DZ118" i="4"/>
  <c r="DZ119" i="4"/>
  <c r="DZ120" i="4"/>
  <c r="DZ121" i="4"/>
  <c r="DZ122" i="4"/>
  <c r="DZ123" i="4"/>
  <c r="DZ124" i="4"/>
  <c r="DZ125" i="4"/>
  <c r="DZ126" i="4"/>
  <c r="DZ127" i="4"/>
  <c r="DZ128" i="4"/>
  <c r="DZ129" i="4"/>
  <c r="DZ130" i="4"/>
  <c r="DZ131" i="4"/>
  <c r="DZ132" i="4"/>
  <c r="DZ133" i="4"/>
  <c r="DZ134" i="4"/>
  <c r="DZ135" i="4"/>
  <c r="DZ136" i="4"/>
  <c r="DZ137" i="4"/>
  <c r="DZ138" i="4"/>
  <c r="DZ139" i="4"/>
  <c r="DZ140" i="4"/>
  <c r="DZ141" i="4"/>
  <c r="DZ142" i="4"/>
  <c r="DZ143" i="4"/>
  <c r="DZ144" i="4"/>
  <c r="DZ145" i="4"/>
  <c r="DZ146" i="4"/>
  <c r="DZ147" i="4"/>
  <c r="DZ148" i="4"/>
  <c r="DZ149" i="4"/>
  <c r="DZ150" i="4"/>
  <c r="DZ151" i="4"/>
  <c r="DZ152" i="4"/>
  <c r="DZ153" i="4"/>
  <c r="DZ154" i="4"/>
  <c r="DZ155" i="4"/>
  <c r="DZ156" i="4"/>
  <c r="DZ157" i="4"/>
  <c r="DZ158" i="4"/>
  <c r="DZ159" i="4"/>
  <c r="DZ160" i="4"/>
  <c r="DZ161" i="4"/>
  <c r="DZ162" i="4"/>
  <c r="DZ163" i="4"/>
  <c r="DZ164" i="4"/>
  <c r="DZ165" i="4"/>
  <c r="DZ166" i="4"/>
  <c r="DZ167" i="4"/>
  <c r="DZ168" i="4"/>
  <c r="DZ169" i="4"/>
  <c r="DZ170" i="4"/>
  <c r="DZ171" i="4"/>
  <c r="DZ172" i="4"/>
  <c r="DZ173" i="4"/>
  <c r="DZ174" i="4"/>
  <c r="DZ175" i="4"/>
  <c r="DZ176" i="4"/>
  <c r="DZ177" i="4"/>
  <c r="DZ178" i="4"/>
  <c r="DZ179" i="4"/>
  <c r="DZ180" i="4"/>
  <c r="DZ181" i="4"/>
  <c r="DZ182" i="4"/>
  <c r="DZ183" i="4"/>
  <c r="DZ184" i="4"/>
  <c r="DZ185" i="4"/>
  <c r="DZ186" i="4"/>
  <c r="DZ187" i="4"/>
  <c r="DZ188" i="4"/>
  <c r="DZ189" i="4"/>
  <c r="DZ190" i="4"/>
  <c r="DZ191" i="4"/>
  <c r="DZ192" i="4"/>
  <c r="DZ193" i="4"/>
  <c r="DZ194" i="4"/>
  <c r="DZ195" i="4"/>
  <c r="DZ196" i="4"/>
  <c r="DZ197" i="4"/>
  <c r="DZ198" i="4"/>
  <c r="DZ199" i="4"/>
  <c r="DZ200" i="4"/>
  <c r="DZ201" i="4"/>
  <c r="DZ202" i="4"/>
  <c r="DZ203" i="4"/>
  <c r="DZ204" i="4"/>
  <c r="DZ205" i="4"/>
  <c r="DZ206" i="4"/>
  <c r="DZ207" i="4"/>
  <c r="DZ208" i="4"/>
  <c r="DZ209" i="4"/>
  <c r="DZ210" i="4"/>
  <c r="DZ211" i="4"/>
  <c r="DZ212" i="4"/>
  <c r="DZ213" i="4"/>
  <c r="DZ214" i="4"/>
  <c r="DZ215" i="4"/>
  <c r="DZ216" i="4"/>
  <c r="DZ217" i="4"/>
  <c r="DZ218" i="4"/>
  <c r="DZ219" i="4"/>
  <c r="DZ220" i="4"/>
  <c r="DZ221" i="4"/>
  <c r="DZ222" i="4"/>
  <c r="DZ223" i="4"/>
  <c r="DZ224" i="4"/>
  <c r="DZ225" i="4"/>
  <c r="DZ226" i="4"/>
  <c r="DZ227" i="4"/>
  <c r="DZ228" i="4"/>
  <c r="DZ229" i="4"/>
  <c r="DZ230" i="4"/>
  <c r="DZ231" i="4"/>
  <c r="DZ232" i="4"/>
  <c r="DZ233" i="4"/>
  <c r="DZ234" i="4"/>
  <c r="DZ235" i="4"/>
  <c r="DZ236" i="4"/>
  <c r="DZ237" i="4"/>
  <c r="DZ238" i="4"/>
  <c r="DZ239" i="4"/>
  <c r="DZ240" i="4"/>
  <c r="DZ241" i="4"/>
  <c r="DZ242" i="4"/>
  <c r="DZ243" i="4"/>
  <c r="DZ244" i="4"/>
  <c r="DZ245" i="4"/>
  <c r="DZ246" i="4"/>
  <c r="DZ247" i="4"/>
  <c r="DZ248" i="4"/>
  <c r="DZ249" i="4"/>
  <c r="DZ250" i="4"/>
  <c r="DZ251" i="4"/>
  <c r="DZ252" i="4"/>
  <c r="DZ253" i="4"/>
  <c r="DZ254" i="4"/>
  <c r="DZ255" i="4"/>
  <c r="DZ256" i="4"/>
  <c r="DZ257" i="4"/>
  <c r="DZ258" i="4"/>
  <c r="DZ259" i="4"/>
  <c r="DZ260" i="4"/>
  <c r="DZ261" i="4"/>
  <c r="DZ262" i="4"/>
  <c r="DZ263" i="4"/>
  <c r="DZ264" i="4"/>
  <c r="DZ265" i="4"/>
  <c r="DZ266" i="4"/>
  <c r="DZ267" i="4"/>
  <c r="DZ268" i="4"/>
  <c r="DZ269" i="4"/>
  <c r="DZ270" i="4"/>
  <c r="DZ271" i="4"/>
  <c r="DZ272" i="4"/>
  <c r="DZ273" i="4"/>
  <c r="DZ274" i="4"/>
  <c r="DZ275" i="4"/>
  <c r="DZ276" i="4"/>
  <c r="DZ277" i="4"/>
  <c r="DZ278" i="4"/>
  <c r="DZ279" i="4"/>
  <c r="DZ280" i="4"/>
  <c r="DZ281" i="4"/>
  <c r="DZ282" i="4"/>
  <c r="DZ283" i="4"/>
  <c r="DZ284" i="4"/>
  <c r="DZ285" i="4"/>
  <c r="DZ286" i="4"/>
  <c r="DZ287" i="4"/>
  <c r="DZ288" i="4"/>
  <c r="DZ289" i="4"/>
  <c r="DZ290" i="4"/>
  <c r="DZ291" i="4"/>
  <c r="DZ292" i="4"/>
  <c r="DZ293" i="4"/>
  <c r="DZ294" i="4"/>
  <c r="DZ295" i="4"/>
  <c r="DZ296" i="4"/>
  <c r="DZ297" i="4"/>
  <c r="DZ298" i="4"/>
  <c r="DZ299" i="4"/>
  <c r="DZ300" i="4"/>
  <c r="DZ301" i="4"/>
  <c r="DZ302" i="4"/>
  <c r="DZ303" i="4"/>
  <c r="DZ304" i="4"/>
  <c r="DZ305" i="4"/>
  <c r="DZ306" i="4"/>
  <c r="DZ307" i="4"/>
  <c r="DZ308" i="4"/>
  <c r="DZ309" i="4"/>
  <c r="DZ310" i="4"/>
  <c r="DZ311" i="4"/>
  <c r="DZ312" i="4"/>
  <c r="DZ313" i="4"/>
  <c r="DZ314" i="4"/>
  <c r="DZ315" i="4"/>
  <c r="DZ316" i="4"/>
  <c r="DZ317" i="4"/>
  <c r="DZ318" i="4"/>
  <c r="DZ319" i="4"/>
  <c r="DZ320" i="4"/>
  <c r="DZ321" i="4"/>
  <c r="DZ322" i="4"/>
  <c r="DZ323" i="4"/>
  <c r="DZ324" i="4"/>
  <c r="DZ325" i="4"/>
  <c r="DZ326" i="4"/>
  <c r="DZ327" i="4"/>
  <c r="DZ328" i="4"/>
  <c r="DZ329" i="4"/>
  <c r="DZ330" i="4"/>
  <c r="DZ331" i="4"/>
  <c r="DZ332" i="4"/>
  <c r="DZ333" i="4"/>
  <c r="DZ334" i="4"/>
  <c r="DZ335" i="4"/>
  <c r="DZ336" i="4"/>
  <c r="DZ337" i="4"/>
  <c r="DZ338" i="4"/>
  <c r="DZ339" i="4"/>
  <c r="DZ340" i="4"/>
  <c r="DZ341" i="4"/>
  <c r="DZ342" i="4"/>
  <c r="DZ343" i="4"/>
  <c r="DZ344" i="4"/>
  <c r="DZ345" i="4"/>
  <c r="DZ346" i="4"/>
  <c r="DZ347" i="4"/>
  <c r="DZ348" i="4"/>
  <c r="DZ349" i="4"/>
  <c r="DZ350" i="4"/>
  <c r="DZ351" i="4"/>
  <c r="DZ352" i="4"/>
  <c r="DZ353" i="4"/>
  <c r="DZ354" i="4"/>
  <c r="DZ355" i="4"/>
  <c r="DZ356" i="4"/>
  <c r="DZ357" i="4"/>
  <c r="DZ358" i="4"/>
  <c r="DZ359" i="4"/>
  <c r="DZ360" i="4"/>
  <c r="DZ361" i="4"/>
  <c r="DZ362" i="4"/>
  <c r="DZ363" i="4"/>
  <c r="DZ364" i="4"/>
  <c r="DZ365" i="4"/>
  <c r="DZ366" i="4"/>
  <c r="DZ367" i="4"/>
  <c r="DZ368" i="4"/>
  <c r="DZ369" i="4"/>
  <c r="DZ370" i="4"/>
  <c r="DZ371" i="4"/>
  <c r="DZ372" i="4"/>
  <c r="DZ373" i="4"/>
  <c r="DZ374" i="4"/>
  <c r="DZ375" i="4"/>
  <c r="DZ376" i="4"/>
  <c r="DZ377" i="4"/>
  <c r="DZ378" i="4"/>
  <c r="DZ379" i="4"/>
  <c r="DZ380" i="4"/>
  <c r="DZ381" i="4"/>
  <c r="DZ382" i="4"/>
  <c r="DZ383" i="4"/>
  <c r="DZ384" i="4"/>
  <c r="DZ385" i="4"/>
  <c r="DZ386" i="4"/>
  <c r="DZ387" i="4"/>
  <c r="DZ388" i="4"/>
  <c r="DZ389" i="4"/>
  <c r="DZ390" i="4"/>
  <c r="DZ391" i="4"/>
  <c r="DZ392" i="4"/>
  <c r="DZ393" i="4"/>
  <c r="DZ394" i="4"/>
  <c r="DZ395" i="4"/>
  <c r="DZ396" i="4"/>
  <c r="DZ397" i="4"/>
  <c r="DZ398" i="4"/>
  <c r="DZ399" i="4"/>
  <c r="DZ400" i="4"/>
  <c r="DZ401" i="4"/>
  <c r="DZ402" i="4"/>
  <c r="DZ403" i="4"/>
  <c r="DZ404" i="4"/>
  <c r="DZ405" i="4"/>
  <c r="DZ406" i="4"/>
  <c r="DZ407" i="4"/>
  <c r="DZ408" i="4"/>
  <c r="DZ409" i="4"/>
  <c r="DZ410" i="4"/>
  <c r="DZ411" i="4"/>
  <c r="DZ412" i="4"/>
  <c r="DZ413" i="4"/>
  <c r="DZ414" i="4"/>
  <c r="DZ415" i="4"/>
  <c r="DZ416" i="4"/>
  <c r="DZ417" i="4"/>
  <c r="DZ418" i="4"/>
  <c r="DZ419" i="4"/>
  <c r="DZ420" i="4"/>
  <c r="DZ421" i="4"/>
  <c r="DZ422" i="4"/>
  <c r="DZ423" i="4"/>
  <c r="DZ424" i="4"/>
  <c r="DZ425" i="4"/>
  <c r="DZ426" i="4"/>
  <c r="DZ427" i="4"/>
  <c r="DZ428" i="4"/>
  <c r="DZ429" i="4"/>
  <c r="DZ430" i="4"/>
  <c r="DZ431" i="4"/>
  <c r="DZ432" i="4"/>
  <c r="DZ433" i="4"/>
  <c r="DZ434" i="4"/>
  <c r="DZ435" i="4"/>
  <c r="DZ436" i="4"/>
  <c r="DZ437" i="4"/>
  <c r="DZ4" i="4"/>
  <c r="EA437" i="4"/>
  <c r="EA430" i="4"/>
  <c r="EA431" i="4"/>
  <c r="EA432" i="4"/>
  <c r="EA433" i="4"/>
  <c r="EA434" i="4"/>
  <c r="EA435" i="4"/>
  <c r="EA436" i="4"/>
  <c r="DQ5" i="4"/>
  <c r="DQ6" i="4"/>
  <c r="DQ7" i="4"/>
  <c r="DQ8" i="4"/>
  <c r="DQ9" i="4"/>
  <c r="DQ10" i="4"/>
  <c r="DQ11" i="4"/>
  <c r="DQ12" i="4"/>
  <c r="DQ13" i="4"/>
  <c r="DQ14" i="4"/>
  <c r="DQ15" i="4"/>
  <c r="DQ16" i="4"/>
  <c r="DQ17" i="4"/>
  <c r="DQ18" i="4"/>
  <c r="DQ19" i="4"/>
  <c r="DQ20" i="4"/>
  <c r="DQ21" i="4"/>
  <c r="DQ22" i="4"/>
  <c r="DQ23" i="4"/>
  <c r="DQ24" i="4"/>
  <c r="DQ25" i="4"/>
  <c r="DQ26" i="4"/>
  <c r="DQ27" i="4"/>
  <c r="DQ28" i="4"/>
  <c r="DQ29" i="4"/>
  <c r="DQ30" i="4"/>
  <c r="DQ31" i="4"/>
  <c r="DQ32" i="4"/>
  <c r="DQ33" i="4"/>
  <c r="DQ34" i="4"/>
  <c r="DQ35" i="4"/>
  <c r="DQ36" i="4"/>
  <c r="DQ37" i="4"/>
  <c r="DQ38" i="4"/>
  <c r="DQ39" i="4"/>
  <c r="DQ40" i="4"/>
  <c r="DQ41" i="4"/>
  <c r="DQ42" i="4"/>
  <c r="DQ43" i="4"/>
  <c r="DQ44" i="4"/>
  <c r="DQ45" i="4"/>
  <c r="DQ46" i="4"/>
  <c r="DQ47" i="4"/>
  <c r="DQ48" i="4"/>
  <c r="DQ49" i="4"/>
  <c r="DQ50" i="4"/>
  <c r="DQ51" i="4"/>
  <c r="DQ52" i="4"/>
  <c r="DQ53" i="4"/>
  <c r="DQ54" i="4"/>
  <c r="DQ55" i="4"/>
  <c r="DQ56" i="4"/>
  <c r="DQ57" i="4"/>
  <c r="DQ58" i="4"/>
  <c r="DQ59" i="4"/>
  <c r="DQ60" i="4"/>
  <c r="DQ61" i="4"/>
  <c r="DQ62" i="4"/>
  <c r="DQ63" i="4"/>
  <c r="DQ64" i="4"/>
  <c r="DQ65" i="4"/>
  <c r="DQ66" i="4"/>
  <c r="DQ67" i="4"/>
  <c r="DQ68" i="4"/>
  <c r="DQ69" i="4"/>
  <c r="DQ70" i="4"/>
  <c r="DQ71" i="4"/>
  <c r="DQ72" i="4"/>
  <c r="DQ73" i="4"/>
  <c r="DQ74" i="4"/>
  <c r="DQ75" i="4"/>
  <c r="DQ76" i="4"/>
  <c r="DQ77" i="4"/>
  <c r="DQ78" i="4"/>
  <c r="DQ79" i="4"/>
  <c r="DQ80" i="4"/>
  <c r="DQ81" i="4"/>
  <c r="DQ82" i="4"/>
  <c r="DQ83" i="4"/>
  <c r="DQ84" i="4"/>
  <c r="DQ85" i="4"/>
  <c r="DQ86" i="4"/>
  <c r="DQ87" i="4"/>
  <c r="DQ88" i="4"/>
  <c r="DQ89" i="4"/>
  <c r="DQ90" i="4"/>
  <c r="DQ91" i="4"/>
  <c r="DQ92" i="4"/>
  <c r="DQ93" i="4"/>
  <c r="DQ94" i="4"/>
  <c r="DQ95" i="4"/>
  <c r="DQ96" i="4"/>
  <c r="DQ97" i="4"/>
  <c r="DQ98" i="4"/>
  <c r="DQ99" i="4"/>
  <c r="DQ100" i="4"/>
  <c r="DQ101" i="4"/>
  <c r="DQ102" i="4"/>
  <c r="DQ103" i="4"/>
  <c r="DQ104" i="4"/>
  <c r="DQ105" i="4"/>
  <c r="DQ106" i="4"/>
  <c r="DQ107" i="4"/>
  <c r="DQ108" i="4"/>
  <c r="DQ109" i="4"/>
  <c r="DQ110" i="4"/>
  <c r="DQ111" i="4"/>
  <c r="DQ112" i="4"/>
  <c r="DQ113" i="4"/>
  <c r="DQ114" i="4"/>
  <c r="DQ115" i="4"/>
  <c r="DQ116" i="4"/>
  <c r="DQ117" i="4"/>
  <c r="DQ118" i="4"/>
  <c r="DQ119" i="4"/>
  <c r="DQ120" i="4"/>
  <c r="DQ121" i="4"/>
  <c r="DQ122" i="4"/>
  <c r="DQ123" i="4"/>
  <c r="DQ124" i="4"/>
  <c r="DQ125" i="4"/>
  <c r="DQ126" i="4"/>
  <c r="DQ127" i="4"/>
  <c r="DQ128" i="4"/>
  <c r="DQ129" i="4"/>
  <c r="DQ130" i="4"/>
  <c r="DQ131" i="4"/>
  <c r="DQ132" i="4"/>
  <c r="DQ133" i="4"/>
  <c r="DQ134" i="4"/>
  <c r="DQ135" i="4"/>
  <c r="DQ136" i="4"/>
  <c r="DQ137" i="4"/>
  <c r="DQ138" i="4"/>
  <c r="DQ139" i="4"/>
  <c r="DQ140" i="4"/>
  <c r="DQ141" i="4"/>
  <c r="DQ142" i="4"/>
  <c r="DQ143" i="4"/>
  <c r="DQ144" i="4"/>
  <c r="DQ145" i="4"/>
  <c r="DQ146" i="4"/>
  <c r="DQ147" i="4"/>
  <c r="DQ148" i="4"/>
  <c r="DQ149" i="4"/>
  <c r="DQ150" i="4"/>
  <c r="DQ151" i="4"/>
  <c r="DQ152" i="4"/>
  <c r="DQ153" i="4"/>
  <c r="DQ154" i="4"/>
  <c r="DQ155" i="4"/>
  <c r="DQ156" i="4"/>
  <c r="DQ157" i="4"/>
  <c r="DQ158" i="4"/>
  <c r="DQ159" i="4"/>
  <c r="DQ160" i="4"/>
  <c r="DQ161" i="4"/>
  <c r="DQ162" i="4"/>
  <c r="DQ163" i="4"/>
  <c r="DQ164" i="4"/>
  <c r="DQ165" i="4"/>
  <c r="DQ166" i="4"/>
  <c r="DQ167" i="4"/>
  <c r="DQ168" i="4"/>
  <c r="DQ169" i="4"/>
  <c r="DQ170" i="4"/>
  <c r="DQ171" i="4"/>
  <c r="DQ172" i="4"/>
  <c r="DQ173" i="4"/>
  <c r="DQ174" i="4"/>
  <c r="DQ175" i="4"/>
  <c r="DQ176" i="4"/>
  <c r="DQ177" i="4"/>
  <c r="DQ178" i="4"/>
  <c r="DQ179" i="4"/>
  <c r="DQ180" i="4"/>
  <c r="DQ181" i="4"/>
  <c r="DQ182" i="4"/>
  <c r="DQ183" i="4"/>
  <c r="DQ184" i="4"/>
  <c r="DQ185" i="4"/>
  <c r="DQ186" i="4"/>
  <c r="DQ187" i="4"/>
  <c r="DQ188" i="4"/>
  <c r="DQ189" i="4"/>
  <c r="DQ190" i="4"/>
  <c r="DQ191" i="4"/>
  <c r="DQ192" i="4"/>
  <c r="DQ193" i="4"/>
  <c r="DQ194" i="4"/>
  <c r="DQ195" i="4"/>
  <c r="DQ196" i="4"/>
  <c r="DQ197" i="4"/>
  <c r="DQ198" i="4"/>
  <c r="DQ199" i="4"/>
  <c r="DQ200" i="4"/>
  <c r="DQ201" i="4"/>
  <c r="DQ202" i="4"/>
  <c r="DQ203" i="4"/>
  <c r="DQ204" i="4"/>
  <c r="DQ205" i="4"/>
  <c r="DQ206" i="4"/>
  <c r="DQ207" i="4"/>
  <c r="DQ208" i="4"/>
  <c r="DQ209" i="4"/>
  <c r="DQ210" i="4"/>
  <c r="DQ211" i="4"/>
  <c r="DQ212" i="4"/>
  <c r="DQ213" i="4"/>
  <c r="DQ214" i="4"/>
  <c r="DQ215" i="4"/>
  <c r="DQ216" i="4"/>
  <c r="DQ217" i="4"/>
  <c r="DQ218" i="4"/>
  <c r="DQ219" i="4"/>
  <c r="DQ220" i="4"/>
  <c r="DQ221" i="4"/>
  <c r="DQ222" i="4"/>
  <c r="DQ223" i="4"/>
  <c r="DQ224" i="4"/>
  <c r="DQ225" i="4"/>
  <c r="DQ226" i="4"/>
  <c r="DQ227" i="4"/>
  <c r="DQ228" i="4"/>
  <c r="DQ229" i="4"/>
  <c r="DQ230" i="4"/>
  <c r="DQ231" i="4"/>
  <c r="DQ232" i="4"/>
  <c r="DQ233" i="4"/>
  <c r="DQ234" i="4"/>
  <c r="DQ235" i="4"/>
  <c r="DQ236" i="4"/>
  <c r="DQ237" i="4"/>
  <c r="DQ238" i="4"/>
  <c r="DQ239" i="4"/>
  <c r="DQ240" i="4"/>
  <c r="DQ241" i="4"/>
  <c r="DQ242" i="4"/>
  <c r="DQ243" i="4"/>
  <c r="DQ244" i="4"/>
  <c r="DQ245" i="4"/>
  <c r="DQ246" i="4"/>
  <c r="DQ247" i="4"/>
  <c r="DQ248" i="4"/>
  <c r="DQ249" i="4"/>
  <c r="DQ250" i="4"/>
  <c r="DQ251" i="4"/>
  <c r="DQ252" i="4"/>
  <c r="DQ253" i="4"/>
  <c r="DQ254" i="4"/>
  <c r="DQ255" i="4"/>
  <c r="DQ256" i="4"/>
  <c r="DQ257" i="4"/>
  <c r="DQ258" i="4"/>
  <c r="DQ259" i="4"/>
  <c r="DQ260" i="4"/>
  <c r="DQ261" i="4"/>
  <c r="DQ262" i="4"/>
  <c r="DQ263" i="4"/>
  <c r="DQ264" i="4"/>
  <c r="DQ265" i="4"/>
  <c r="DQ266" i="4"/>
  <c r="DQ267" i="4"/>
  <c r="DQ268" i="4"/>
  <c r="DQ269" i="4"/>
  <c r="DQ270" i="4"/>
  <c r="DQ271" i="4"/>
  <c r="DQ272" i="4"/>
  <c r="DQ273" i="4"/>
  <c r="DQ274" i="4"/>
  <c r="DQ275" i="4"/>
  <c r="DQ276" i="4"/>
  <c r="DQ277" i="4"/>
  <c r="DQ278" i="4"/>
  <c r="DQ279" i="4"/>
  <c r="DQ280" i="4"/>
  <c r="DQ281" i="4"/>
  <c r="DQ282" i="4"/>
  <c r="DQ283" i="4"/>
  <c r="DQ284" i="4"/>
  <c r="DQ285" i="4"/>
  <c r="DQ286" i="4"/>
  <c r="DQ287" i="4"/>
  <c r="DQ288" i="4"/>
  <c r="DQ289" i="4"/>
  <c r="DQ290" i="4"/>
  <c r="DQ291" i="4"/>
  <c r="DQ292" i="4"/>
  <c r="DQ293" i="4"/>
  <c r="DQ294" i="4"/>
  <c r="DQ295" i="4"/>
  <c r="DQ296" i="4"/>
  <c r="DQ297" i="4"/>
  <c r="DQ298" i="4"/>
  <c r="DQ299" i="4"/>
  <c r="DQ300" i="4"/>
  <c r="DQ301" i="4"/>
  <c r="DQ302" i="4"/>
  <c r="DQ303" i="4"/>
  <c r="DQ304" i="4"/>
  <c r="DQ305" i="4"/>
  <c r="DQ306" i="4"/>
  <c r="DQ307" i="4"/>
  <c r="DQ308" i="4"/>
  <c r="DQ309" i="4"/>
  <c r="DQ310" i="4"/>
  <c r="DQ311" i="4"/>
  <c r="DQ312" i="4"/>
  <c r="DQ313" i="4"/>
  <c r="DQ314" i="4"/>
  <c r="DQ315" i="4"/>
  <c r="DQ316" i="4"/>
  <c r="DQ317" i="4"/>
  <c r="DQ318" i="4"/>
  <c r="DQ319" i="4"/>
  <c r="DQ320" i="4"/>
  <c r="DQ321" i="4"/>
  <c r="DQ322" i="4"/>
  <c r="DQ323" i="4"/>
  <c r="DQ324" i="4"/>
  <c r="DQ325" i="4"/>
  <c r="DQ326" i="4"/>
  <c r="DQ327" i="4"/>
  <c r="DQ328" i="4"/>
  <c r="DQ329" i="4"/>
  <c r="DQ330" i="4"/>
  <c r="DQ331" i="4"/>
  <c r="DQ332" i="4"/>
  <c r="DQ333" i="4"/>
  <c r="DQ334" i="4"/>
  <c r="DQ335" i="4"/>
  <c r="DQ336" i="4"/>
  <c r="DQ337" i="4"/>
  <c r="DQ338" i="4"/>
  <c r="DQ339" i="4"/>
  <c r="DQ340" i="4"/>
  <c r="DQ341" i="4"/>
  <c r="DQ342" i="4"/>
  <c r="DQ343" i="4"/>
  <c r="DQ344" i="4"/>
  <c r="DQ345" i="4"/>
  <c r="DQ346" i="4"/>
  <c r="DQ347" i="4"/>
  <c r="DQ348" i="4"/>
  <c r="DQ349" i="4"/>
  <c r="DQ350" i="4"/>
  <c r="DQ351" i="4"/>
  <c r="DQ352" i="4"/>
  <c r="DQ353" i="4"/>
  <c r="DQ354" i="4"/>
  <c r="DQ355" i="4"/>
  <c r="DQ356" i="4"/>
  <c r="DQ357" i="4"/>
  <c r="DQ358" i="4"/>
  <c r="DQ359" i="4"/>
  <c r="DQ360" i="4"/>
  <c r="DQ361" i="4"/>
  <c r="DQ362" i="4"/>
  <c r="DQ363" i="4"/>
  <c r="DQ364" i="4"/>
  <c r="DQ365" i="4"/>
  <c r="DQ366" i="4"/>
  <c r="DQ367" i="4"/>
  <c r="DQ368" i="4"/>
  <c r="DQ369" i="4"/>
  <c r="DQ370" i="4"/>
  <c r="DQ371" i="4"/>
  <c r="DQ372" i="4"/>
  <c r="DQ373" i="4"/>
  <c r="DQ374" i="4"/>
  <c r="DQ375" i="4"/>
  <c r="DQ376" i="4"/>
  <c r="DQ377" i="4"/>
  <c r="DQ378" i="4"/>
  <c r="DQ379" i="4"/>
  <c r="DQ380" i="4"/>
  <c r="DQ381" i="4"/>
  <c r="DQ382" i="4"/>
  <c r="DQ383" i="4"/>
  <c r="DQ384" i="4"/>
  <c r="DQ385" i="4"/>
  <c r="DQ386" i="4"/>
  <c r="DQ387" i="4"/>
  <c r="DQ388" i="4"/>
  <c r="DQ389" i="4"/>
  <c r="DQ390" i="4"/>
  <c r="DQ391" i="4"/>
  <c r="DQ392" i="4"/>
  <c r="DQ393" i="4"/>
  <c r="DQ394" i="4"/>
  <c r="DQ395" i="4"/>
  <c r="DQ396" i="4"/>
  <c r="DQ397" i="4"/>
  <c r="DQ398" i="4"/>
  <c r="DQ399" i="4"/>
  <c r="DQ400" i="4"/>
  <c r="DQ401" i="4"/>
  <c r="DQ402" i="4"/>
  <c r="DQ403" i="4"/>
  <c r="DQ404" i="4"/>
  <c r="DQ405" i="4"/>
  <c r="DQ406" i="4"/>
  <c r="DQ407" i="4"/>
  <c r="DQ408" i="4"/>
  <c r="DQ409" i="4"/>
  <c r="DQ410" i="4"/>
  <c r="DQ411" i="4"/>
  <c r="DQ412" i="4"/>
  <c r="DQ413" i="4"/>
  <c r="DQ414" i="4"/>
  <c r="DQ415" i="4"/>
  <c r="DQ416" i="4"/>
  <c r="DQ417" i="4"/>
  <c r="DQ418" i="4"/>
  <c r="DQ419" i="4"/>
  <c r="DQ420" i="4"/>
  <c r="DQ421" i="4"/>
  <c r="DQ422" i="4"/>
  <c r="DQ423" i="4"/>
  <c r="DQ424" i="4"/>
  <c r="DQ425" i="4"/>
  <c r="DQ426" i="4"/>
  <c r="DQ427" i="4"/>
  <c r="DQ428" i="4"/>
  <c r="DQ429" i="4"/>
  <c r="DQ430" i="4"/>
  <c r="DQ431" i="4"/>
  <c r="DQ432" i="4"/>
  <c r="DQ433" i="4"/>
  <c r="DQ434" i="4"/>
  <c r="DQ435" i="4"/>
  <c r="DQ436" i="4"/>
  <c r="DQ437" i="4"/>
  <c r="DQ4" i="4"/>
  <c r="DR430" i="4"/>
  <c r="DR431" i="4"/>
  <c r="DR432" i="4"/>
  <c r="DR433" i="4"/>
  <c r="DR434" i="4"/>
  <c r="DR435" i="4"/>
  <c r="DR436" i="4"/>
  <c r="DR437" i="4"/>
  <c r="DS430" i="4"/>
  <c r="DS431" i="4"/>
  <c r="DS432" i="4"/>
  <c r="DS433" i="4"/>
  <c r="DS434" i="4"/>
  <c r="DS435" i="4"/>
  <c r="DS436" i="4"/>
  <c r="DS437" i="4"/>
  <c r="DH437" i="4"/>
  <c r="DG437" i="4"/>
  <c r="DM437" i="4"/>
  <c r="DN437" i="4"/>
  <c r="DO437" i="4"/>
  <c r="DO430" i="4"/>
  <c r="DO431" i="4"/>
  <c r="DO432" i="4"/>
  <c r="DO433" i="4"/>
  <c r="DO434" i="4"/>
  <c r="DO435" i="4"/>
  <c r="DO436" i="4"/>
  <c r="DN430" i="4"/>
  <c r="DN431" i="4"/>
  <c r="DN432" i="4"/>
  <c r="DN433" i="4"/>
  <c r="DN434" i="4"/>
  <c r="DN435" i="4"/>
  <c r="DN436" i="4"/>
  <c r="DM430" i="4"/>
  <c r="DM431" i="4"/>
  <c r="DM432" i="4"/>
  <c r="DM433" i="4"/>
  <c r="DM434" i="4"/>
  <c r="DM435" i="4"/>
  <c r="DM436" i="4"/>
  <c r="DX437" i="4" l="1"/>
  <c r="EC437" i="4" s="1"/>
  <c r="DI437" i="4"/>
  <c r="DX436" i="4" l="1"/>
  <c r="EC436" i="4" s="1"/>
  <c r="DH436" i="4"/>
  <c r="DG436" i="4"/>
  <c r="DX435" i="4"/>
  <c r="EC435" i="4" s="1"/>
  <c r="DH435" i="4"/>
  <c r="DG435" i="4"/>
  <c r="DX434" i="4"/>
  <c r="EC434" i="4" s="1"/>
  <c r="DH434" i="4"/>
  <c r="DG434" i="4"/>
  <c r="DI434" i="4" s="1"/>
  <c r="DX433" i="4"/>
  <c r="EC433" i="4" s="1"/>
  <c r="DH433" i="4"/>
  <c r="DG433" i="4"/>
  <c r="DX432" i="4"/>
  <c r="EC432" i="4" s="1"/>
  <c r="DH432" i="4"/>
  <c r="DG432" i="4"/>
  <c r="DX431" i="4"/>
  <c r="EC431" i="4" s="1"/>
  <c r="DH431" i="4"/>
  <c r="DG431" i="4"/>
  <c r="DX430" i="4"/>
  <c r="EC430" i="4" s="1"/>
  <c r="DH430" i="4"/>
  <c r="DG430" i="4"/>
  <c r="EA429" i="4"/>
  <c r="DS429" i="4"/>
  <c r="DR429" i="4"/>
  <c r="DO429" i="4"/>
  <c r="DN429" i="4"/>
  <c r="DM429" i="4"/>
  <c r="DK429" i="4"/>
  <c r="DH429" i="4"/>
  <c r="DG429" i="4"/>
  <c r="EA428" i="4"/>
  <c r="DS428" i="4"/>
  <c r="DR428" i="4"/>
  <c r="DO428" i="4"/>
  <c r="DN428" i="4"/>
  <c r="DM428" i="4"/>
  <c r="DK428" i="4"/>
  <c r="DH428" i="4"/>
  <c r="DG428" i="4"/>
  <c r="EA427" i="4"/>
  <c r="DS427" i="4"/>
  <c r="DR427" i="4"/>
  <c r="DO427" i="4"/>
  <c r="DN427" i="4"/>
  <c r="DM427" i="4"/>
  <c r="DK427" i="4"/>
  <c r="DH427" i="4"/>
  <c r="DG427" i="4"/>
  <c r="EA426" i="4"/>
  <c r="DS426" i="4"/>
  <c r="DR426" i="4"/>
  <c r="DO426" i="4"/>
  <c r="DN426" i="4"/>
  <c r="DM426" i="4"/>
  <c r="DK426" i="4"/>
  <c r="DX426" i="4" s="1"/>
  <c r="EC426" i="4" s="1"/>
  <c r="DH426" i="4"/>
  <c r="DG426" i="4"/>
  <c r="EA425" i="4"/>
  <c r="DS425" i="4"/>
  <c r="DR425" i="4"/>
  <c r="DO425" i="4"/>
  <c r="DN425" i="4"/>
  <c r="DM425" i="4"/>
  <c r="DK425" i="4"/>
  <c r="DH425" i="4"/>
  <c r="DG425" i="4"/>
  <c r="DI425" i="4" s="1"/>
  <c r="EA424" i="4"/>
  <c r="DS424" i="4"/>
  <c r="DR424" i="4"/>
  <c r="DO424" i="4"/>
  <c r="DN424" i="4"/>
  <c r="DM424" i="4"/>
  <c r="DK424" i="4"/>
  <c r="DH424" i="4"/>
  <c r="DG424" i="4"/>
  <c r="EA423" i="4"/>
  <c r="DS423" i="4"/>
  <c r="DR423" i="4"/>
  <c r="DO423" i="4"/>
  <c r="DN423" i="4"/>
  <c r="DM423" i="4"/>
  <c r="DK423" i="4"/>
  <c r="DH423" i="4"/>
  <c r="DG423" i="4"/>
  <c r="EA422" i="4"/>
  <c r="DS422" i="4"/>
  <c r="DR422" i="4"/>
  <c r="DO422" i="4"/>
  <c r="DN422" i="4"/>
  <c r="DM422" i="4"/>
  <c r="DK422" i="4"/>
  <c r="DH422" i="4"/>
  <c r="DG422" i="4"/>
  <c r="EA421" i="4"/>
  <c r="DS421" i="4"/>
  <c r="DR421" i="4"/>
  <c r="DO421" i="4"/>
  <c r="DN421" i="4"/>
  <c r="DM421" i="4"/>
  <c r="DK421" i="4"/>
  <c r="DH421" i="4"/>
  <c r="DG421" i="4"/>
  <c r="DI421" i="4" s="1"/>
  <c r="EA420" i="4"/>
  <c r="DS420" i="4"/>
  <c r="DR420" i="4"/>
  <c r="DO420" i="4"/>
  <c r="DN420" i="4"/>
  <c r="DM420" i="4"/>
  <c r="DK420" i="4"/>
  <c r="DH420" i="4"/>
  <c r="DG420" i="4"/>
  <c r="EA419" i="4"/>
  <c r="DS419" i="4"/>
  <c r="DR419" i="4"/>
  <c r="DO419" i="4"/>
  <c r="DN419" i="4"/>
  <c r="DM419" i="4"/>
  <c r="DK419" i="4"/>
  <c r="DH419" i="4"/>
  <c r="DG419" i="4"/>
  <c r="EA418" i="4"/>
  <c r="DS418" i="4"/>
  <c r="DR418" i="4"/>
  <c r="DO418" i="4"/>
  <c r="DN418" i="4"/>
  <c r="DM418" i="4"/>
  <c r="DK418" i="4"/>
  <c r="DX418" i="4" s="1"/>
  <c r="EC418" i="4" s="1"/>
  <c r="DH418" i="4"/>
  <c r="DG418" i="4"/>
  <c r="DI418" i="4" s="1"/>
  <c r="EA417" i="4"/>
  <c r="DS417" i="4"/>
  <c r="DR417" i="4"/>
  <c r="DO417" i="4"/>
  <c r="DN417" i="4"/>
  <c r="DM417" i="4"/>
  <c r="DK417" i="4"/>
  <c r="DH417" i="4"/>
  <c r="DG417" i="4"/>
  <c r="DI417" i="4" s="1"/>
  <c r="EA416" i="4"/>
  <c r="DS416" i="4"/>
  <c r="DR416" i="4"/>
  <c r="DO416" i="4"/>
  <c r="DN416" i="4"/>
  <c r="DM416" i="4"/>
  <c r="DK416" i="4"/>
  <c r="DH416" i="4"/>
  <c r="DG416" i="4"/>
  <c r="EA415" i="4"/>
  <c r="DS415" i="4"/>
  <c r="DR415" i="4"/>
  <c r="DO415" i="4"/>
  <c r="DN415" i="4"/>
  <c r="DM415" i="4"/>
  <c r="DK415" i="4"/>
  <c r="DH415" i="4"/>
  <c r="DG415" i="4"/>
  <c r="EA414" i="4"/>
  <c r="DS414" i="4"/>
  <c r="DR414" i="4"/>
  <c r="DO414" i="4"/>
  <c r="DN414" i="4"/>
  <c r="DM414" i="4"/>
  <c r="DK414" i="4"/>
  <c r="DH414" i="4"/>
  <c r="DG414" i="4"/>
  <c r="EA413" i="4"/>
  <c r="DS413" i="4"/>
  <c r="DR413" i="4"/>
  <c r="DO413" i="4"/>
  <c r="DN413" i="4"/>
  <c r="DM413" i="4"/>
  <c r="DK413" i="4"/>
  <c r="DH413" i="4"/>
  <c r="DG413" i="4"/>
  <c r="DI413" i="4" s="1"/>
  <c r="EA412" i="4"/>
  <c r="DS412" i="4"/>
  <c r="DR412" i="4"/>
  <c r="DO412" i="4"/>
  <c r="DN412" i="4"/>
  <c r="DM412" i="4"/>
  <c r="DK412" i="4"/>
  <c r="DH412" i="4"/>
  <c r="DG412" i="4"/>
  <c r="EA411" i="4"/>
  <c r="DS411" i="4"/>
  <c r="DR411" i="4"/>
  <c r="DO411" i="4"/>
  <c r="DN411" i="4"/>
  <c r="DM411" i="4"/>
  <c r="DK411" i="4"/>
  <c r="DH411" i="4"/>
  <c r="DG411" i="4"/>
  <c r="EA410" i="4"/>
  <c r="DS410" i="4"/>
  <c r="DR410" i="4"/>
  <c r="DO410" i="4"/>
  <c r="DN410" i="4"/>
  <c r="DM410" i="4"/>
  <c r="DK410" i="4"/>
  <c r="DX410" i="4" s="1"/>
  <c r="EC410" i="4" s="1"/>
  <c r="DH410" i="4"/>
  <c r="DG410" i="4"/>
  <c r="EA409" i="4"/>
  <c r="DS409" i="4"/>
  <c r="DR409" i="4"/>
  <c r="DO409" i="4"/>
  <c r="DN409" i="4"/>
  <c r="DM409" i="4"/>
  <c r="DK409" i="4"/>
  <c r="DH409" i="4"/>
  <c r="DG409" i="4"/>
  <c r="DI409" i="4" s="1"/>
  <c r="EA408" i="4"/>
  <c r="DS408" i="4"/>
  <c r="DR408" i="4"/>
  <c r="DO408" i="4"/>
  <c r="DN408" i="4"/>
  <c r="DM408" i="4"/>
  <c r="DK408" i="4"/>
  <c r="DH408" i="4"/>
  <c r="DG408" i="4"/>
  <c r="EA407" i="4"/>
  <c r="DS407" i="4"/>
  <c r="DR407" i="4"/>
  <c r="DO407" i="4"/>
  <c r="DN407" i="4"/>
  <c r="DM407" i="4"/>
  <c r="DK407" i="4"/>
  <c r="DH407" i="4"/>
  <c r="DG407" i="4"/>
  <c r="EA406" i="4"/>
  <c r="DS406" i="4"/>
  <c r="DR406" i="4"/>
  <c r="DO406" i="4"/>
  <c r="DN406" i="4"/>
  <c r="DM406" i="4"/>
  <c r="DK406" i="4"/>
  <c r="DH406" i="4"/>
  <c r="DG406" i="4"/>
  <c r="EA405" i="4"/>
  <c r="DS405" i="4"/>
  <c r="DR405" i="4"/>
  <c r="DO405" i="4"/>
  <c r="DN405" i="4"/>
  <c r="DM405" i="4"/>
  <c r="DK405" i="4"/>
  <c r="DH405" i="4"/>
  <c r="DG405" i="4"/>
  <c r="EA404" i="4"/>
  <c r="DS404" i="4"/>
  <c r="DR404" i="4"/>
  <c r="DO404" i="4"/>
  <c r="DN404" i="4"/>
  <c r="DM404" i="4"/>
  <c r="DK404" i="4"/>
  <c r="DH404" i="4"/>
  <c r="DG404" i="4"/>
  <c r="DI404" i="4" s="1"/>
  <c r="EA403" i="4"/>
  <c r="DS403" i="4"/>
  <c r="DR403" i="4"/>
  <c r="DO403" i="4"/>
  <c r="DN403" i="4"/>
  <c r="DM403" i="4"/>
  <c r="DK403" i="4"/>
  <c r="DH403" i="4"/>
  <c r="DG403" i="4"/>
  <c r="EA402" i="4"/>
  <c r="DS402" i="4"/>
  <c r="DR402" i="4"/>
  <c r="DO402" i="4"/>
  <c r="DN402" i="4"/>
  <c r="DM402" i="4"/>
  <c r="DK402" i="4"/>
  <c r="DX402" i="4" s="1"/>
  <c r="EC402" i="4" s="1"/>
  <c r="DH402" i="4"/>
  <c r="DG402" i="4"/>
  <c r="EA401" i="4"/>
  <c r="DS401" i="4"/>
  <c r="DR401" i="4"/>
  <c r="DO401" i="4"/>
  <c r="DN401" i="4"/>
  <c r="DM401" i="4"/>
  <c r="DK401" i="4"/>
  <c r="DH401" i="4"/>
  <c r="DG401" i="4"/>
  <c r="EA400" i="4"/>
  <c r="DS400" i="4"/>
  <c r="DR400" i="4"/>
  <c r="DO400" i="4"/>
  <c r="DN400" i="4"/>
  <c r="DM400" i="4"/>
  <c r="DK400" i="4"/>
  <c r="DH400" i="4"/>
  <c r="DG400" i="4"/>
  <c r="EA399" i="4"/>
  <c r="DS399" i="4"/>
  <c r="DR399" i="4"/>
  <c r="DO399" i="4"/>
  <c r="DN399" i="4"/>
  <c r="DM399" i="4"/>
  <c r="DK399" i="4"/>
  <c r="DH399" i="4"/>
  <c r="DG399" i="4"/>
  <c r="EA398" i="4"/>
  <c r="DS398" i="4"/>
  <c r="DR398" i="4"/>
  <c r="DO398" i="4"/>
  <c r="DN398" i="4"/>
  <c r="DM398" i="4"/>
  <c r="DK398" i="4"/>
  <c r="DH398" i="4"/>
  <c r="DG398" i="4"/>
  <c r="EA397" i="4"/>
  <c r="DS397" i="4"/>
  <c r="DR397" i="4"/>
  <c r="DO397" i="4"/>
  <c r="DN397" i="4"/>
  <c r="DM397" i="4"/>
  <c r="DK397" i="4"/>
  <c r="DH397" i="4"/>
  <c r="DG397" i="4"/>
  <c r="EA396" i="4"/>
  <c r="DS396" i="4"/>
  <c r="DR396" i="4"/>
  <c r="DO396" i="4"/>
  <c r="DN396" i="4"/>
  <c r="DM396" i="4"/>
  <c r="DK396" i="4"/>
  <c r="DH396" i="4"/>
  <c r="DG396" i="4"/>
  <c r="DI396" i="4" s="1"/>
  <c r="EA395" i="4"/>
  <c r="DS395" i="4"/>
  <c r="DR395" i="4"/>
  <c r="DO395" i="4"/>
  <c r="DN395" i="4"/>
  <c r="DM395" i="4"/>
  <c r="DK395" i="4"/>
  <c r="DH395" i="4"/>
  <c r="DG395" i="4"/>
  <c r="DI395" i="4" s="1"/>
  <c r="EA394" i="4"/>
  <c r="DS394" i="4"/>
  <c r="DR394" i="4"/>
  <c r="DO394" i="4"/>
  <c r="DN394" i="4"/>
  <c r="DM394" i="4"/>
  <c r="DK394" i="4"/>
  <c r="DX394" i="4" s="1"/>
  <c r="EC394" i="4" s="1"/>
  <c r="DH394" i="4"/>
  <c r="DG394" i="4"/>
  <c r="EA393" i="4"/>
  <c r="DS393" i="4"/>
  <c r="DR393" i="4"/>
  <c r="DO393" i="4"/>
  <c r="DN393" i="4"/>
  <c r="DM393" i="4"/>
  <c r="DK393" i="4"/>
  <c r="DH393" i="4"/>
  <c r="DG393" i="4"/>
  <c r="DI393" i="4" s="1"/>
  <c r="EA392" i="4"/>
  <c r="DS392" i="4"/>
  <c r="DR392" i="4"/>
  <c r="DO392" i="4"/>
  <c r="DN392" i="4"/>
  <c r="DM392" i="4"/>
  <c r="DK392" i="4"/>
  <c r="DH392" i="4"/>
  <c r="DG392" i="4"/>
  <c r="DI392" i="4" s="1"/>
  <c r="EA391" i="4"/>
  <c r="DS391" i="4"/>
  <c r="DR391" i="4"/>
  <c r="DO391" i="4"/>
  <c r="DN391" i="4"/>
  <c r="DM391" i="4"/>
  <c r="DK391" i="4"/>
  <c r="DH391" i="4"/>
  <c r="DG391" i="4"/>
  <c r="EA390" i="4"/>
  <c r="DS390" i="4"/>
  <c r="DR390" i="4"/>
  <c r="DO390" i="4"/>
  <c r="DN390" i="4"/>
  <c r="DM390" i="4"/>
  <c r="DK390" i="4"/>
  <c r="DH390" i="4"/>
  <c r="DG390" i="4"/>
  <c r="EA389" i="4"/>
  <c r="DS389" i="4"/>
  <c r="DR389" i="4"/>
  <c r="DO389" i="4"/>
  <c r="DN389" i="4"/>
  <c r="DM389" i="4"/>
  <c r="DK389" i="4"/>
  <c r="DH389" i="4"/>
  <c r="DG389" i="4"/>
  <c r="EA388" i="4"/>
  <c r="DS388" i="4"/>
  <c r="DR388" i="4"/>
  <c r="DO388" i="4"/>
  <c r="DN388" i="4"/>
  <c r="DM388" i="4"/>
  <c r="DK388" i="4"/>
  <c r="DH388" i="4"/>
  <c r="DG388" i="4"/>
  <c r="DI388" i="4" s="1"/>
  <c r="EA387" i="4"/>
  <c r="DS387" i="4"/>
  <c r="DR387" i="4"/>
  <c r="DO387" i="4"/>
  <c r="DN387" i="4"/>
  <c r="DM387" i="4"/>
  <c r="DK387" i="4"/>
  <c r="DH387" i="4"/>
  <c r="DG387" i="4"/>
  <c r="DI387" i="4" s="1"/>
  <c r="EA386" i="4"/>
  <c r="DS386" i="4"/>
  <c r="DR386" i="4"/>
  <c r="DO386" i="4"/>
  <c r="DN386" i="4"/>
  <c r="DM386" i="4"/>
  <c r="DK386" i="4"/>
  <c r="DX386" i="4" s="1"/>
  <c r="EC386" i="4" s="1"/>
  <c r="DH386" i="4"/>
  <c r="DG386" i="4"/>
  <c r="EA385" i="4"/>
  <c r="DS385" i="4"/>
  <c r="DR385" i="4"/>
  <c r="DO385" i="4"/>
  <c r="DN385" i="4"/>
  <c r="DM385" i="4"/>
  <c r="DK385" i="4"/>
  <c r="DH385" i="4"/>
  <c r="DG385" i="4"/>
  <c r="DI385" i="4" s="1"/>
  <c r="EA384" i="4"/>
  <c r="DS384" i="4"/>
  <c r="DR384" i="4"/>
  <c r="DO384" i="4"/>
  <c r="DN384" i="4"/>
  <c r="DM384" i="4"/>
  <c r="DK384" i="4"/>
  <c r="DH384" i="4"/>
  <c r="DG384" i="4"/>
  <c r="EA383" i="4"/>
  <c r="DS383" i="4"/>
  <c r="DR383" i="4"/>
  <c r="DO383" i="4"/>
  <c r="DN383" i="4"/>
  <c r="DM383" i="4"/>
  <c r="DK383" i="4"/>
  <c r="DH383" i="4"/>
  <c r="DG383" i="4"/>
  <c r="EA382" i="4"/>
  <c r="DS382" i="4"/>
  <c r="DR382" i="4"/>
  <c r="DO382" i="4"/>
  <c r="DN382" i="4"/>
  <c r="DM382" i="4"/>
  <c r="DK382" i="4"/>
  <c r="DH382" i="4"/>
  <c r="DG382" i="4"/>
  <c r="EA381" i="4"/>
  <c r="DS381" i="4"/>
  <c r="DR381" i="4"/>
  <c r="DO381" i="4"/>
  <c r="DN381" i="4"/>
  <c r="DM381" i="4"/>
  <c r="DK381" i="4"/>
  <c r="DH381" i="4"/>
  <c r="DG381" i="4"/>
  <c r="EA380" i="4"/>
  <c r="DS380" i="4"/>
  <c r="DR380" i="4"/>
  <c r="DO380" i="4"/>
  <c r="DN380" i="4"/>
  <c r="DM380" i="4"/>
  <c r="DK380" i="4"/>
  <c r="DH380" i="4"/>
  <c r="DG380" i="4"/>
  <c r="EA379" i="4"/>
  <c r="DS379" i="4"/>
  <c r="DR379" i="4"/>
  <c r="DO379" i="4"/>
  <c r="DN379" i="4"/>
  <c r="DM379" i="4"/>
  <c r="DK379" i="4"/>
  <c r="DH379" i="4"/>
  <c r="DG379" i="4"/>
  <c r="EA378" i="4"/>
  <c r="DS378" i="4"/>
  <c r="DR378" i="4"/>
  <c r="DO378" i="4"/>
  <c r="DN378" i="4"/>
  <c r="DM378" i="4"/>
  <c r="DK378" i="4"/>
  <c r="DX378" i="4" s="1"/>
  <c r="EC378" i="4" s="1"/>
  <c r="DH378" i="4"/>
  <c r="DG378" i="4"/>
  <c r="EA377" i="4"/>
  <c r="DS377" i="4"/>
  <c r="DR377" i="4"/>
  <c r="DO377" i="4"/>
  <c r="DN377" i="4"/>
  <c r="DM377" i="4"/>
  <c r="DK377" i="4"/>
  <c r="DH377" i="4"/>
  <c r="DG377" i="4"/>
  <c r="EA376" i="4"/>
  <c r="DS376" i="4"/>
  <c r="DR376" i="4"/>
  <c r="DO376" i="4"/>
  <c r="DN376" i="4"/>
  <c r="DM376" i="4"/>
  <c r="DK376" i="4"/>
  <c r="DH376" i="4"/>
  <c r="DG376" i="4"/>
  <c r="EA375" i="4"/>
  <c r="DS375" i="4"/>
  <c r="DR375" i="4"/>
  <c r="DO375" i="4"/>
  <c r="DN375" i="4"/>
  <c r="DM375" i="4"/>
  <c r="DK375" i="4"/>
  <c r="DH375" i="4"/>
  <c r="DG375" i="4"/>
  <c r="EA374" i="4"/>
  <c r="DS374" i="4"/>
  <c r="DR374" i="4"/>
  <c r="DO374" i="4"/>
  <c r="DN374" i="4"/>
  <c r="DM374" i="4"/>
  <c r="DK374" i="4"/>
  <c r="DH374" i="4"/>
  <c r="DG374" i="4"/>
  <c r="EA373" i="4"/>
  <c r="DT373" i="4"/>
  <c r="DS373" i="4"/>
  <c r="DR373" i="4"/>
  <c r="DO373" i="4"/>
  <c r="DN373" i="4"/>
  <c r="DM373" i="4"/>
  <c r="DK373" i="4"/>
  <c r="DH373" i="4"/>
  <c r="DG373" i="4"/>
  <c r="EA372" i="4"/>
  <c r="DT372" i="4"/>
  <c r="DS372" i="4"/>
  <c r="DR372" i="4"/>
  <c r="DO372" i="4"/>
  <c r="DN372" i="4"/>
  <c r="DM372" i="4"/>
  <c r="DK372" i="4"/>
  <c r="DH372" i="4"/>
  <c r="DG372" i="4"/>
  <c r="EA371" i="4"/>
  <c r="DT371" i="4"/>
  <c r="DS371" i="4"/>
  <c r="DR371" i="4"/>
  <c r="DO371" i="4"/>
  <c r="DN371" i="4"/>
  <c r="DM371" i="4"/>
  <c r="DK371" i="4"/>
  <c r="DH371" i="4"/>
  <c r="DG371" i="4"/>
  <c r="DI371" i="4" s="1"/>
  <c r="EA370" i="4"/>
  <c r="DU370" i="4"/>
  <c r="DT370" i="4"/>
  <c r="DS370" i="4"/>
  <c r="DR370" i="4"/>
  <c r="DO370" i="4"/>
  <c r="DN370" i="4"/>
  <c r="DM370" i="4"/>
  <c r="DK370" i="4"/>
  <c r="DH370" i="4"/>
  <c r="DG370" i="4"/>
  <c r="EA369" i="4"/>
  <c r="DT369" i="4"/>
  <c r="DS369" i="4"/>
  <c r="DR369" i="4"/>
  <c r="DO369" i="4"/>
  <c r="DN369" i="4"/>
  <c r="DM369" i="4"/>
  <c r="DK369" i="4"/>
  <c r="DH369" i="4"/>
  <c r="DG369" i="4"/>
  <c r="EA368" i="4"/>
  <c r="DT368" i="4"/>
  <c r="DS368" i="4"/>
  <c r="DR368" i="4"/>
  <c r="DO368" i="4"/>
  <c r="DN368" i="4"/>
  <c r="DM368" i="4"/>
  <c r="DK368" i="4"/>
  <c r="DH368" i="4"/>
  <c r="DG368" i="4"/>
  <c r="EA367" i="4"/>
  <c r="DT367" i="4"/>
  <c r="DS367" i="4"/>
  <c r="DR367" i="4"/>
  <c r="DO367" i="4"/>
  <c r="DN367" i="4"/>
  <c r="DM367" i="4"/>
  <c r="DK367" i="4"/>
  <c r="DH367" i="4"/>
  <c r="DG367" i="4"/>
  <c r="DI367" i="4" s="1"/>
  <c r="EA366" i="4"/>
  <c r="DT366" i="4"/>
  <c r="DS366" i="4"/>
  <c r="DR366" i="4"/>
  <c r="DO366" i="4"/>
  <c r="DN366" i="4"/>
  <c r="DM366" i="4"/>
  <c r="DK366" i="4"/>
  <c r="DH366" i="4"/>
  <c r="DG366" i="4"/>
  <c r="EA365" i="4"/>
  <c r="DT365" i="4"/>
  <c r="DS365" i="4"/>
  <c r="DR365" i="4"/>
  <c r="DO365" i="4"/>
  <c r="DN365" i="4"/>
  <c r="DM365" i="4"/>
  <c r="DK365" i="4"/>
  <c r="DH365" i="4"/>
  <c r="DG365" i="4"/>
  <c r="EA364" i="4"/>
  <c r="DT364" i="4"/>
  <c r="DS364" i="4"/>
  <c r="DR364" i="4"/>
  <c r="DO364" i="4"/>
  <c r="DN364" i="4"/>
  <c r="DM364" i="4"/>
  <c r="DK364" i="4"/>
  <c r="DH364" i="4"/>
  <c r="DG364" i="4"/>
  <c r="EA363" i="4"/>
  <c r="DT363" i="4"/>
  <c r="DS363" i="4"/>
  <c r="DR363" i="4"/>
  <c r="DO363" i="4"/>
  <c r="DN363" i="4"/>
  <c r="DM363" i="4"/>
  <c r="DK363" i="4"/>
  <c r="DH363" i="4"/>
  <c r="DG363" i="4"/>
  <c r="DI363" i="4" s="1"/>
  <c r="EA362" i="4"/>
  <c r="DT362" i="4"/>
  <c r="DS362" i="4"/>
  <c r="DR362" i="4"/>
  <c r="DO362" i="4"/>
  <c r="DN362" i="4"/>
  <c r="DM362" i="4"/>
  <c r="DK362" i="4"/>
  <c r="DH362" i="4"/>
  <c r="DG362" i="4"/>
  <c r="EA361" i="4"/>
  <c r="DT361" i="4"/>
  <c r="DS361" i="4"/>
  <c r="DR361" i="4"/>
  <c r="DO361" i="4"/>
  <c r="DN361" i="4"/>
  <c r="DM361" i="4"/>
  <c r="DK361" i="4"/>
  <c r="DH361" i="4"/>
  <c r="DG361" i="4"/>
  <c r="DI361" i="4" s="1"/>
  <c r="EA360" i="4"/>
  <c r="DT360" i="4"/>
  <c r="DS360" i="4"/>
  <c r="DR360" i="4"/>
  <c r="DO360" i="4"/>
  <c r="DN360" i="4"/>
  <c r="DM360" i="4"/>
  <c r="DK360" i="4"/>
  <c r="DH360" i="4"/>
  <c r="DG360" i="4"/>
  <c r="EA359" i="4"/>
  <c r="DT359" i="4"/>
  <c r="DS359" i="4"/>
  <c r="DR359" i="4"/>
  <c r="DO359" i="4"/>
  <c r="DN359" i="4"/>
  <c r="DM359" i="4"/>
  <c r="DK359" i="4"/>
  <c r="DH359" i="4"/>
  <c r="DG359" i="4"/>
  <c r="DI359" i="4" s="1"/>
  <c r="EA358" i="4"/>
  <c r="DT358" i="4"/>
  <c r="DS358" i="4"/>
  <c r="DR358" i="4"/>
  <c r="DO358" i="4"/>
  <c r="DN358" i="4"/>
  <c r="DM358" i="4"/>
  <c r="DK358" i="4"/>
  <c r="DH358" i="4"/>
  <c r="DG358" i="4"/>
  <c r="EA357" i="4"/>
  <c r="DT357" i="4"/>
  <c r="DS357" i="4"/>
  <c r="DR357" i="4"/>
  <c r="DO357" i="4"/>
  <c r="DN357" i="4"/>
  <c r="DM357" i="4"/>
  <c r="DK357" i="4"/>
  <c r="DH357" i="4"/>
  <c r="DG357" i="4"/>
  <c r="EA356" i="4"/>
  <c r="DT356" i="4"/>
  <c r="DS356" i="4"/>
  <c r="DR356" i="4"/>
  <c r="DO356" i="4"/>
  <c r="DN356" i="4"/>
  <c r="DM356" i="4"/>
  <c r="DK356" i="4"/>
  <c r="DH356" i="4"/>
  <c r="DG356" i="4"/>
  <c r="EA355" i="4"/>
  <c r="DT355" i="4"/>
  <c r="DS355" i="4"/>
  <c r="DR355" i="4"/>
  <c r="DO355" i="4"/>
  <c r="DN355" i="4"/>
  <c r="DM355" i="4"/>
  <c r="DK355" i="4"/>
  <c r="DH355" i="4"/>
  <c r="DG355" i="4"/>
  <c r="DI355" i="4" s="1"/>
  <c r="EA354" i="4"/>
  <c r="DT354" i="4"/>
  <c r="DS354" i="4"/>
  <c r="DR354" i="4"/>
  <c r="DO354" i="4"/>
  <c r="DN354" i="4"/>
  <c r="DM354" i="4"/>
  <c r="DK354" i="4"/>
  <c r="DH354" i="4"/>
  <c r="DG354" i="4"/>
  <c r="EA353" i="4"/>
  <c r="DT353" i="4"/>
  <c r="DS353" i="4"/>
  <c r="DR353" i="4"/>
  <c r="DO353" i="4"/>
  <c r="DN353" i="4"/>
  <c r="DM353" i="4"/>
  <c r="DK353" i="4"/>
  <c r="DH353" i="4"/>
  <c r="DG353" i="4"/>
  <c r="EA352" i="4"/>
  <c r="DT352" i="4"/>
  <c r="DS352" i="4"/>
  <c r="DR352" i="4"/>
  <c r="DO352" i="4"/>
  <c r="DN352" i="4"/>
  <c r="DM352" i="4"/>
  <c r="DK352" i="4"/>
  <c r="DH352" i="4"/>
  <c r="DG352" i="4"/>
  <c r="EA351" i="4"/>
  <c r="DT351" i="4"/>
  <c r="DS351" i="4"/>
  <c r="DR351" i="4"/>
  <c r="DO351" i="4"/>
  <c r="DN351" i="4"/>
  <c r="DM351" i="4"/>
  <c r="DK351" i="4"/>
  <c r="DH351" i="4"/>
  <c r="DG351" i="4"/>
  <c r="DI351" i="4" s="1"/>
  <c r="EA350" i="4"/>
  <c r="DT350" i="4"/>
  <c r="DS350" i="4"/>
  <c r="DR350" i="4"/>
  <c r="DO350" i="4"/>
  <c r="DN350" i="4"/>
  <c r="DM350" i="4"/>
  <c r="DK350" i="4"/>
  <c r="DH350" i="4"/>
  <c r="DG350" i="4"/>
  <c r="EA349" i="4"/>
  <c r="DT349" i="4"/>
  <c r="DS349" i="4"/>
  <c r="DR349" i="4"/>
  <c r="DO349" i="4"/>
  <c r="DN349" i="4"/>
  <c r="DM349" i="4"/>
  <c r="DK349" i="4"/>
  <c r="DH349" i="4"/>
  <c r="DG349" i="4"/>
  <c r="EA348" i="4"/>
  <c r="DT348" i="4"/>
  <c r="DS348" i="4"/>
  <c r="DR348" i="4"/>
  <c r="DO348" i="4"/>
  <c r="DN348" i="4"/>
  <c r="DM348" i="4"/>
  <c r="DK348" i="4"/>
  <c r="DH348" i="4"/>
  <c r="DG348" i="4"/>
  <c r="EA347" i="4"/>
  <c r="DT347" i="4"/>
  <c r="DS347" i="4"/>
  <c r="DR347" i="4"/>
  <c r="DO347" i="4"/>
  <c r="DN347" i="4"/>
  <c r="DM347" i="4"/>
  <c r="DK347" i="4"/>
  <c r="DH347" i="4"/>
  <c r="DG347" i="4"/>
  <c r="EA346" i="4"/>
  <c r="DT346" i="4"/>
  <c r="DS346" i="4"/>
  <c r="DR346" i="4"/>
  <c r="DO346" i="4"/>
  <c r="DN346" i="4"/>
  <c r="DM346" i="4"/>
  <c r="DK346" i="4"/>
  <c r="DH346" i="4"/>
  <c r="DG346" i="4"/>
  <c r="EA345" i="4"/>
  <c r="DT345" i="4"/>
  <c r="DS345" i="4"/>
  <c r="DR345" i="4"/>
  <c r="DO345" i="4"/>
  <c r="DN345" i="4"/>
  <c r="DM345" i="4"/>
  <c r="DK345" i="4"/>
  <c r="DH345" i="4"/>
  <c r="DG345" i="4"/>
  <c r="EA344" i="4"/>
  <c r="DT344" i="4"/>
  <c r="DS344" i="4"/>
  <c r="DR344" i="4"/>
  <c r="DO344" i="4"/>
  <c r="DN344" i="4"/>
  <c r="DM344" i="4"/>
  <c r="DK344" i="4"/>
  <c r="DH344" i="4"/>
  <c r="DG344" i="4"/>
  <c r="EA343" i="4"/>
  <c r="DT343" i="4"/>
  <c r="DS343" i="4"/>
  <c r="DR343" i="4"/>
  <c r="DO343" i="4"/>
  <c r="DN343" i="4"/>
  <c r="DM343" i="4"/>
  <c r="DK343" i="4"/>
  <c r="DH343" i="4"/>
  <c r="DG343" i="4"/>
  <c r="DI343" i="4" s="1"/>
  <c r="EA342" i="4"/>
  <c r="DT342" i="4"/>
  <c r="DS342" i="4"/>
  <c r="DR342" i="4"/>
  <c r="DO342" i="4"/>
  <c r="DN342" i="4"/>
  <c r="DM342" i="4"/>
  <c r="DK342" i="4"/>
  <c r="DH342" i="4"/>
  <c r="DI342" i="4" s="1"/>
  <c r="DG342" i="4"/>
  <c r="EA341" i="4"/>
  <c r="DT341" i="4"/>
  <c r="DS341" i="4"/>
  <c r="DR341" i="4"/>
  <c r="DO341" i="4"/>
  <c r="DN341" i="4"/>
  <c r="DM341" i="4"/>
  <c r="DK341" i="4"/>
  <c r="DH341" i="4"/>
  <c r="DG341" i="4"/>
  <c r="DI341" i="4" s="1"/>
  <c r="EA340" i="4"/>
  <c r="DT340" i="4"/>
  <c r="DS340" i="4"/>
  <c r="DR340" i="4"/>
  <c r="DO340" i="4"/>
  <c r="DN340" i="4"/>
  <c r="DM340" i="4"/>
  <c r="DK340" i="4"/>
  <c r="DH340" i="4"/>
  <c r="DG340" i="4"/>
  <c r="EA339" i="4"/>
  <c r="DT339" i="4"/>
  <c r="DS339" i="4"/>
  <c r="DR339" i="4"/>
  <c r="DO339" i="4"/>
  <c r="DN339" i="4"/>
  <c r="DM339" i="4"/>
  <c r="DK339" i="4"/>
  <c r="DH339" i="4"/>
  <c r="DG339" i="4"/>
  <c r="DI339" i="4" s="1"/>
  <c r="EA338" i="4"/>
  <c r="DT338" i="4"/>
  <c r="DS338" i="4"/>
  <c r="DR338" i="4"/>
  <c r="DO338" i="4"/>
  <c r="DN338" i="4"/>
  <c r="DM338" i="4"/>
  <c r="DK338" i="4"/>
  <c r="DH338" i="4"/>
  <c r="DI338" i="4" s="1"/>
  <c r="DG338" i="4"/>
  <c r="EA337" i="4"/>
  <c r="DT337" i="4"/>
  <c r="DS337" i="4"/>
  <c r="DR337" i="4"/>
  <c r="DO337" i="4"/>
  <c r="DN337" i="4"/>
  <c r="DM337" i="4"/>
  <c r="DK337" i="4"/>
  <c r="DH337" i="4"/>
  <c r="DG337" i="4"/>
  <c r="EA336" i="4"/>
  <c r="DT336" i="4"/>
  <c r="DS336" i="4"/>
  <c r="DR336" i="4"/>
  <c r="DO336" i="4"/>
  <c r="DN336" i="4"/>
  <c r="DM336" i="4"/>
  <c r="DK336" i="4"/>
  <c r="DH336" i="4"/>
  <c r="DG336" i="4"/>
  <c r="EA335" i="4"/>
  <c r="DT335" i="4"/>
  <c r="DS335" i="4"/>
  <c r="DR335" i="4"/>
  <c r="DO335" i="4"/>
  <c r="DN335" i="4"/>
  <c r="DM335" i="4"/>
  <c r="DK335" i="4"/>
  <c r="DH335" i="4"/>
  <c r="DG335" i="4"/>
  <c r="DI335" i="4" s="1"/>
  <c r="EA334" i="4"/>
  <c r="DT334" i="4"/>
  <c r="DS334" i="4"/>
  <c r="DR334" i="4"/>
  <c r="DO334" i="4"/>
  <c r="DN334" i="4"/>
  <c r="DM334" i="4"/>
  <c r="DK334" i="4"/>
  <c r="DH334" i="4"/>
  <c r="DG334" i="4"/>
  <c r="EA333" i="4"/>
  <c r="DT333" i="4"/>
  <c r="DS333" i="4"/>
  <c r="DR333" i="4"/>
  <c r="DO333" i="4"/>
  <c r="DN333" i="4"/>
  <c r="DM333" i="4"/>
  <c r="DK333" i="4"/>
  <c r="DH333" i="4"/>
  <c r="DG333" i="4"/>
  <c r="EA332" i="4"/>
  <c r="DT332" i="4"/>
  <c r="DS332" i="4"/>
  <c r="DR332" i="4"/>
  <c r="DO332" i="4"/>
  <c r="DN332" i="4"/>
  <c r="DM332" i="4"/>
  <c r="DK332" i="4"/>
  <c r="DH332" i="4"/>
  <c r="DG332" i="4"/>
  <c r="EA331" i="4"/>
  <c r="DT331" i="4"/>
  <c r="DS331" i="4"/>
  <c r="DR331" i="4"/>
  <c r="DO331" i="4"/>
  <c r="DN331" i="4"/>
  <c r="DM331" i="4"/>
  <c r="DK331" i="4"/>
  <c r="DH331" i="4"/>
  <c r="DG331" i="4"/>
  <c r="EA330" i="4"/>
  <c r="DT330" i="4"/>
  <c r="DS330" i="4"/>
  <c r="DR330" i="4"/>
  <c r="DO330" i="4"/>
  <c r="DN330" i="4"/>
  <c r="DM330" i="4"/>
  <c r="DK330" i="4"/>
  <c r="DH330" i="4"/>
  <c r="DG330" i="4"/>
  <c r="EA329" i="4"/>
  <c r="DT329" i="4"/>
  <c r="DS329" i="4"/>
  <c r="DR329" i="4"/>
  <c r="DO329" i="4"/>
  <c r="DN329" i="4"/>
  <c r="DM329" i="4"/>
  <c r="DK329" i="4"/>
  <c r="DH329" i="4"/>
  <c r="DG329" i="4"/>
  <c r="EA328" i="4"/>
  <c r="DT328" i="4"/>
  <c r="DS328" i="4"/>
  <c r="DR328" i="4"/>
  <c r="DO328" i="4"/>
  <c r="DN328" i="4"/>
  <c r="DM328" i="4"/>
  <c r="DK328" i="4"/>
  <c r="DH328" i="4"/>
  <c r="DG328" i="4"/>
  <c r="EA327" i="4"/>
  <c r="DT327" i="4"/>
  <c r="DS327" i="4"/>
  <c r="DR327" i="4"/>
  <c r="DO327" i="4"/>
  <c r="DN327" i="4"/>
  <c r="DM327" i="4"/>
  <c r="DK327" i="4"/>
  <c r="DH327" i="4"/>
  <c r="DG327" i="4"/>
  <c r="DI327" i="4" s="1"/>
  <c r="EA326" i="4"/>
  <c r="DT326" i="4"/>
  <c r="DS326" i="4"/>
  <c r="DR326" i="4"/>
  <c r="DO326" i="4"/>
  <c r="DN326" i="4"/>
  <c r="DM326" i="4"/>
  <c r="DK326" i="4"/>
  <c r="DH326" i="4"/>
  <c r="DG326" i="4"/>
  <c r="EA325" i="4"/>
  <c r="DT325" i="4"/>
  <c r="DS325" i="4"/>
  <c r="DR325" i="4"/>
  <c r="DO325" i="4"/>
  <c r="DN325" i="4"/>
  <c r="DM325" i="4"/>
  <c r="DK325" i="4"/>
  <c r="DH325" i="4"/>
  <c r="DG325" i="4"/>
  <c r="EA324" i="4"/>
  <c r="DT324" i="4"/>
  <c r="DS324" i="4"/>
  <c r="DR324" i="4"/>
  <c r="DO324" i="4"/>
  <c r="DN324" i="4"/>
  <c r="DM324" i="4"/>
  <c r="DK324" i="4"/>
  <c r="DH324" i="4"/>
  <c r="DG324" i="4"/>
  <c r="EA323" i="4"/>
  <c r="DT323" i="4"/>
  <c r="DS323" i="4"/>
  <c r="DR323" i="4"/>
  <c r="DO323" i="4"/>
  <c r="DN323" i="4"/>
  <c r="DM323" i="4"/>
  <c r="DK323" i="4"/>
  <c r="DH323" i="4"/>
  <c r="DG323" i="4"/>
  <c r="EA322" i="4"/>
  <c r="DT322" i="4"/>
  <c r="DS322" i="4"/>
  <c r="DR322" i="4"/>
  <c r="DO322" i="4"/>
  <c r="DN322" i="4"/>
  <c r="DM322" i="4"/>
  <c r="DK322" i="4"/>
  <c r="DH322" i="4"/>
  <c r="DG322" i="4"/>
  <c r="EA321" i="4"/>
  <c r="DT321" i="4"/>
  <c r="DS321" i="4"/>
  <c r="DR321" i="4"/>
  <c r="DO321" i="4"/>
  <c r="DN321" i="4"/>
  <c r="DM321" i="4"/>
  <c r="DK321" i="4"/>
  <c r="DH321" i="4"/>
  <c r="DG321" i="4"/>
  <c r="EA320" i="4"/>
  <c r="DT320" i="4"/>
  <c r="DS320" i="4"/>
  <c r="DR320" i="4"/>
  <c r="DO320" i="4"/>
  <c r="DN320" i="4"/>
  <c r="DM320" i="4"/>
  <c r="DK320" i="4"/>
  <c r="DH320" i="4"/>
  <c r="DG320" i="4"/>
  <c r="EA319" i="4"/>
  <c r="DT319" i="4"/>
  <c r="DS319" i="4"/>
  <c r="DR319" i="4"/>
  <c r="DO319" i="4"/>
  <c r="DN319" i="4"/>
  <c r="DM319" i="4"/>
  <c r="DK319" i="4"/>
  <c r="DH319" i="4"/>
  <c r="DG319" i="4"/>
  <c r="DI319" i="4" s="1"/>
  <c r="EA318" i="4"/>
  <c r="DT318" i="4"/>
  <c r="DS318" i="4"/>
  <c r="DR318" i="4"/>
  <c r="DO318" i="4"/>
  <c r="DN318" i="4"/>
  <c r="DM318" i="4"/>
  <c r="DK318" i="4"/>
  <c r="DH318" i="4"/>
  <c r="DG318" i="4"/>
  <c r="EA317" i="4"/>
  <c r="DT317" i="4"/>
  <c r="DS317" i="4"/>
  <c r="DR317" i="4"/>
  <c r="DO317" i="4"/>
  <c r="DN317" i="4"/>
  <c r="DM317" i="4"/>
  <c r="DK317" i="4"/>
  <c r="DH317" i="4"/>
  <c r="DG317" i="4"/>
  <c r="DI317" i="4" s="1"/>
  <c r="EA316" i="4"/>
  <c r="DT316" i="4"/>
  <c r="DS316" i="4"/>
  <c r="DR316" i="4"/>
  <c r="DO316" i="4"/>
  <c r="DN316" i="4"/>
  <c r="DM316" i="4"/>
  <c r="DK316" i="4"/>
  <c r="DH316" i="4"/>
  <c r="DG316" i="4"/>
  <c r="EA315" i="4"/>
  <c r="DT315" i="4"/>
  <c r="DS315" i="4"/>
  <c r="DR315" i="4"/>
  <c r="DO315" i="4"/>
  <c r="DN315" i="4"/>
  <c r="DM315" i="4"/>
  <c r="DK315" i="4"/>
  <c r="DH315" i="4"/>
  <c r="DG315" i="4"/>
  <c r="DI315" i="4" s="1"/>
  <c r="DH295" i="4"/>
  <c r="DI295" i="4" s="1"/>
  <c r="DK295" i="4"/>
  <c r="DM295" i="4"/>
  <c r="DN295" i="4"/>
  <c r="DO295" i="4"/>
  <c r="DR295" i="4"/>
  <c r="DT295" i="4"/>
  <c r="DG287" i="4"/>
  <c r="DG288" i="4"/>
  <c r="DG289" i="4"/>
  <c r="DG290" i="4"/>
  <c r="DG291" i="4"/>
  <c r="DG292" i="4"/>
  <c r="DG293" i="4"/>
  <c r="DG294" i="4"/>
  <c r="DX295" i="4" l="1"/>
  <c r="EC295" i="4" s="1"/>
  <c r="ED295" i="4" s="1"/>
  <c r="DX316" i="4"/>
  <c r="EC316" i="4" s="1"/>
  <c r="DX318" i="4"/>
  <c r="EC318" i="4" s="1"/>
  <c r="DX320" i="4"/>
  <c r="EC320" i="4" s="1"/>
  <c r="DX322" i="4"/>
  <c r="EC322" i="4" s="1"/>
  <c r="DX324" i="4"/>
  <c r="EC324" i="4" s="1"/>
  <c r="DX326" i="4"/>
  <c r="EC326" i="4" s="1"/>
  <c r="DX328" i="4"/>
  <c r="EC328" i="4" s="1"/>
  <c r="DX330" i="4"/>
  <c r="EC330" i="4" s="1"/>
  <c r="DX332" i="4"/>
  <c r="EC332" i="4" s="1"/>
  <c r="DX334" i="4"/>
  <c r="EC334" i="4" s="1"/>
  <c r="DX336" i="4"/>
  <c r="EC336" i="4" s="1"/>
  <c r="DX338" i="4"/>
  <c r="EC338" i="4" s="1"/>
  <c r="DX340" i="4"/>
  <c r="EC340" i="4" s="1"/>
  <c r="DX342" i="4"/>
  <c r="EC342" i="4" s="1"/>
  <c r="DX344" i="4"/>
  <c r="EC344" i="4" s="1"/>
  <c r="DX346" i="4"/>
  <c r="EC346" i="4" s="1"/>
  <c r="DX348" i="4"/>
  <c r="EC348" i="4" s="1"/>
  <c r="DX350" i="4"/>
  <c r="EC350" i="4" s="1"/>
  <c r="DX352" i="4"/>
  <c r="EC352" i="4" s="1"/>
  <c r="DX354" i="4"/>
  <c r="EC354" i="4" s="1"/>
  <c r="DX356" i="4"/>
  <c r="EC356" i="4" s="1"/>
  <c r="DX358" i="4"/>
  <c r="EC358" i="4" s="1"/>
  <c r="DX360" i="4"/>
  <c r="EC360" i="4" s="1"/>
  <c r="DX362" i="4"/>
  <c r="EC362" i="4" s="1"/>
  <c r="DX364" i="4"/>
  <c r="EC364" i="4" s="1"/>
  <c r="DX366" i="4"/>
  <c r="EC366" i="4" s="1"/>
  <c r="DX368" i="4"/>
  <c r="EC368" i="4" s="1"/>
  <c r="DX370" i="4"/>
  <c r="EC370" i="4" s="1"/>
  <c r="DX373" i="4"/>
  <c r="EC373" i="4" s="1"/>
  <c r="DX381" i="4"/>
  <c r="EC381" i="4" s="1"/>
  <c r="DX389" i="4"/>
  <c r="EC389" i="4" s="1"/>
  <c r="DX397" i="4"/>
  <c r="EC397" i="4" s="1"/>
  <c r="DX405" i="4"/>
  <c r="EC405" i="4" s="1"/>
  <c r="DX413" i="4"/>
  <c r="EC413" i="4" s="1"/>
  <c r="DX421" i="4"/>
  <c r="EC421" i="4" s="1"/>
  <c r="DX429" i="4"/>
  <c r="EC429" i="4" s="1"/>
  <c r="DX372" i="4"/>
  <c r="EC372" i="4" s="1"/>
  <c r="DX380" i="4"/>
  <c r="EC380" i="4" s="1"/>
  <c r="DX388" i="4"/>
  <c r="EC388" i="4" s="1"/>
  <c r="DX396" i="4"/>
  <c r="EC396" i="4" s="1"/>
  <c r="DX404" i="4"/>
  <c r="EC404" i="4" s="1"/>
  <c r="DX412" i="4"/>
  <c r="EC412" i="4" s="1"/>
  <c r="DX420" i="4"/>
  <c r="EC420" i="4" s="1"/>
  <c r="DX428" i="4"/>
  <c r="EC428" i="4" s="1"/>
  <c r="DX391" i="4"/>
  <c r="EC391" i="4" s="1"/>
  <c r="DX399" i="4"/>
  <c r="EC399" i="4" s="1"/>
  <c r="DX315" i="4"/>
  <c r="EC315" i="4" s="1"/>
  <c r="DX317" i="4"/>
  <c r="EC317" i="4" s="1"/>
  <c r="DX319" i="4"/>
  <c r="EC319" i="4" s="1"/>
  <c r="DX321" i="4"/>
  <c r="EC321" i="4" s="1"/>
  <c r="DX323" i="4"/>
  <c r="EC323" i="4" s="1"/>
  <c r="DX325" i="4"/>
  <c r="EC325" i="4" s="1"/>
  <c r="DX327" i="4"/>
  <c r="EC327" i="4" s="1"/>
  <c r="DX329" i="4"/>
  <c r="EC329" i="4" s="1"/>
  <c r="DX331" i="4"/>
  <c r="EC331" i="4" s="1"/>
  <c r="DX333" i="4"/>
  <c r="EC333" i="4" s="1"/>
  <c r="DX335" i="4"/>
  <c r="EC335" i="4" s="1"/>
  <c r="DX337" i="4"/>
  <c r="EC337" i="4" s="1"/>
  <c r="DX339" i="4"/>
  <c r="EC339" i="4" s="1"/>
  <c r="DX341" i="4"/>
  <c r="EC341" i="4" s="1"/>
  <c r="DX343" i="4"/>
  <c r="EC343" i="4" s="1"/>
  <c r="DX345" i="4"/>
  <c r="EC345" i="4" s="1"/>
  <c r="DX347" i="4"/>
  <c r="EC347" i="4" s="1"/>
  <c r="DX349" i="4"/>
  <c r="EC349" i="4" s="1"/>
  <c r="DX351" i="4"/>
  <c r="EC351" i="4" s="1"/>
  <c r="DX353" i="4"/>
  <c r="EC353" i="4" s="1"/>
  <c r="DX355" i="4"/>
  <c r="EC355" i="4" s="1"/>
  <c r="DX357" i="4"/>
  <c r="EC357" i="4" s="1"/>
  <c r="DX359" i="4"/>
  <c r="EC359" i="4" s="1"/>
  <c r="DX361" i="4"/>
  <c r="EC361" i="4" s="1"/>
  <c r="DX363" i="4"/>
  <c r="EC363" i="4" s="1"/>
  <c r="DX365" i="4"/>
  <c r="EC365" i="4" s="1"/>
  <c r="DX367" i="4"/>
  <c r="EC367" i="4" s="1"/>
  <c r="DX369" i="4"/>
  <c r="EC369" i="4" s="1"/>
  <c r="DX377" i="4"/>
  <c r="EC377" i="4" s="1"/>
  <c r="DX385" i="4"/>
  <c r="EC385" i="4" s="1"/>
  <c r="DX393" i="4"/>
  <c r="EC393" i="4" s="1"/>
  <c r="DX401" i="4"/>
  <c r="EC401" i="4" s="1"/>
  <c r="DX409" i="4"/>
  <c r="EC409" i="4" s="1"/>
  <c r="DX417" i="4"/>
  <c r="EC417" i="4" s="1"/>
  <c r="DX425" i="4"/>
  <c r="EC425" i="4" s="1"/>
  <c r="DI427" i="4"/>
  <c r="DX375" i="4"/>
  <c r="EC375" i="4" s="1"/>
  <c r="DX407" i="4"/>
  <c r="EC407" i="4" s="1"/>
  <c r="ED407" i="4" s="1"/>
  <c r="DX374" i="4"/>
  <c r="EC374" i="4" s="1"/>
  <c r="DX382" i="4"/>
  <c r="EC382" i="4" s="1"/>
  <c r="DX390" i="4"/>
  <c r="EC390" i="4" s="1"/>
  <c r="DX398" i="4"/>
  <c r="EC398" i="4" s="1"/>
  <c r="DX406" i="4"/>
  <c r="EC406" i="4" s="1"/>
  <c r="DX414" i="4"/>
  <c r="EC414" i="4" s="1"/>
  <c r="DX422" i="4"/>
  <c r="EC422" i="4" s="1"/>
  <c r="DX415" i="4"/>
  <c r="EC415" i="4" s="1"/>
  <c r="DX423" i="4"/>
  <c r="EC423" i="4" s="1"/>
  <c r="DX371" i="4"/>
  <c r="EC371" i="4" s="1"/>
  <c r="DX379" i="4"/>
  <c r="EC379" i="4" s="1"/>
  <c r="DX387" i="4"/>
  <c r="EC387" i="4" s="1"/>
  <c r="DX395" i="4"/>
  <c r="EC395" i="4" s="1"/>
  <c r="DX403" i="4"/>
  <c r="EC403" i="4" s="1"/>
  <c r="DX411" i="4"/>
  <c r="EC411" i="4" s="1"/>
  <c r="DX419" i="4"/>
  <c r="EC419" i="4" s="1"/>
  <c r="DX427" i="4"/>
  <c r="EC427" i="4" s="1"/>
  <c r="DI429" i="4"/>
  <c r="DX383" i="4"/>
  <c r="EC383" i="4" s="1"/>
  <c r="DX376" i="4"/>
  <c r="EC376" i="4" s="1"/>
  <c r="DX384" i="4"/>
  <c r="EC384" i="4" s="1"/>
  <c r="DX392" i="4"/>
  <c r="EC392" i="4" s="1"/>
  <c r="DX400" i="4"/>
  <c r="EC400" i="4" s="1"/>
  <c r="DX408" i="4"/>
  <c r="EC408" i="4" s="1"/>
  <c r="DX416" i="4"/>
  <c r="EC416" i="4" s="1"/>
  <c r="DX424" i="4"/>
  <c r="EC424" i="4" s="1"/>
  <c r="DI422" i="4"/>
  <c r="DI411" i="4"/>
  <c r="DI419" i="4"/>
  <c r="DI373" i="4"/>
  <c r="DI381" i="4"/>
  <c r="DI389" i="4"/>
  <c r="DI397" i="4"/>
  <c r="DI432" i="4"/>
  <c r="DI375" i="4"/>
  <c r="DI383" i="4"/>
  <c r="DI391" i="4"/>
  <c r="DI415" i="4"/>
  <c r="DI316" i="4"/>
  <c r="DI322" i="4"/>
  <c r="DI324" i="4"/>
  <c r="DI330" i="4"/>
  <c r="DI336" i="4"/>
  <c r="DI340" i="4"/>
  <c r="DI344" i="4"/>
  <c r="DI346" i="4"/>
  <c r="DI348" i="4"/>
  <c r="DI356" i="4"/>
  <c r="DI360" i="4"/>
  <c r="DI364" i="4"/>
  <c r="DI378" i="4"/>
  <c r="DI382" i="4"/>
  <c r="DI386" i="4"/>
  <c r="DI390" i="4"/>
  <c r="DI420" i="4"/>
  <c r="DI426" i="4"/>
  <c r="DI400" i="4"/>
  <c r="DI403" i="4"/>
  <c r="DI405" i="4"/>
  <c r="DI379" i="4"/>
  <c r="DI435" i="4"/>
  <c r="DI323" i="4"/>
  <c r="DI377" i="4"/>
  <c r="DI394" i="4"/>
  <c r="DI402" i="4"/>
  <c r="DI412" i="4"/>
  <c r="DI431" i="4"/>
  <c r="DI331" i="4"/>
  <c r="DI376" i="4"/>
  <c r="DI347" i="4"/>
  <c r="DI384" i="4"/>
  <c r="DI401" i="4"/>
  <c r="DI410" i="4"/>
  <c r="DI374" i="4"/>
  <c r="DI398" i="4"/>
  <c r="DI430" i="4"/>
  <c r="DI321" i="4"/>
  <c r="DI328" i="4"/>
  <c r="DI345" i="4"/>
  <c r="DI352" i="4"/>
  <c r="DI358" i="4"/>
  <c r="DI368" i="4"/>
  <c r="DI372" i="4"/>
  <c r="DI399" i="4"/>
  <c r="DI406" i="4"/>
  <c r="DI334" i="4"/>
  <c r="DI337" i="4"/>
  <c r="DI354" i="4"/>
  <c r="DI357" i="4"/>
  <c r="DI370" i="4"/>
  <c r="DI433" i="4"/>
  <c r="DI320" i="4"/>
  <c r="DI326" i="4"/>
  <c r="DI350" i="4"/>
  <c r="DI366" i="4"/>
  <c r="DI329" i="4"/>
  <c r="DI333" i="4"/>
  <c r="DI353" i="4"/>
  <c r="DI369" i="4"/>
  <c r="DI380" i="4"/>
  <c r="DI423" i="4"/>
  <c r="DI424" i="4"/>
  <c r="DI318" i="4"/>
  <c r="DI325" i="4"/>
  <c r="DI332" i="4"/>
  <c r="DI349" i="4"/>
  <c r="DI362" i="4"/>
  <c r="DI365" i="4"/>
  <c r="DI407" i="4"/>
  <c r="DI408" i="4"/>
  <c r="DI414" i="4"/>
  <c r="DI416" i="4"/>
  <c r="DI428" i="4"/>
  <c r="DI436" i="4"/>
  <c r="DT314" i="4" l="1"/>
  <c r="DS314" i="4"/>
  <c r="DR314" i="4"/>
  <c r="DO314" i="4"/>
  <c r="DN314" i="4"/>
  <c r="DM314" i="4"/>
  <c r="DK314" i="4"/>
  <c r="DH314" i="4"/>
  <c r="DG314" i="4"/>
  <c r="DT313" i="4"/>
  <c r="DS313" i="4"/>
  <c r="DR313" i="4"/>
  <c r="DO313" i="4"/>
  <c r="DN313" i="4"/>
  <c r="DM313" i="4"/>
  <c r="DK313" i="4"/>
  <c r="DH313" i="4"/>
  <c r="DG313" i="4"/>
  <c r="DT312" i="4"/>
  <c r="DS312" i="4"/>
  <c r="DR312" i="4"/>
  <c r="DO312" i="4"/>
  <c r="DN312" i="4"/>
  <c r="DM312" i="4"/>
  <c r="DK312" i="4"/>
  <c r="DH312" i="4"/>
  <c r="DG312" i="4"/>
  <c r="DT311" i="4"/>
  <c r="DS311" i="4"/>
  <c r="DR311" i="4"/>
  <c r="DO311" i="4"/>
  <c r="DN311" i="4"/>
  <c r="DM311" i="4"/>
  <c r="DK311" i="4"/>
  <c r="DH311" i="4"/>
  <c r="DG311" i="4"/>
  <c r="DT310" i="4"/>
  <c r="DS310" i="4"/>
  <c r="DR310" i="4"/>
  <c r="DO310" i="4"/>
  <c r="DN310" i="4"/>
  <c r="DM310" i="4"/>
  <c r="DK310" i="4"/>
  <c r="DH310" i="4"/>
  <c r="DG310" i="4"/>
  <c r="DT309" i="4"/>
  <c r="DS309" i="4"/>
  <c r="DR309" i="4"/>
  <c r="DO309" i="4"/>
  <c r="DN309" i="4"/>
  <c r="DM309" i="4"/>
  <c r="DK309" i="4"/>
  <c r="DH309" i="4"/>
  <c r="DG309" i="4"/>
  <c r="DT308" i="4"/>
  <c r="DS308" i="4"/>
  <c r="DR308" i="4"/>
  <c r="DO308" i="4"/>
  <c r="DN308" i="4"/>
  <c r="DM308" i="4"/>
  <c r="DK308" i="4"/>
  <c r="DH308" i="4"/>
  <c r="DG308" i="4"/>
  <c r="DT307" i="4"/>
  <c r="DS307" i="4"/>
  <c r="DR307" i="4"/>
  <c r="DO307" i="4"/>
  <c r="DN307" i="4"/>
  <c r="DM307" i="4"/>
  <c r="DK307" i="4"/>
  <c r="DH307" i="4"/>
  <c r="DG307" i="4"/>
  <c r="DT306" i="4"/>
  <c r="DS306" i="4"/>
  <c r="DR306" i="4"/>
  <c r="DO306" i="4"/>
  <c r="DN306" i="4"/>
  <c r="DM306" i="4"/>
  <c r="DK306" i="4"/>
  <c r="DH306" i="4"/>
  <c r="DG306" i="4"/>
  <c r="DT305" i="4"/>
  <c r="DS305" i="4"/>
  <c r="DR305" i="4"/>
  <c r="DO305" i="4"/>
  <c r="DN305" i="4"/>
  <c r="DM305" i="4"/>
  <c r="DK305" i="4"/>
  <c r="DH305" i="4"/>
  <c r="DG305" i="4"/>
  <c r="DT304" i="4"/>
  <c r="DS304" i="4"/>
  <c r="DR304" i="4"/>
  <c r="DO304" i="4"/>
  <c r="DN304" i="4"/>
  <c r="DM304" i="4"/>
  <c r="DK304" i="4"/>
  <c r="DH304" i="4"/>
  <c r="DG304" i="4"/>
  <c r="DT303" i="4"/>
  <c r="DS303" i="4"/>
  <c r="DR303" i="4"/>
  <c r="DO303" i="4"/>
  <c r="DN303" i="4"/>
  <c r="DM303" i="4"/>
  <c r="DK303" i="4"/>
  <c r="DH303" i="4"/>
  <c r="DG303" i="4"/>
  <c r="DT302" i="4"/>
  <c r="DS302" i="4"/>
  <c r="DR302" i="4"/>
  <c r="DO302" i="4"/>
  <c r="DN302" i="4"/>
  <c r="DM302" i="4"/>
  <c r="DK302" i="4"/>
  <c r="DH302" i="4"/>
  <c r="DG302" i="4"/>
  <c r="DT301" i="4"/>
  <c r="DS301" i="4"/>
  <c r="DR301" i="4"/>
  <c r="DO301" i="4"/>
  <c r="DN301" i="4"/>
  <c r="DM301" i="4"/>
  <c r="DK301" i="4"/>
  <c r="DH301" i="4"/>
  <c r="DG301" i="4"/>
  <c r="DT300" i="4"/>
  <c r="DS300" i="4"/>
  <c r="DR300" i="4"/>
  <c r="DO300" i="4"/>
  <c r="DN300" i="4"/>
  <c r="DM300" i="4"/>
  <c r="DK300" i="4"/>
  <c r="DH300" i="4"/>
  <c r="DG300" i="4"/>
  <c r="DT299" i="4"/>
  <c r="DS299" i="4"/>
  <c r="DR299" i="4"/>
  <c r="DO299" i="4"/>
  <c r="DN299" i="4"/>
  <c r="DM299" i="4"/>
  <c r="DK299" i="4"/>
  <c r="DH299" i="4"/>
  <c r="DG299" i="4"/>
  <c r="DT298" i="4"/>
  <c r="DS298" i="4"/>
  <c r="DR298" i="4"/>
  <c r="DO298" i="4"/>
  <c r="DN298" i="4"/>
  <c r="DM298" i="4"/>
  <c r="DK298" i="4"/>
  <c r="DH298" i="4"/>
  <c r="DG298" i="4"/>
  <c r="DT297" i="4"/>
  <c r="DS297" i="4"/>
  <c r="DR297" i="4"/>
  <c r="DO297" i="4"/>
  <c r="DN297" i="4"/>
  <c r="DM297" i="4"/>
  <c r="DK297" i="4"/>
  <c r="DH297" i="4"/>
  <c r="DG297" i="4"/>
  <c r="DT296" i="4"/>
  <c r="DS296" i="4"/>
  <c r="DR296" i="4"/>
  <c r="DO296" i="4"/>
  <c r="DN296" i="4"/>
  <c r="DM296" i="4"/>
  <c r="DK296" i="4"/>
  <c r="DH296" i="4"/>
  <c r="DG296" i="4"/>
  <c r="DT294" i="4"/>
  <c r="DS294" i="4"/>
  <c r="DR294" i="4"/>
  <c r="DO294" i="4"/>
  <c r="DN294" i="4"/>
  <c r="DM294" i="4"/>
  <c r="DK294" i="4"/>
  <c r="DH294" i="4"/>
  <c r="DT293" i="4"/>
  <c r="DS293" i="4"/>
  <c r="DR293" i="4"/>
  <c r="DO293" i="4"/>
  <c r="DN293" i="4"/>
  <c r="DM293" i="4"/>
  <c r="DK293" i="4"/>
  <c r="DH293" i="4"/>
  <c r="DT292" i="4"/>
  <c r="DS292" i="4"/>
  <c r="DR292" i="4"/>
  <c r="DO292" i="4"/>
  <c r="DN292" i="4"/>
  <c r="DM292" i="4"/>
  <c r="DK292" i="4"/>
  <c r="DH292" i="4"/>
  <c r="DT291" i="4"/>
  <c r="DS291" i="4"/>
  <c r="DR291" i="4"/>
  <c r="DO291" i="4"/>
  <c r="DN291" i="4"/>
  <c r="DM291" i="4"/>
  <c r="DK291" i="4"/>
  <c r="DH291" i="4"/>
  <c r="DT290" i="4"/>
  <c r="DS290" i="4"/>
  <c r="DR290" i="4"/>
  <c r="DO290" i="4"/>
  <c r="DN290" i="4"/>
  <c r="DM290" i="4"/>
  <c r="DK290" i="4"/>
  <c r="DH290" i="4"/>
  <c r="DT289" i="4"/>
  <c r="DS289" i="4"/>
  <c r="DR289" i="4"/>
  <c r="DO289" i="4"/>
  <c r="DN289" i="4"/>
  <c r="DM289" i="4"/>
  <c r="DK289" i="4"/>
  <c r="DH289" i="4"/>
  <c r="DT288" i="4"/>
  <c r="DS288" i="4"/>
  <c r="DR288" i="4"/>
  <c r="DO288" i="4"/>
  <c r="DN288" i="4"/>
  <c r="DM288" i="4"/>
  <c r="DK288" i="4"/>
  <c r="DH288" i="4"/>
  <c r="DT287" i="4"/>
  <c r="DS287" i="4"/>
  <c r="DR287" i="4"/>
  <c r="DO287" i="4"/>
  <c r="DN287" i="4"/>
  <c r="DM287" i="4"/>
  <c r="DK287" i="4"/>
  <c r="DH287" i="4"/>
  <c r="DT286" i="4"/>
  <c r="DS286" i="4"/>
  <c r="DR286" i="4"/>
  <c r="DO286" i="4"/>
  <c r="DN286" i="4"/>
  <c r="DM286" i="4"/>
  <c r="DK286" i="4"/>
  <c r="DH286" i="4"/>
  <c r="DG286" i="4"/>
  <c r="DT285" i="4"/>
  <c r="DS285" i="4"/>
  <c r="DR285" i="4"/>
  <c r="DO285" i="4"/>
  <c r="DN285" i="4"/>
  <c r="DM285" i="4"/>
  <c r="DK285" i="4"/>
  <c r="DH285" i="4"/>
  <c r="DG285" i="4"/>
  <c r="DT284" i="4"/>
  <c r="DS284" i="4"/>
  <c r="DR284" i="4"/>
  <c r="DO284" i="4"/>
  <c r="DN284" i="4"/>
  <c r="DM284" i="4"/>
  <c r="DK284" i="4"/>
  <c r="DH284" i="4"/>
  <c r="DG284" i="4"/>
  <c r="DT283" i="4"/>
  <c r="DS283" i="4"/>
  <c r="DR283" i="4"/>
  <c r="DO283" i="4"/>
  <c r="DN283" i="4"/>
  <c r="DM283" i="4"/>
  <c r="DK283" i="4"/>
  <c r="DH283" i="4"/>
  <c r="DG283" i="4"/>
  <c r="DT282" i="4"/>
  <c r="DS282" i="4"/>
  <c r="DR282" i="4"/>
  <c r="DO282" i="4"/>
  <c r="DN282" i="4"/>
  <c r="DM282" i="4"/>
  <c r="DK282" i="4"/>
  <c r="DH282" i="4"/>
  <c r="DG282" i="4"/>
  <c r="DT281" i="4"/>
  <c r="DS281" i="4"/>
  <c r="DR281" i="4"/>
  <c r="DO281" i="4"/>
  <c r="DN281" i="4"/>
  <c r="DM281" i="4"/>
  <c r="DK281" i="4"/>
  <c r="DX281" i="4" s="1"/>
  <c r="EC281" i="4" s="1"/>
  <c r="ED281" i="4" s="1"/>
  <c r="DH281" i="4"/>
  <c r="DG281" i="4"/>
  <c r="DT280" i="4"/>
  <c r="DS280" i="4"/>
  <c r="DR280" i="4"/>
  <c r="DO280" i="4"/>
  <c r="DN280" i="4"/>
  <c r="DM280" i="4"/>
  <c r="DK280" i="4"/>
  <c r="DH280" i="4"/>
  <c r="DG280" i="4"/>
  <c r="DT279" i="4"/>
  <c r="DS279" i="4"/>
  <c r="DR279" i="4"/>
  <c r="DO279" i="4"/>
  <c r="DN279" i="4"/>
  <c r="DM279" i="4"/>
  <c r="DK279" i="4"/>
  <c r="DH279" i="4"/>
  <c r="DG279" i="4"/>
  <c r="DT278" i="4"/>
  <c r="DS278" i="4"/>
  <c r="DR278" i="4"/>
  <c r="DO278" i="4"/>
  <c r="DN278" i="4"/>
  <c r="DM278" i="4"/>
  <c r="DK278" i="4"/>
  <c r="DH278" i="4"/>
  <c r="DG278" i="4"/>
  <c r="DT277" i="4"/>
  <c r="DS277" i="4"/>
  <c r="DR277" i="4"/>
  <c r="DO277" i="4"/>
  <c r="DN277" i="4"/>
  <c r="DM277" i="4"/>
  <c r="DK277" i="4"/>
  <c r="DH277" i="4"/>
  <c r="DG277" i="4"/>
  <c r="DT276" i="4"/>
  <c r="DS276" i="4"/>
  <c r="DR276" i="4"/>
  <c r="DO276" i="4"/>
  <c r="DN276" i="4"/>
  <c r="DM276" i="4"/>
  <c r="DK276" i="4"/>
  <c r="DH276" i="4"/>
  <c r="DG276" i="4"/>
  <c r="DT275" i="4"/>
  <c r="DS275" i="4"/>
  <c r="DR275" i="4"/>
  <c r="DO275" i="4"/>
  <c r="DN275" i="4"/>
  <c r="DM275" i="4"/>
  <c r="DK275" i="4"/>
  <c r="DH275" i="4"/>
  <c r="DG275" i="4"/>
  <c r="DT274" i="4"/>
  <c r="DS274" i="4"/>
  <c r="DR274" i="4"/>
  <c r="DO274" i="4"/>
  <c r="DN274" i="4"/>
  <c r="DM274" i="4"/>
  <c r="DK274" i="4"/>
  <c r="DH274" i="4"/>
  <c r="DG274" i="4"/>
  <c r="DT273" i="4"/>
  <c r="DS273" i="4"/>
  <c r="DR273" i="4"/>
  <c r="DO273" i="4"/>
  <c r="DN273" i="4"/>
  <c r="DM273" i="4"/>
  <c r="DK273" i="4"/>
  <c r="DH273" i="4"/>
  <c r="DG273" i="4"/>
  <c r="DT272" i="4"/>
  <c r="DS272" i="4"/>
  <c r="DR272" i="4"/>
  <c r="DO272" i="4"/>
  <c r="DN272" i="4"/>
  <c r="DM272" i="4"/>
  <c r="DK272" i="4"/>
  <c r="DH272" i="4"/>
  <c r="DG272" i="4"/>
  <c r="DT271" i="4"/>
  <c r="DS271" i="4"/>
  <c r="DR271" i="4"/>
  <c r="DO271" i="4"/>
  <c r="DN271" i="4"/>
  <c r="DM271" i="4"/>
  <c r="DK271" i="4"/>
  <c r="DH271" i="4"/>
  <c r="DG271" i="4"/>
  <c r="DT270" i="4"/>
  <c r="DS270" i="4"/>
  <c r="DR270" i="4"/>
  <c r="DO270" i="4"/>
  <c r="DN270" i="4"/>
  <c r="DM270" i="4"/>
  <c r="DK270" i="4"/>
  <c r="DH270" i="4"/>
  <c r="DG270" i="4"/>
  <c r="DT269" i="4"/>
  <c r="DS269" i="4"/>
  <c r="DR269" i="4"/>
  <c r="DO269" i="4"/>
  <c r="DN269" i="4"/>
  <c r="DM269" i="4"/>
  <c r="DK269" i="4"/>
  <c r="DH269" i="4"/>
  <c r="DG269" i="4"/>
  <c r="DT268" i="4"/>
  <c r="DS268" i="4"/>
  <c r="DR268" i="4"/>
  <c r="DO268" i="4"/>
  <c r="DN268" i="4"/>
  <c r="DM268" i="4"/>
  <c r="DK268" i="4"/>
  <c r="DH268" i="4"/>
  <c r="DG268" i="4"/>
  <c r="DT267" i="4"/>
  <c r="DS267" i="4"/>
  <c r="DR267" i="4"/>
  <c r="DO267" i="4"/>
  <c r="DN267" i="4"/>
  <c r="DM267" i="4"/>
  <c r="DK267" i="4"/>
  <c r="DH267" i="4"/>
  <c r="DG267" i="4"/>
  <c r="DT266" i="4"/>
  <c r="DS266" i="4"/>
  <c r="DR266" i="4"/>
  <c r="DO266" i="4"/>
  <c r="DN266" i="4"/>
  <c r="DM266" i="4"/>
  <c r="DK266" i="4"/>
  <c r="DH266" i="4"/>
  <c r="DG266" i="4"/>
  <c r="DT265" i="4"/>
  <c r="DS265" i="4"/>
  <c r="DR265" i="4"/>
  <c r="DO265" i="4"/>
  <c r="DN265" i="4"/>
  <c r="DM265" i="4"/>
  <c r="DK265" i="4"/>
  <c r="DX265" i="4" s="1"/>
  <c r="EC265" i="4" s="1"/>
  <c r="ED265" i="4" s="1"/>
  <c r="DH265" i="4"/>
  <c r="DG265" i="4"/>
  <c r="DT264" i="4"/>
  <c r="DS264" i="4"/>
  <c r="DR264" i="4"/>
  <c r="DO264" i="4"/>
  <c r="DN264" i="4"/>
  <c r="DM264" i="4"/>
  <c r="DK264" i="4"/>
  <c r="DH264" i="4"/>
  <c r="DG264" i="4"/>
  <c r="DT263" i="4"/>
  <c r="DS263" i="4"/>
  <c r="DR263" i="4"/>
  <c r="DO263" i="4"/>
  <c r="DN263" i="4"/>
  <c r="DM263" i="4"/>
  <c r="DK263" i="4"/>
  <c r="DH263" i="4"/>
  <c r="DG263" i="4"/>
  <c r="DT262" i="4"/>
  <c r="DS262" i="4"/>
  <c r="DR262" i="4"/>
  <c r="DO262" i="4"/>
  <c r="DN262" i="4"/>
  <c r="DM262" i="4"/>
  <c r="DK262" i="4"/>
  <c r="DH262" i="4"/>
  <c r="DG262" i="4"/>
  <c r="DT261" i="4"/>
  <c r="DS261" i="4"/>
  <c r="DR261" i="4"/>
  <c r="DO261" i="4"/>
  <c r="DN261" i="4"/>
  <c r="DM261" i="4"/>
  <c r="DK261" i="4"/>
  <c r="DH261" i="4"/>
  <c r="DG261" i="4"/>
  <c r="DT260" i="4"/>
  <c r="DS260" i="4"/>
  <c r="DR260" i="4"/>
  <c r="DO260" i="4"/>
  <c r="DN260" i="4"/>
  <c r="DM260" i="4"/>
  <c r="DK260" i="4"/>
  <c r="DH260" i="4"/>
  <c r="DG260" i="4"/>
  <c r="DT259" i="4"/>
  <c r="DS259" i="4"/>
  <c r="DR259" i="4"/>
  <c r="DO259" i="4"/>
  <c r="DN259" i="4"/>
  <c r="DM259" i="4"/>
  <c r="DK259" i="4"/>
  <c r="DH259" i="4"/>
  <c r="DG259" i="4"/>
  <c r="DT258" i="4"/>
  <c r="DS258" i="4"/>
  <c r="DR258" i="4"/>
  <c r="DO258" i="4"/>
  <c r="DN258" i="4"/>
  <c r="DM258" i="4"/>
  <c r="DK258" i="4"/>
  <c r="DH258" i="4"/>
  <c r="DG258" i="4"/>
  <c r="DT257" i="4"/>
  <c r="DS257" i="4"/>
  <c r="DR257" i="4"/>
  <c r="DO257" i="4"/>
  <c r="DN257" i="4"/>
  <c r="DM257" i="4"/>
  <c r="DK257" i="4"/>
  <c r="DX257" i="4" s="1"/>
  <c r="EC257" i="4" s="1"/>
  <c r="ED257" i="4" s="1"/>
  <c r="DH257" i="4"/>
  <c r="DG257" i="4"/>
  <c r="DT256" i="4"/>
  <c r="DS256" i="4"/>
  <c r="DR256" i="4"/>
  <c r="DO256" i="4"/>
  <c r="DN256" i="4"/>
  <c r="DM256" i="4"/>
  <c r="DK256" i="4"/>
  <c r="DH256" i="4"/>
  <c r="DG256" i="4"/>
  <c r="DT255" i="4"/>
  <c r="DS255" i="4"/>
  <c r="DR255" i="4"/>
  <c r="DO255" i="4"/>
  <c r="DN255" i="4"/>
  <c r="DM255" i="4"/>
  <c r="DK255" i="4"/>
  <c r="DH255" i="4"/>
  <c r="DG255" i="4"/>
  <c r="DT254" i="4"/>
  <c r="DS254" i="4"/>
  <c r="DR254" i="4"/>
  <c r="DO254" i="4"/>
  <c r="DN254" i="4"/>
  <c r="DM254" i="4"/>
  <c r="DK254" i="4"/>
  <c r="DH254" i="4"/>
  <c r="DG254" i="4"/>
  <c r="DT253" i="4"/>
  <c r="DS253" i="4"/>
  <c r="DR253" i="4"/>
  <c r="DO253" i="4"/>
  <c r="DN253" i="4"/>
  <c r="DM253" i="4"/>
  <c r="DK253" i="4"/>
  <c r="DH253" i="4"/>
  <c r="DG253" i="4"/>
  <c r="DT252" i="4"/>
  <c r="DS252" i="4"/>
  <c r="DR252" i="4"/>
  <c r="DO252" i="4"/>
  <c r="DN252" i="4"/>
  <c r="DM252" i="4"/>
  <c r="DK252" i="4"/>
  <c r="DH252" i="4"/>
  <c r="DG252" i="4"/>
  <c r="DT251" i="4"/>
  <c r="DS251" i="4"/>
  <c r="DR251" i="4"/>
  <c r="DO251" i="4"/>
  <c r="DN251" i="4"/>
  <c r="DM251" i="4"/>
  <c r="DK251" i="4"/>
  <c r="DH251" i="4"/>
  <c r="DG251" i="4"/>
  <c r="DT250" i="4"/>
  <c r="DS250" i="4"/>
  <c r="DR250" i="4"/>
  <c r="DO250" i="4"/>
  <c r="DN250" i="4"/>
  <c r="DM250" i="4"/>
  <c r="DK250" i="4"/>
  <c r="DH250" i="4"/>
  <c r="DG250" i="4"/>
  <c r="DT249" i="4"/>
  <c r="DS249" i="4"/>
  <c r="DR249" i="4"/>
  <c r="DO249" i="4"/>
  <c r="DN249" i="4"/>
  <c r="DM249" i="4"/>
  <c r="DK249" i="4"/>
  <c r="DX249" i="4" s="1"/>
  <c r="EC249" i="4" s="1"/>
  <c r="ED249" i="4" s="1"/>
  <c r="DH249" i="4"/>
  <c r="DI249" i="4" s="1"/>
  <c r="DG249" i="4"/>
  <c r="DT248" i="4"/>
  <c r="DS248" i="4"/>
  <c r="DR248" i="4"/>
  <c r="DO248" i="4"/>
  <c r="DN248" i="4"/>
  <c r="DM248" i="4"/>
  <c r="DK248" i="4"/>
  <c r="DH248" i="4"/>
  <c r="DG248" i="4"/>
  <c r="DT247" i="4"/>
  <c r="DS247" i="4"/>
  <c r="DR247" i="4"/>
  <c r="DO247" i="4"/>
  <c r="DN247" i="4"/>
  <c r="DM247" i="4"/>
  <c r="DK247" i="4"/>
  <c r="DH247" i="4"/>
  <c r="DG247" i="4"/>
  <c r="DT246" i="4"/>
  <c r="DS246" i="4"/>
  <c r="DR246" i="4"/>
  <c r="DO246" i="4"/>
  <c r="DN246" i="4"/>
  <c r="DM246" i="4"/>
  <c r="DK246" i="4"/>
  <c r="DH246" i="4"/>
  <c r="DG246" i="4"/>
  <c r="DT245" i="4"/>
  <c r="DS245" i="4"/>
  <c r="DR245" i="4"/>
  <c r="DO245" i="4"/>
  <c r="DN245" i="4"/>
  <c r="DM245" i="4"/>
  <c r="DK245" i="4"/>
  <c r="DH245" i="4"/>
  <c r="DG245" i="4"/>
  <c r="DT244" i="4"/>
  <c r="DS244" i="4"/>
  <c r="DR244" i="4"/>
  <c r="DO244" i="4"/>
  <c r="DN244" i="4"/>
  <c r="DM244" i="4"/>
  <c r="DK244" i="4"/>
  <c r="DH244" i="4"/>
  <c r="DG244" i="4"/>
  <c r="DT243" i="4"/>
  <c r="DS243" i="4"/>
  <c r="DR243" i="4"/>
  <c r="DO243" i="4"/>
  <c r="DN243" i="4"/>
  <c r="DM243" i="4"/>
  <c r="DK243" i="4"/>
  <c r="DH243" i="4"/>
  <c r="DG243" i="4"/>
  <c r="DT242" i="4"/>
  <c r="DS242" i="4"/>
  <c r="DR242" i="4"/>
  <c r="DO242" i="4"/>
  <c r="DN242" i="4"/>
  <c r="DM242" i="4"/>
  <c r="DK242" i="4"/>
  <c r="DH242" i="4"/>
  <c r="DG242" i="4"/>
  <c r="DT241" i="4"/>
  <c r="DS241" i="4"/>
  <c r="DR241" i="4"/>
  <c r="DO241" i="4"/>
  <c r="DN241" i="4"/>
  <c r="DM241" i="4"/>
  <c r="DK241" i="4"/>
  <c r="DX241" i="4" s="1"/>
  <c r="EC241" i="4" s="1"/>
  <c r="ED241" i="4" s="1"/>
  <c r="DH241" i="4"/>
  <c r="DG241" i="4"/>
  <c r="DT240" i="4"/>
  <c r="DS240" i="4"/>
  <c r="DR240" i="4"/>
  <c r="DO240" i="4"/>
  <c r="DN240" i="4"/>
  <c r="DM240" i="4"/>
  <c r="DK240" i="4"/>
  <c r="DH240" i="4"/>
  <c r="DG240" i="4"/>
  <c r="DT239" i="4"/>
  <c r="DS239" i="4"/>
  <c r="DR239" i="4"/>
  <c r="DO239" i="4"/>
  <c r="DN239" i="4"/>
  <c r="DM239" i="4"/>
  <c r="DK239" i="4"/>
  <c r="DH239" i="4"/>
  <c r="DG239" i="4"/>
  <c r="DT238" i="4"/>
  <c r="DS238" i="4"/>
  <c r="DR238" i="4"/>
  <c r="DO238" i="4"/>
  <c r="DN238" i="4"/>
  <c r="DM238" i="4"/>
  <c r="DK238" i="4"/>
  <c r="DH238" i="4"/>
  <c r="DG238" i="4"/>
  <c r="DT237" i="4"/>
  <c r="DS237" i="4"/>
  <c r="DR237" i="4"/>
  <c r="DO237" i="4"/>
  <c r="DN237" i="4"/>
  <c r="DM237" i="4"/>
  <c r="DK237" i="4"/>
  <c r="DH237" i="4"/>
  <c r="DG237" i="4"/>
  <c r="DT236" i="4"/>
  <c r="DS236" i="4"/>
  <c r="DR236" i="4"/>
  <c r="DO236" i="4"/>
  <c r="DN236" i="4"/>
  <c r="DM236" i="4"/>
  <c r="DK236" i="4"/>
  <c r="DH236" i="4"/>
  <c r="DG236" i="4"/>
  <c r="DT235" i="4"/>
  <c r="DS235" i="4"/>
  <c r="DR235" i="4"/>
  <c r="DO235" i="4"/>
  <c r="DN235" i="4"/>
  <c r="DM235" i="4"/>
  <c r="DK235" i="4"/>
  <c r="DH235" i="4"/>
  <c r="DG235" i="4"/>
  <c r="DT234" i="4"/>
  <c r="DS234" i="4"/>
  <c r="DR234" i="4"/>
  <c r="DO234" i="4"/>
  <c r="DN234" i="4"/>
  <c r="DM234" i="4"/>
  <c r="DK234" i="4"/>
  <c r="DH234" i="4"/>
  <c r="DG234" i="4"/>
  <c r="DT233" i="4"/>
  <c r="DS233" i="4"/>
  <c r="DR233" i="4"/>
  <c r="DO233" i="4"/>
  <c r="DN233" i="4"/>
  <c r="DM233" i="4"/>
  <c r="DK233" i="4"/>
  <c r="DX233" i="4" s="1"/>
  <c r="EC233" i="4" s="1"/>
  <c r="ED233" i="4" s="1"/>
  <c r="DH233" i="4"/>
  <c r="DG233" i="4"/>
  <c r="DT232" i="4"/>
  <c r="DS232" i="4"/>
  <c r="DR232" i="4"/>
  <c r="DO232" i="4"/>
  <c r="DN232" i="4"/>
  <c r="DM232" i="4"/>
  <c r="DK232" i="4"/>
  <c r="DH232" i="4"/>
  <c r="DG232" i="4"/>
  <c r="DT231" i="4"/>
  <c r="DS231" i="4"/>
  <c r="DR231" i="4"/>
  <c r="DO231" i="4"/>
  <c r="DN231" i="4"/>
  <c r="DM231" i="4"/>
  <c r="DK231" i="4"/>
  <c r="DH231" i="4"/>
  <c r="DG231" i="4"/>
  <c r="DT230" i="4"/>
  <c r="DS230" i="4"/>
  <c r="DR230" i="4"/>
  <c r="DO230" i="4"/>
  <c r="DN230" i="4"/>
  <c r="DM230" i="4"/>
  <c r="DK230" i="4"/>
  <c r="DH230" i="4"/>
  <c r="DG230" i="4"/>
  <c r="DT229" i="4"/>
  <c r="DS229" i="4"/>
  <c r="DR229" i="4"/>
  <c r="DO229" i="4"/>
  <c r="DN229" i="4"/>
  <c r="DM229" i="4"/>
  <c r="DK229" i="4"/>
  <c r="DH229" i="4"/>
  <c r="DG229" i="4"/>
  <c r="DT228" i="4"/>
  <c r="DS228" i="4"/>
  <c r="DR228" i="4"/>
  <c r="DO228" i="4"/>
  <c r="DN228" i="4"/>
  <c r="DM228" i="4"/>
  <c r="DK228" i="4"/>
  <c r="DH228" i="4"/>
  <c r="DG228" i="4"/>
  <c r="DT227" i="4"/>
  <c r="DS227" i="4"/>
  <c r="DR227" i="4"/>
  <c r="DO227" i="4"/>
  <c r="DN227" i="4"/>
  <c r="DM227" i="4"/>
  <c r="DK227" i="4"/>
  <c r="DH227" i="4"/>
  <c r="DG227" i="4"/>
  <c r="DT226" i="4"/>
  <c r="DS226" i="4"/>
  <c r="DR226" i="4"/>
  <c r="DO226" i="4"/>
  <c r="DN226" i="4"/>
  <c r="DM226" i="4"/>
  <c r="DK226" i="4"/>
  <c r="DH226" i="4"/>
  <c r="DG226" i="4"/>
  <c r="DT225" i="4"/>
  <c r="DS225" i="4"/>
  <c r="DR225" i="4"/>
  <c r="DO225" i="4"/>
  <c r="DN225" i="4"/>
  <c r="DM225" i="4"/>
  <c r="DK225" i="4"/>
  <c r="DX225" i="4" s="1"/>
  <c r="EC225" i="4" s="1"/>
  <c r="ED225" i="4" s="1"/>
  <c r="DH225" i="4"/>
  <c r="DG225" i="4"/>
  <c r="DT224" i="4"/>
  <c r="DS224" i="4"/>
  <c r="DR224" i="4"/>
  <c r="DO224" i="4"/>
  <c r="DN224" i="4"/>
  <c r="DM224" i="4"/>
  <c r="DK224" i="4"/>
  <c r="DH224" i="4"/>
  <c r="DG224" i="4"/>
  <c r="DT223" i="4"/>
  <c r="DS223" i="4"/>
  <c r="DR223" i="4"/>
  <c r="DO223" i="4"/>
  <c r="DN223" i="4"/>
  <c r="DM223" i="4"/>
  <c r="DK223" i="4"/>
  <c r="DH223" i="4"/>
  <c r="DG223" i="4"/>
  <c r="DT222" i="4"/>
  <c r="DS222" i="4"/>
  <c r="DR222" i="4"/>
  <c r="DO222" i="4"/>
  <c r="DN222" i="4"/>
  <c r="DM222" i="4"/>
  <c r="DK222" i="4"/>
  <c r="DH222" i="4"/>
  <c r="DG222" i="4"/>
  <c r="DT221" i="4"/>
  <c r="DS221" i="4"/>
  <c r="DR221" i="4"/>
  <c r="DO221" i="4"/>
  <c r="DN221" i="4"/>
  <c r="DM221" i="4"/>
  <c r="DK221" i="4"/>
  <c r="DH221" i="4"/>
  <c r="DG221" i="4"/>
  <c r="DT220" i="4"/>
  <c r="DS220" i="4"/>
  <c r="DR220" i="4"/>
  <c r="DO220" i="4"/>
  <c r="DN220" i="4"/>
  <c r="DM220" i="4"/>
  <c r="DK220" i="4"/>
  <c r="DH220" i="4"/>
  <c r="DG220" i="4"/>
  <c r="DT219" i="4"/>
  <c r="DS219" i="4"/>
  <c r="DR219" i="4"/>
  <c r="DO219" i="4"/>
  <c r="DN219" i="4"/>
  <c r="DM219" i="4"/>
  <c r="DK219" i="4"/>
  <c r="DH219" i="4"/>
  <c r="DG219" i="4"/>
  <c r="DT218" i="4"/>
  <c r="DS218" i="4"/>
  <c r="DR218" i="4"/>
  <c r="DO218" i="4"/>
  <c r="DN218" i="4"/>
  <c r="DM218" i="4"/>
  <c r="DK218" i="4"/>
  <c r="DH218" i="4"/>
  <c r="DG218" i="4"/>
  <c r="DT217" i="4"/>
  <c r="DS217" i="4"/>
  <c r="DR217" i="4"/>
  <c r="DO217" i="4"/>
  <c r="DN217" i="4"/>
  <c r="DM217" i="4"/>
  <c r="DK217" i="4"/>
  <c r="DX217" i="4" s="1"/>
  <c r="EC217" i="4" s="1"/>
  <c r="ED217" i="4" s="1"/>
  <c r="DH217" i="4"/>
  <c r="DG217" i="4"/>
  <c r="DT216" i="4"/>
  <c r="DS216" i="4"/>
  <c r="DR216" i="4"/>
  <c r="DO216" i="4"/>
  <c r="DN216" i="4"/>
  <c r="DM216" i="4"/>
  <c r="DK216" i="4"/>
  <c r="DH216" i="4"/>
  <c r="DG216" i="4"/>
  <c r="DT215" i="4"/>
  <c r="DS215" i="4"/>
  <c r="DR215" i="4"/>
  <c r="DO215" i="4"/>
  <c r="DN215" i="4"/>
  <c r="DM215" i="4"/>
  <c r="DK215" i="4"/>
  <c r="DH215" i="4"/>
  <c r="DG215" i="4"/>
  <c r="DT214" i="4"/>
  <c r="DS214" i="4"/>
  <c r="DR214" i="4"/>
  <c r="DO214" i="4"/>
  <c r="DN214" i="4"/>
  <c r="DM214" i="4"/>
  <c r="DK214" i="4"/>
  <c r="DH214" i="4"/>
  <c r="DG214" i="4"/>
  <c r="DT213" i="4"/>
  <c r="DS213" i="4"/>
  <c r="DR213" i="4"/>
  <c r="DO213" i="4"/>
  <c r="DN213" i="4"/>
  <c r="DM213" i="4"/>
  <c r="DK213" i="4"/>
  <c r="DH213" i="4"/>
  <c r="DG213" i="4"/>
  <c r="DT212" i="4"/>
  <c r="DS212" i="4"/>
  <c r="DR212" i="4"/>
  <c r="DO212" i="4"/>
  <c r="DN212" i="4"/>
  <c r="DM212" i="4"/>
  <c r="DK212" i="4"/>
  <c r="DH212" i="4"/>
  <c r="DG212" i="4"/>
  <c r="DT211" i="4"/>
  <c r="DS211" i="4"/>
  <c r="DR211" i="4"/>
  <c r="DO211" i="4"/>
  <c r="DN211" i="4"/>
  <c r="DM211" i="4"/>
  <c r="DK211" i="4"/>
  <c r="DH211" i="4"/>
  <c r="DG211" i="4"/>
  <c r="DT210" i="4"/>
  <c r="DS210" i="4"/>
  <c r="DR210" i="4"/>
  <c r="DO210" i="4"/>
  <c r="DN210" i="4"/>
  <c r="DM210" i="4"/>
  <c r="DK210" i="4"/>
  <c r="DH210" i="4"/>
  <c r="DG210" i="4"/>
  <c r="DT209" i="4"/>
  <c r="DS209" i="4"/>
  <c r="DR209" i="4"/>
  <c r="DO209" i="4"/>
  <c r="DN209" i="4"/>
  <c r="DM209" i="4"/>
  <c r="DK209" i="4"/>
  <c r="DX209" i="4" s="1"/>
  <c r="EC209" i="4" s="1"/>
  <c r="ED209" i="4" s="1"/>
  <c r="DH209" i="4"/>
  <c r="DG209" i="4"/>
  <c r="DT208" i="4"/>
  <c r="DS208" i="4"/>
  <c r="DR208" i="4"/>
  <c r="DO208" i="4"/>
  <c r="DN208" i="4"/>
  <c r="DM208" i="4"/>
  <c r="DK208" i="4"/>
  <c r="DH208" i="4"/>
  <c r="DG208" i="4"/>
  <c r="DT207" i="4"/>
  <c r="DS207" i="4"/>
  <c r="DR207" i="4"/>
  <c r="DO207" i="4"/>
  <c r="DN207" i="4"/>
  <c r="DM207" i="4"/>
  <c r="DK207" i="4"/>
  <c r="DH207" i="4"/>
  <c r="DG207" i="4"/>
  <c r="DT206" i="4"/>
  <c r="DS206" i="4"/>
  <c r="DR206" i="4"/>
  <c r="DO206" i="4"/>
  <c r="DN206" i="4"/>
  <c r="DM206" i="4"/>
  <c r="DK206" i="4"/>
  <c r="DH206" i="4"/>
  <c r="DG206" i="4"/>
  <c r="DT205" i="4"/>
  <c r="DS205" i="4"/>
  <c r="DR205" i="4"/>
  <c r="DO205" i="4"/>
  <c r="DN205" i="4"/>
  <c r="DM205" i="4"/>
  <c r="DK205" i="4"/>
  <c r="DH205" i="4"/>
  <c r="DG205" i="4"/>
  <c r="DT204" i="4"/>
  <c r="DS204" i="4"/>
  <c r="DR204" i="4"/>
  <c r="DO204" i="4"/>
  <c r="DN204" i="4"/>
  <c r="DM204" i="4"/>
  <c r="DK204" i="4"/>
  <c r="DH204" i="4"/>
  <c r="DG204" i="4"/>
  <c r="DT203" i="4"/>
  <c r="DS203" i="4"/>
  <c r="DR203" i="4"/>
  <c r="DO203" i="4"/>
  <c r="DN203" i="4"/>
  <c r="DM203" i="4"/>
  <c r="DK203" i="4"/>
  <c r="DH203" i="4"/>
  <c r="DG203" i="4"/>
  <c r="DT202" i="4"/>
  <c r="DS202" i="4"/>
  <c r="DR202" i="4"/>
  <c r="DO202" i="4"/>
  <c r="DN202" i="4"/>
  <c r="DM202" i="4"/>
  <c r="DK202" i="4"/>
  <c r="DH202" i="4"/>
  <c r="DG202" i="4"/>
  <c r="DT201" i="4"/>
  <c r="DS201" i="4"/>
  <c r="DR201" i="4"/>
  <c r="DO201" i="4"/>
  <c r="DN201" i="4"/>
  <c r="DM201" i="4"/>
  <c r="DK201" i="4"/>
  <c r="DX201" i="4" s="1"/>
  <c r="EC201" i="4" s="1"/>
  <c r="ED201" i="4" s="1"/>
  <c r="DH201" i="4"/>
  <c r="DG201" i="4"/>
  <c r="DT200" i="4"/>
  <c r="DS200" i="4"/>
  <c r="DR200" i="4"/>
  <c r="DO200" i="4"/>
  <c r="DN200" i="4"/>
  <c r="DM200" i="4"/>
  <c r="DK200" i="4"/>
  <c r="DH200" i="4"/>
  <c r="DG200" i="4"/>
  <c r="DT199" i="4"/>
  <c r="DS199" i="4"/>
  <c r="DR199" i="4"/>
  <c r="DO199" i="4"/>
  <c r="DN199" i="4"/>
  <c r="DM199" i="4"/>
  <c r="DK199" i="4"/>
  <c r="DH199" i="4"/>
  <c r="DG199" i="4"/>
  <c r="DT198" i="4"/>
  <c r="DS198" i="4"/>
  <c r="DR198" i="4"/>
  <c r="DO198" i="4"/>
  <c r="DN198" i="4"/>
  <c r="DM198" i="4"/>
  <c r="DK198" i="4"/>
  <c r="DH198" i="4"/>
  <c r="DG198" i="4"/>
  <c r="DT197" i="4"/>
  <c r="DS197" i="4"/>
  <c r="DR197" i="4"/>
  <c r="DO197" i="4"/>
  <c r="DN197" i="4"/>
  <c r="DM197" i="4"/>
  <c r="DK197" i="4"/>
  <c r="DH197" i="4"/>
  <c r="DG197" i="4"/>
  <c r="DT196" i="4"/>
  <c r="DS196" i="4"/>
  <c r="DR196" i="4"/>
  <c r="DO196" i="4"/>
  <c r="DN196" i="4"/>
  <c r="DM196" i="4"/>
  <c r="DK196" i="4"/>
  <c r="DH196" i="4"/>
  <c r="DG196" i="4"/>
  <c r="DT195" i="4"/>
  <c r="DS195" i="4"/>
  <c r="DR195" i="4"/>
  <c r="DO195" i="4"/>
  <c r="DN195" i="4"/>
  <c r="DM195" i="4"/>
  <c r="DK195" i="4"/>
  <c r="DH195" i="4"/>
  <c r="DG195" i="4"/>
  <c r="DT194" i="4"/>
  <c r="DS194" i="4"/>
  <c r="DR194" i="4"/>
  <c r="DO194" i="4"/>
  <c r="DN194" i="4"/>
  <c r="DM194" i="4"/>
  <c r="DK194" i="4"/>
  <c r="DH194" i="4"/>
  <c r="DG194" i="4"/>
  <c r="DT193" i="4"/>
  <c r="DS193" i="4"/>
  <c r="DR193" i="4"/>
  <c r="DO193" i="4"/>
  <c r="DN193" i="4"/>
  <c r="DM193" i="4"/>
  <c r="DK193" i="4"/>
  <c r="DX193" i="4" s="1"/>
  <c r="EC193" i="4" s="1"/>
  <c r="ED193" i="4" s="1"/>
  <c r="DH193" i="4"/>
  <c r="DG193" i="4"/>
  <c r="DT192" i="4"/>
  <c r="DS192" i="4"/>
  <c r="DR192" i="4"/>
  <c r="DO192" i="4"/>
  <c r="DN192" i="4"/>
  <c r="DM192" i="4"/>
  <c r="DK192" i="4"/>
  <c r="DH192" i="4"/>
  <c r="DG192" i="4"/>
  <c r="DT191" i="4"/>
  <c r="DS191" i="4"/>
  <c r="DR191" i="4"/>
  <c r="DO191" i="4"/>
  <c r="DN191" i="4"/>
  <c r="DM191" i="4"/>
  <c r="DK191" i="4"/>
  <c r="DH191" i="4"/>
  <c r="DG191" i="4"/>
  <c r="DT190" i="4"/>
  <c r="DS190" i="4"/>
  <c r="DR190" i="4"/>
  <c r="DO190" i="4"/>
  <c r="DN190" i="4"/>
  <c r="DM190" i="4"/>
  <c r="DK190" i="4"/>
  <c r="DH190" i="4"/>
  <c r="DG190" i="4"/>
  <c r="DT189" i="4"/>
  <c r="DS189" i="4"/>
  <c r="DR189" i="4"/>
  <c r="DO189" i="4"/>
  <c r="DN189" i="4"/>
  <c r="DM189" i="4"/>
  <c r="DK189" i="4"/>
  <c r="DH189" i="4"/>
  <c r="DG189" i="4"/>
  <c r="DT188" i="4"/>
  <c r="DS188" i="4"/>
  <c r="DR188" i="4"/>
  <c r="DO188" i="4"/>
  <c r="DN188" i="4"/>
  <c r="DM188" i="4"/>
  <c r="DK188" i="4"/>
  <c r="DH188" i="4"/>
  <c r="DG188" i="4"/>
  <c r="DT187" i="4"/>
  <c r="DS187" i="4"/>
  <c r="DR187" i="4"/>
  <c r="DO187" i="4"/>
  <c r="DN187" i="4"/>
  <c r="DM187" i="4"/>
  <c r="DK187" i="4"/>
  <c r="DH187" i="4"/>
  <c r="DG187" i="4"/>
  <c r="DT186" i="4"/>
  <c r="DS186" i="4"/>
  <c r="DR186" i="4"/>
  <c r="DO186" i="4"/>
  <c r="DN186" i="4"/>
  <c r="DM186" i="4"/>
  <c r="DK186" i="4"/>
  <c r="DH186" i="4"/>
  <c r="DG186" i="4"/>
  <c r="DT185" i="4"/>
  <c r="DS185" i="4"/>
  <c r="DR185" i="4"/>
  <c r="DO185" i="4"/>
  <c r="DN185" i="4"/>
  <c r="DM185" i="4"/>
  <c r="DK185" i="4"/>
  <c r="DH185" i="4"/>
  <c r="DG185" i="4"/>
  <c r="DT184" i="4"/>
  <c r="DS184" i="4"/>
  <c r="DR184" i="4"/>
  <c r="DO184" i="4"/>
  <c r="DN184" i="4"/>
  <c r="DM184" i="4"/>
  <c r="DK184" i="4"/>
  <c r="DH184" i="4"/>
  <c r="DG184" i="4"/>
  <c r="DT183" i="4"/>
  <c r="DS183" i="4"/>
  <c r="DR183" i="4"/>
  <c r="DO183" i="4"/>
  <c r="DN183" i="4"/>
  <c r="DM183" i="4"/>
  <c r="DK183" i="4"/>
  <c r="DH183" i="4"/>
  <c r="DG183" i="4"/>
  <c r="DT182" i="4"/>
  <c r="DS182" i="4"/>
  <c r="DR182" i="4"/>
  <c r="DO182" i="4"/>
  <c r="DN182" i="4"/>
  <c r="DM182" i="4"/>
  <c r="DK182" i="4"/>
  <c r="DH182" i="4"/>
  <c r="DG182" i="4"/>
  <c r="DT181" i="4"/>
  <c r="DS181" i="4"/>
  <c r="DR181" i="4"/>
  <c r="DO181" i="4"/>
  <c r="DN181" i="4"/>
  <c r="DM181" i="4"/>
  <c r="DK181" i="4"/>
  <c r="DH181" i="4"/>
  <c r="DG181" i="4"/>
  <c r="DT180" i="4"/>
  <c r="DS180" i="4"/>
  <c r="DR180" i="4"/>
  <c r="DO180" i="4"/>
  <c r="DN180" i="4"/>
  <c r="DM180" i="4"/>
  <c r="DK180" i="4"/>
  <c r="DH180" i="4"/>
  <c r="DG180" i="4"/>
  <c r="DT179" i="4"/>
  <c r="DS179" i="4"/>
  <c r="DR179" i="4"/>
  <c r="DO179" i="4"/>
  <c r="DN179" i="4"/>
  <c r="DM179" i="4"/>
  <c r="DK179" i="4"/>
  <c r="DH179" i="4"/>
  <c r="DG179" i="4"/>
  <c r="DT178" i="4"/>
  <c r="DS178" i="4"/>
  <c r="DR178" i="4"/>
  <c r="DO178" i="4"/>
  <c r="DN178" i="4"/>
  <c r="DM178" i="4"/>
  <c r="DK178" i="4"/>
  <c r="DH178" i="4"/>
  <c r="DG178" i="4"/>
  <c r="DT177" i="4"/>
  <c r="DS177" i="4"/>
  <c r="DR177" i="4"/>
  <c r="DO177" i="4"/>
  <c r="DN177" i="4"/>
  <c r="DM177" i="4"/>
  <c r="DK177" i="4"/>
  <c r="DX177" i="4" s="1"/>
  <c r="EC177" i="4" s="1"/>
  <c r="ED177" i="4" s="1"/>
  <c r="DH177" i="4"/>
  <c r="DG177" i="4"/>
  <c r="DT176" i="4"/>
  <c r="DS176" i="4"/>
  <c r="DR176" i="4"/>
  <c r="DO176" i="4"/>
  <c r="DN176" i="4"/>
  <c r="DM176" i="4"/>
  <c r="DK176" i="4"/>
  <c r="DH176" i="4"/>
  <c r="DG176" i="4"/>
  <c r="DT175" i="4"/>
  <c r="DS175" i="4"/>
  <c r="DR175" i="4"/>
  <c r="DO175" i="4"/>
  <c r="DN175" i="4"/>
  <c r="DM175" i="4"/>
  <c r="DK175" i="4"/>
  <c r="DH175" i="4"/>
  <c r="DG175" i="4"/>
  <c r="DT174" i="4"/>
  <c r="DS174" i="4"/>
  <c r="DR174" i="4"/>
  <c r="DO174" i="4"/>
  <c r="DN174" i="4"/>
  <c r="DM174" i="4"/>
  <c r="DK174" i="4"/>
  <c r="DH174" i="4"/>
  <c r="DG174" i="4"/>
  <c r="DT173" i="4"/>
  <c r="DS173" i="4"/>
  <c r="DR173" i="4"/>
  <c r="DO173" i="4"/>
  <c r="DN173" i="4"/>
  <c r="DM173" i="4"/>
  <c r="DK173" i="4"/>
  <c r="DH173" i="4"/>
  <c r="DG173" i="4"/>
  <c r="DT172" i="4"/>
  <c r="DS172" i="4"/>
  <c r="DR172" i="4"/>
  <c r="DO172" i="4"/>
  <c r="DN172" i="4"/>
  <c r="DM172" i="4"/>
  <c r="DK172" i="4"/>
  <c r="DH172" i="4"/>
  <c r="DG172" i="4"/>
  <c r="DT171" i="4"/>
  <c r="DS171" i="4"/>
  <c r="DR171" i="4"/>
  <c r="DO171" i="4"/>
  <c r="DN171" i="4"/>
  <c r="DM171" i="4"/>
  <c r="DK171" i="4"/>
  <c r="DH171" i="4"/>
  <c r="DG171" i="4"/>
  <c r="DT170" i="4"/>
  <c r="DS170" i="4"/>
  <c r="DR170" i="4"/>
  <c r="DO170" i="4"/>
  <c r="DN170" i="4"/>
  <c r="DM170" i="4"/>
  <c r="DK170" i="4"/>
  <c r="DH170" i="4"/>
  <c r="DG170" i="4"/>
  <c r="DT169" i="4"/>
  <c r="DS169" i="4"/>
  <c r="DR169" i="4"/>
  <c r="DO169" i="4"/>
  <c r="DN169" i="4"/>
  <c r="DM169" i="4"/>
  <c r="DK169" i="4"/>
  <c r="DX169" i="4" s="1"/>
  <c r="EC169" i="4" s="1"/>
  <c r="ED169" i="4" s="1"/>
  <c r="DH169" i="4"/>
  <c r="DG169" i="4"/>
  <c r="DT168" i="4"/>
  <c r="DS168" i="4"/>
  <c r="DR168" i="4"/>
  <c r="DO168" i="4"/>
  <c r="DN168" i="4"/>
  <c r="DM168" i="4"/>
  <c r="DK168" i="4"/>
  <c r="DH168" i="4"/>
  <c r="DG168" i="4"/>
  <c r="DT167" i="4"/>
  <c r="DS167" i="4"/>
  <c r="DR167" i="4"/>
  <c r="DO167" i="4"/>
  <c r="DN167" i="4"/>
  <c r="DM167" i="4"/>
  <c r="DK167" i="4"/>
  <c r="DH167" i="4"/>
  <c r="DG167" i="4"/>
  <c r="DT166" i="4"/>
  <c r="DS166" i="4"/>
  <c r="DR166" i="4"/>
  <c r="DO166" i="4"/>
  <c r="DN166" i="4"/>
  <c r="DM166" i="4"/>
  <c r="DK166" i="4"/>
  <c r="DH166" i="4"/>
  <c r="DG166" i="4"/>
  <c r="DT165" i="4"/>
  <c r="DS165" i="4"/>
  <c r="DR165" i="4"/>
  <c r="DO165" i="4"/>
  <c r="DN165" i="4"/>
  <c r="DM165" i="4"/>
  <c r="DK165" i="4"/>
  <c r="DH165" i="4"/>
  <c r="DG165" i="4"/>
  <c r="DT164" i="4"/>
  <c r="DS164" i="4"/>
  <c r="DR164" i="4"/>
  <c r="DO164" i="4"/>
  <c r="DN164" i="4"/>
  <c r="DM164" i="4"/>
  <c r="DK164" i="4"/>
  <c r="DH164" i="4"/>
  <c r="DG164" i="4"/>
  <c r="DT163" i="4"/>
  <c r="DS163" i="4"/>
  <c r="DR163" i="4"/>
  <c r="DO163" i="4"/>
  <c r="DN163" i="4"/>
  <c r="DM163" i="4"/>
  <c r="DK163" i="4"/>
  <c r="DH163" i="4"/>
  <c r="DG163" i="4"/>
  <c r="DT162" i="4"/>
  <c r="DS162" i="4"/>
  <c r="DR162" i="4"/>
  <c r="DO162" i="4"/>
  <c r="DN162" i="4"/>
  <c r="DM162" i="4"/>
  <c r="DK162" i="4"/>
  <c r="DH162" i="4"/>
  <c r="DG162" i="4"/>
  <c r="DT161" i="4"/>
  <c r="DS161" i="4"/>
  <c r="DR161" i="4"/>
  <c r="DO161" i="4"/>
  <c r="DN161" i="4"/>
  <c r="DM161" i="4"/>
  <c r="DK161" i="4"/>
  <c r="DX161" i="4" s="1"/>
  <c r="EC161" i="4" s="1"/>
  <c r="ED161" i="4" s="1"/>
  <c r="DH161" i="4"/>
  <c r="DG161" i="4"/>
  <c r="DT160" i="4"/>
  <c r="DS160" i="4"/>
  <c r="DR160" i="4"/>
  <c r="DO160" i="4"/>
  <c r="DN160" i="4"/>
  <c r="DM160" i="4"/>
  <c r="DK160" i="4"/>
  <c r="DH160" i="4"/>
  <c r="DG160" i="4"/>
  <c r="DT159" i="4"/>
  <c r="DS159" i="4"/>
  <c r="DR159" i="4"/>
  <c r="DO159" i="4"/>
  <c r="DN159" i="4"/>
  <c r="DM159" i="4"/>
  <c r="DK159" i="4"/>
  <c r="DH159" i="4"/>
  <c r="DG159" i="4"/>
  <c r="DT158" i="4"/>
  <c r="DS158" i="4"/>
  <c r="DR158" i="4"/>
  <c r="DO158" i="4"/>
  <c r="DN158" i="4"/>
  <c r="DM158" i="4"/>
  <c r="DK158" i="4"/>
  <c r="DH158" i="4"/>
  <c r="DG158" i="4"/>
  <c r="DT157" i="4"/>
  <c r="DS157" i="4"/>
  <c r="DR157" i="4"/>
  <c r="DO157" i="4"/>
  <c r="DN157" i="4"/>
  <c r="DM157" i="4"/>
  <c r="DK157" i="4"/>
  <c r="DH157" i="4"/>
  <c r="DG157" i="4"/>
  <c r="DT156" i="4"/>
  <c r="DS156" i="4"/>
  <c r="DR156" i="4"/>
  <c r="DO156" i="4"/>
  <c r="DN156" i="4"/>
  <c r="DM156" i="4"/>
  <c r="DK156" i="4"/>
  <c r="DH156" i="4"/>
  <c r="DG156" i="4"/>
  <c r="DT155" i="4"/>
  <c r="DS155" i="4"/>
  <c r="DR155" i="4"/>
  <c r="DO155" i="4"/>
  <c r="DN155" i="4"/>
  <c r="DM155" i="4"/>
  <c r="DK155" i="4"/>
  <c r="DH155" i="4"/>
  <c r="DG155" i="4"/>
  <c r="DT154" i="4"/>
  <c r="DS154" i="4"/>
  <c r="DR154" i="4"/>
  <c r="DO154" i="4"/>
  <c r="DN154" i="4"/>
  <c r="DM154" i="4"/>
  <c r="DK154" i="4"/>
  <c r="DH154" i="4"/>
  <c r="DG154" i="4"/>
  <c r="DT153" i="4"/>
  <c r="DS153" i="4"/>
  <c r="DR153" i="4"/>
  <c r="DO153" i="4"/>
  <c r="DN153" i="4"/>
  <c r="DM153" i="4"/>
  <c r="DK153" i="4"/>
  <c r="DX153" i="4" s="1"/>
  <c r="EC153" i="4" s="1"/>
  <c r="ED153" i="4" s="1"/>
  <c r="DH153" i="4"/>
  <c r="DG153" i="4"/>
  <c r="DT152" i="4"/>
  <c r="DS152" i="4"/>
  <c r="DR152" i="4"/>
  <c r="DO152" i="4"/>
  <c r="DN152" i="4"/>
  <c r="DM152" i="4"/>
  <c r="DK152" i="4"/>
  <c r="DH152" i="4"/>
  <c r="DG152" i="4"/>
  <c r="DT151" i="4"/>
  <c r="DS151" i="4"/>
  <c r="DR151" i="4"/>
  <c r="DO151" i="4"/>
  <c r="DN151" i="4"/>
  <c r="DM151" i="4"/>
  <c r="DK151" i="4"/>
  <c r="DH151" i="4"/>
  <c r="DG151" i="4"/>
  <c r="DT150" i="4"/>
  <c r="DS150" i="4"/>
  <c r="DR150" i="4"/>
  <c r="DO150" i="4"/>
  <c r="DN150" i="4"/>
  <c r="DM150" i="4"/>
  <c r="DK150" i="4"/>
  <c r="DH150" i="4"/>
  <c r="DG150" i="4"/>
  <c r="DT149" i="4"/>
  <c r="DS149" i="4"/>
  <c r="DR149" i="4"/>
  <c r="DO149" i="4"/>
  <c r="DN149" i="4"/>
  <c r="DM149" i="4"/>
  <c r="DK149" i="4"/>
  <c r="DH149" i="4"/>
  <c r="DG149" i="4"/>
  <c r="DT148" i="4"/>
  <c r="DS148" i="4"/>
  <c r="DR148" i="4"/>
  <c r="DO148" i="4"/>
  <c r="DN148" i="4"/>
  <c r="DM148" i="4"/>
  <c r="DK148" i="4"/>
  <c r="DH148" i="4"/>
  <c r="DG148" i="4"/>
  <c r="DT147" i="4"/>
  <c r="DS147" i="4"/>
  <c r="DR147" i="4"/>
  <c r="DO147" i="4"/>
  <c r="DN147" i="4"/>
  <c r="DM147" i="4"/>
  <c r="DK147" i="4"/>
  <c r="DH147" i="4"/>
  <c r="DG147" i="4"/>
  <c r="DT146" i="4"/>
  <c r="DS146" i="4"/>
  <c r="DR146" i="4"/>
  <c r="DO146" i="4"/>
  <c r="DN146" i="4"/>
  <c r="DM146" i="4"/>
  <c r="DK146" i="4"/>
  <c r="DH146" i="4"/>
  <c r="DG146" i="4"/>
  <c r="DT145" i="4"/>
  <c r="DS145" i="4"/>
  <c r="DR145" i="4"/>
  <c r="DO145" i="4"/>
  <c r="DN145" i="4"/>
  <c r="DM145" i="4"/>
  <c r="DK145" i="4"/>
  <c r="DX145" i="4" s="1"/>
  <c r="EC145" i="4" s="1"/>
  <c r="ED145" i="4" s="1"/>
  <c r="DH145" i="4"/>
  <c r="DG145" i="4"/>
  <c r="DT144" i="4"/>
  <c r="DS144" i="4"/>
  <c r="DR144" i="4"/>
  <c r="DO144" i="4"/>
  <c r="DN144" i="4"/>
  <c r="DM144" i="4"/>
  <c r="DK144" i="4"/>
  <c r="DH144" i="4"/>
  <c r="DG144" i="4"/>
  <c r="DT143" i="4"/>
  <c r="DS143" i="4"/>
  <c r="DR143" i="4"/>
  <c r="DO143" i="4"/>
  <c r="DN143" i="4"/>
  <c r="DM143" i="4"/>
  <c r="DK143" i="4"/>
  <c r="DH143" i="4"/>
  <c r="DG143" i="4"/>
  <c r="DT142" i="4"/>
  <c r="DS142" i="4"/>
  <c r="DR142" i="4"/>
  <c r="DO142" i="4"/>
  <c r="DN142" i="4"/>
  <c r="DM142" i="4"/>
  <c r="DK142" i="4"/>
  <c r="DH142" i="4"/>
  <c r="DG142" i="4"/>
  <c r="DT141" i="4"/>
  <c r="DS141" i="4"/>
  <c r="DR141" i="4"/>
  <c r="DO141" i="4"/>
  <c r="DN141" i="4"/>
  <c r="DM141" i="4"/>
  <c r="DK141" i="4"/>
  <c r="DH141" i="4"/>
  <c r="DG141" i="4"/>
  <c r="DT140" i="4"/>
  <c r="DS140" i="4"/>
  <c r="DR140" i="4"/>
  <c r="DO140" i="4"/>
  <c r="DN140" i="4"/>
  <c r="DM140" i="4"/>
  <c r="DK140" i="4"/>
  <c r="DH140" i="4"/>
  <c r="DG140" i="4"/>
  <c r="DT139" i="4"/>
  <c r="DS139" i="4"/>
  <c r="DR139" i="4"/>
  <c r="DO139" i="4"/>
  <c r="DN139" i="4"/>
  <c r="DM139" i="4"/>
  <c r="DK139" i="4"/>
  <c r="DH139" i="4"/>
  <c r="DG139" i="4"/>
  <c r="DT138" i="4"/>
  <c r="DS138" i="4"/>
  <c r="DR138" i="4"/>
  <c r="DO138" i="4"/>
  <c r="DN138" i="4"/>
  <c r="DM138" i="4"/>
  <c r="DK138" i="4"/>
  <c r="DH138" i="4"/>
  <c r="DG138" i="4"/>
  <c r="DT137" i="4"/>
  <c r="DS137" i="4"/>
  <c r="DR137" i="4"/>
  <c r="DO137" i="4"/>
  <c r="DN137" i="4"/>
  <c r="DM137" i="4"/>
  <c r="DK137" i="4"/>
  <c r="DX137" i="4" s="1"/>
  <c r="EC137" i="4" s="1"/>
  <c r="ED137" i="4" s="1"/>
  <c r="DH137" i="4"/>
  <c r="DG137" i="4"/>
  <c r="DT136" i="4"/>
  <c r="DS136" i="4"/>
  <c r="DR136" i="4"/>
  <c r="DO136" i="4"/>
  <c r="DN136" i="4"/>
  <c r="DM136" i="4"/>
  <c r="DK136" i="4"/>
  <c r="DH136" i="4"/>
  <c r="DG136" i="4"/>
  <c r="DT135" i="4"/>
  <c r="DS135" i="4"/>
  <c r="DR135" i="4"/>
  <c r="DO135" i="4"/>
  <c r="DN135" i="4"/>
  <c r="DM135" i="4"/>
  <c r="DK135" i="4"/>
  <c r="DH135" i="4"/>
  <c r="DG135" i="4"/>
  <c r="DT134" i="4"/>
  <c r="DS134" i="4"/>
  <c r="DR134" i="4"/>
  <c r="DO134" i="4"/>
  <c r="DN134" i="4"/>
  <c r="DM134" i="4"/>
  <c r="DK134" i="4"/>
  <c r="DH134" i="4"/>
  <c r="DG134" i="4"/>
  <c r="DT133" i="4"/>
  <c r="DS133" i="4"/>
  <c r="DR133" i="4"/>
  <c r="DO133" i="4"/>
  <c r="DN133" i="4"/>
  <c r="DM133" i="4"/>
  <c r="DK133" i="4"/>
  <c r="DH133" i="4"/>
  <c r="DG133" i="4"/>
  <c r="DT132" i="4"/>
  <c r="DS132" i="4"/>
  <c r="DR132" i="4"/>
  <c r="DO132" i="4"/>
  <c r="DN132" i="4"/>
  <c r="DM132" i="4"/>
  <c r="DK132" i="4"/>
  <c r="DH132" i="4"/>
  <c r="DG132" i="4"/>
  <c r="DT131" i="4"/>
  <c r="DS131" i="4"/>
  <c r="DR131" i="4"/>
  <c r="DO131" i="4"/>
  <c r="DN131" i="4"/>
  <c r="DM131" i="4"/>
  <c r="DK131" i="4"/>
  <c r="DH131" i="4"/>
  <c r="DG131" i="4"/>
  <c r="DT130" i="4"/>
  <c r="DS130" i="4"/>
  <c r="DR130" i="4"/>
  <c r="DO130" i="4"/>
  <c r="DN130" i="4"/>
  <c r="DM130" i="4"/>
  <c r="DK130" i="4"/>
  <c r="DH130" i="4"/>
  <c r="DG130" i="4"/>
  <c r="DT129" i="4"/>
  <c r="DS129" i="4"/>
  <c r="DR129" i="4"/>
  <c r="DO129" i="4"/>
  <c r="DN129" i="4"/>
  <c r="DM129" i="4"/>
  <c r="DK129" i="4"/>
  <c r="DX129" i="4" s="1"/>
  <c r="EC129" i="4" s="1"/>
  <c r="ED129" i="4" s="1"/>
  <c r="DH129" i="4"/>
  <c r="DG129" i="4"/>
  <c r="DT128" i="4"/>
  <c r="DS128" i="4"/>
  <c r="DR128" i="4"/>
  <c r="DO128" i="4"/>
  <c r="DN128" i="4"/>
  <c r="DM128" i="4"/>
  <c r="DK128" i="4"/>
  <c r="DH128" i="4"/>
  <c r="DG128" i="4"/>
  <c r="DT127" i="4"/>
  <c r="DS127" i="4"/>
  <c r="DR127" i="4"/>
  <c r="DO127" i="4"/>
  <c r="DN127" i="4"/>
  <c r="DM127" i="4"/>
  <c r="DK127" i="4"/>
  <c r="DH127" i="4"/>
  <c r="DG127" i="4"/>
  <c r="DT126" i="4"/>
  <c r="DS126" i="4"/>
  <c r="DR126" i="4"/>
  <c r="DO126" i="4"/>
  <c r="DN126" i="4"/>
  <c r="DM126" i="4"/>
  <c r="DK126" i="4"/>
  <c r="DH126" i="4"/>
  <c r="DG126" i="4"/>
  <c r="DT125" i="4"/>
  <c r="DS125" i="4"/>
  <c r="DR125" i="4"/>
  <c r="DO125" i="4"/>
  <c r="DN125" i="4"/>
  <c r="DM125" i="4"/>
  <c r="DK125" i="4"/>
  <c r="DH125" i="4"/>
  <c r="DG125" i="4"/>
  <c r="DT124" i="4"/>
  <c r="DS124" i="4"/>
  <c r="DR124" i="4"/>
  <c r="DO124" i="4"/>
  <c r="DN124" i="4"/>
  <c r="DM124" i="4"/>
  <c r="DK124" i="4"/>
  <c r="DH124" i="4"/>
  <c r="DG124" i="4"/>
  <c r="DT123" i="4"/>
  <c r="DS123" i="4"/>
  <c r="DR123" i="4"/>
  <c r="DO123" i="4"/>
  <c r="DN123" i="4"/>
  <c r="DM123" i="4"/>
  <c r="DK123" i="4"/>
  <c r="DH123" i="4"/>
  <c r="DG123" i="4"/>
  <c r="DT122" i="4"/>
  <c r="DS122" i="4"/>
  <c r="DR122" i="4"/>
  <c r="DO122" i="4"/>
  <c r="DN122" i="4"/>
  <c r="DM122" i="4"/>
  <c r="DK122" i="4"/>
  <c r="DH122" i="4"/>
  <c r="DG122" i="4"/>
  <c r="DT121" i="4"/>
  <c r="DS121" i="4"/>
  <c r="DR121" i="4"/>
  <c r="DO121" i="4"/>
  <c r="DN121" i="4"/>
  <c r="DM121" i="4"/>
  <c r="DK121" i="4"/>
  <c r="DX121" i="4" s="1"/>
  <c r="EC121" i="4" s="1"/>
  <c r="ED121" i="4" s="1"/>
  <c r="DH121" i="4"/>
  <c r="DG121" i="4"/>
  <c r="DT120" i="4"/>
  <c r="DS120" i="4"/>
  <c r="DR120" i="4"/>
  <c r="DO120" i="4"/>
  <c r="DN120" i="4"/>
  <c r="DM120" i="4"/>
  <c r="DK120" i="4"/>
  <c r="DH120" i="4"/>
  <c r="DG120" i="4"/>
  <c r="DT119" i="4"/>
  <c r="DS119" i="4"/>
  <c r="DR119" i="4"/>
  <c r="DO119" i="4"/>
  <c r="DN119" i="4"/>
  <c r="DM119" i="4"/>
  <c r="DK119" i="4"/>
  <c r="DH119" i="4"/>
  <c r="DG119" i="4"/>
  <c r="DT118" i="4"/>
  <c r="DS118" i="4"/>
  <c r="DR118" i="4"/>
  <c r="DO118" i="4"/>
  <c r="DN118" i="4"/>
  <c r="DM118" i="4"/>
  <c r="DK118" i="4"/>
  <c r="DH118" i="4"/>
  <c r="DG118" i="4"/>
  <c r="DT117" i="4"/>
  <c r="DS117" i="4"/>
  <c r="DR117" i="4"/>
  <c r="DO117" i="4"/>
  <c r="DN117" i="4"/>
  <c r="DM117" i="4"/>
  <c r="DK117" i="4"/>
  <c r="DH117" i="4"/>
  <c r="DG117" i="4"/>
  <c r="DT116" i="4"/>
  <c r="DS116" i="4"/>
  <c r="DR116" i="4"/>
  <c r="DO116" i="4"/>
  <c r="DN116" i="4"/>
  <c r="DM116" i="4"/>
  <c r="DK116" i="4"/>
  <c r="DH116" i="4"/>
  <c r="DG116" i="4"/>
  <c r="DT115" i="4"/>
  <c r="DS115" i="4"/>
  <c r="DR115" i="4"/>
  <c r="DO115" i="4"/>
  <c r="DN115" i="4"/>
  <c r="DM115" i="4"/>
  <c r="DK115" i="4"/>
  <c r="DH115" i="4"/>
  <c r="DG115" i="4"/>
  <c r="DT114" i="4"/>
  <c r="DS114" i="4"/>
  <c r="DR114" i="4"/>
  <c r="DO114" i="4"/>
  <c r="DN114" i="4"/>
  <c r="DM114" i="4"/>
  <c r="DK114" i="4"/>
  <c r="DH114" i="4"/>
  <c r="DG114" i="4"/>
  <c r="DT113" i="4"/>
  <c r="DS113" i="4"/>
  <c r="DR113" i="4"/>
  <c r="DO113" i="4"/>
  <c r="DN113" i="4"/>
  <c r="DM113" i="4"/>
  <c r="DK113" i="4"/>
  <c r="DX113" i="4" s="1"/>
  <c r="EC113" i="4" s="1"/>
  <c r="ED113" i="4" s="1"/>
  <c r="DH113" i="4"/>
  <c r="DG113" i="4"/>
  <c r="DT112" i="4"/>
  <c r="DS112" i="4"/>
  <c r="DR112" i="4"/>
  <c r="DO112" i="4"/>
  <c r="DN112" i="4"/>
  <c r="DM112" i="4"/>
  <c r="DK112" i="4"/>
  <c r="DH112" i="4"/>
  <c r="DG112" i="4"/>
  <c r="DT111" i="4"/>
  <c r="DS111" i="4"/>
  <c r="DR111" i="4"/>
  <c r="DO111" i="4"/>
  <c r="DN111" i="4"/>
  <c r="DM111" i="4"/>
  <c r="DK111" i="4"/>
  <c r="DH111" i="4"/>
  <c r="DG111" i="4"/>
  <c r="DT110" i="4"/>
  <c r="DS110" i="4"/>
  <c r="DR110" i="4"/>
  <c r="DO110" i="4"/>
  <c r="DN110" i="4"/>
  <c r="DM110" i="4"/>
  <c r="DK110" i="4"/>
  <c r="DH110" i="4"/>
  <c r="DG110" i="4"/>
  <c r="DT109" i="4"/>
  <c r="DS109" i="4"/>
  <c r="DR109" i="4"/>
  <c r="DO109" i="4"/>
  <c r="DN109" i="4"/>
  <c r="DM109" i="4"/>
  <c r="DK109" i="4"/>
  <c r="DH109" i="4"/>
  <c r="DG109" i="4"/>
  <c r="DT108" i="4"/>
  <c r="DS108" i="4"/>
  <c r="DR108" i="4"/>
  <c r="DO108" i="4"/>
  <c r="DN108" i="4"/>
  <c r="DM108" i="4"/>
  <c r="DK108" i="4"/>
  <c r="DH108" i="4"/>
  <c r="DG108" i="4"/>
  <c r="DT107" i="4"/>
  <c r="DS107" i="4"/>
  <c r="DR107" i="4"/>
  <c r="DO107" i="4"/>
  <c r="DN107" i="4"/>
  <c r="DM107" i="4"/>
  <c r="DK107" i="4"/>
  <c r="DH107" i="4"/>
  <c r="DG107" i="4"/>
  <c r="DT106" i="4"/>
  <c r="DS106" i="4"/>
  <c r="DR106" i="4"/>
  <c r="DO106" i="4"/>
  <c r="DN106" i="4"/>
  <c r="DM106" i="4"/>
  <c r="DK106" i="4"/>
  <c r="DH106" i="4"/>
  <c r="DG106" i="4"/>
  <c r="DT105" i="4"/>
  <c r="DS105" i="4"/>
  <c r="DR105" i="4"/>
  <c r="DO105" i="4"/>
  <c r="DN105" i="4"/>
  <c r="DM105" i="4"/>
  <c r="DK105" i="4"/>
  <c r="DX105" i="4" s="1"/>
  <c r="EC105" i="4" s="1"/>
  <c r="ED105" i="4" s="1"/>
  <c r="DH105" i="4"/>
  <c r="DG105" i="4"/>
  <c r="DT104" i="4"/>
  <c r="DS104" i="4"/>
  <c r="DR104" i="4"/>
  <c r="DO104" i="4"/>
  <c r="DN104" i="4"/>
  <c r="DM104" i="4"/>
  <c r="DK104" i="4"/>
  <c r="DH104" i="4"/>
  <c r="DG104" i="4"/>
  <c r="DT103" i="4"/>
  <c r="DS103" i="4"/>
  <c r="DR103" i="4"/>
  <c r="DO103" i="4"/>
  <c r="DN103" i="4"/>
  <c r="DM103" i="4"/>
  <c r="DK103" i="4"/>
  <c r="DH103" i="4"/>
  <c r="DG103" i="4"/>
  <c r="DT102" i="4"/>
  <c r="DS102" i="4"/>
  <c r="DR102" i="4"/>
  <c r="DO102" i="4"/>
  <c r="DN102" i="4"/>
  <c r="DM102" i="4"/>
  <c r="DK102" i="4"/>
  <c r="DH102" i="4"/>
  <c r="DG102" i="4"/>
  <c r="DT101" i="4"/>
  <c r="DS101" i="4"/>
  <c r="DR101" i="4"/>
  <c r="DO101" i="4"/>
  <c r="DN101" i="4"/>
  <c r="DM101" i="4"/>
  <c r="DK101" i="4"/>
  <c r="DH101" i="4"/>
  <c r="DG101" i="4"/>
  <c r="DT100" i="4"/>
  <c r="DS100" i="4"/>
  <c r="DR100" i="4"/>
  <c r="DO100" i="4"/>
  <c r="DN100" i="4"/>
  <c r="DM100" i="4"/>
  <c r="DK100" i="4"/>
  <c r="DH100" i="4"/>
  <c r="DG100" i="4"/>
  <c r="DT99" i="4"/>
  <c r="DS99" i="4"/>
  <c r="DR99" i="4"/>
  <c r="DO99" i="4"/>
  <c r="DN99" i="4"/>
  <c r="DM99" i="4"/>
  <c r="DK99" i="4"/>
  <c r="DH99" i="4"/>
  <c r="DG99" i="4"/>
  <c r="DT98" i="4"/>
  <c r="DS98" i="4"/>
  <c r="DR98" i="4"/>
  <c r="DO98" i="4"/>
  <c r="DN98" i="4"/>
  <c r="DM98" i="4"/>
  <c r="DK98" i="4"/>
  <c r="DH98" i="4"/>
  <c r="DG98" i="4"/>
  <c r="DT97" i="4"/>
  <c r="DS97" i="4"/>
  <c r="DR97" i="4"/>
  <c r="DO97" i="4"/>
  <c r="DN97" i="4"/>
  <c r="DM97" i="4"/>
  <c r="DK97" i="4"/>
  <c r="DX97" i="4" s="1"/>
  <c r="EC97" i="4" s="1"/>
  <c r="ED97" i="4" s="1"/>
  <c r="DH97" i="4"/>
  <c r="DG97" i="4"/>
  <c r="DT96" i="4"/>
  <c r="DS96" i="4"/>
  <c r="DR96" i="4"/>
  <c r="DO96" i="4"/>
  <c r="DN96" i="4"/>
  <c r="DM96" i="4"/>
  <c r="DK96" i="4"/>
  <c r="DH96" i="4"/>
  <c r="DG96" i="4"/>
  <c r="DT95" i="4"/>
  <c r="DS95" i="4"/>
  <c r="DR95" i="4"/>
  <c r="DO95" i="4"/>
  <c r="DN95" i="4"/>
  <c r="DM95" i="4"/>
  <c r="DK95" i="4"/>
  <c r="DH95" i="4"/>
  <c r="DG95" i="4"/>
  <c r="DT94" i="4"/>
  <c r="DS94" i="4"/>
  <c r="DR94" i="4"/>
  <c r="DO94" i="4"/>
  <c r="DN94" i="4"/>
  <c r="DM94" i="4"/>
  <c r="DK94" i="4"/>
  <c r="DH94" i="4"/>
  <c r="DG94" i="4"/>
  <c r="DT93" i="4"/>
  <c r="DS93" i="4"/>
  <c r="DR93" i="4"/>
  <c r="DO93" i="4"/>
  <c r="DN93" i="4"/>
  <c r="DM93" i="4"/>
  <c r="DK93" i="4"/>
  <c r="DH93" i="4"/>
  <c r="DG93" i="4"/>
  <c r="DT92" i="4"/>
  <c r="DS92" i="4"/>
  <c r="DR92" i="4"/>
  <c r="DO92" i="4"/>
  <c r="DN92" i="4"/>
  <c r="DM92" i="4"/>
  <c r="DK92" i="4"/>
  <c r="DH92" i="4"/>
  <c r="DG92" i="4"/>
  <c r="DT91" i="4"/>
  <c r="DS91" i="4"/>
  <c r="DR91" i="4"/>
  <c r="DO91" i="4"/>
  <c r="DN91" i="4"/>
  <c r="DM91" i="4"/>
  <c r="DK91" i="4"/>
  <c r="DH91" i="4"/>
  <c r="DG91" i="4"/>
  <c r="DT90" i="4"/>
  <c r="DS90" i="4"/>
  <c r="DR90" i="4"/>
  <c r="DO90" i="4"/>
  <c r="DN90" i="4"/>
  <c r="DM90" i="4"/>
  <c r="DK90" i="4"/>
  <c r="DH90" i="4"/>
  <c r="DG90" i="4"/>
  <c r="DT89" i="4"/>
  <c r="DS89" i="4"/>
  <c r="DR89" i="4"/>
  <c r="DO89" i="4"/>
  <c r="DN89" i="4"/>
  <c r="DM89" i="4"/>
  <c r="DK89" i="4"/>
  <c r="DX89" i="4" s="1"/>
  <c r="EC89" i="4" s="1"/>
  <c r="ED89" i="4" s="1"/>
  <c r="DH89" i="4"/>
  <c r="DG89" i="4"/>
  <c r="DT88" i="4"/>
  <c r="DS88" i="4"/>
  <c r="DR88" i="4"/>
  <c r="DO88" i="4"/>
  <c r="DN88" i="4"/>
  <c r="DM88" i="4"/>
  <c r="DK88" i="4"/>
  <c r="DH88" i="4"/>
  <c r="DG88" i="4"/>
  <c r="DT87" i="4"/>
  <c r="DS87" i="4"/>
  <c r="DR87" i="4"/>
  <c r="DO87" i="4"/>
  <c r="DN87" i="4"/>
  <c r="DM87" i="4"/>
  <c r="DK87" i="4"/>
  <c r="DH87" i="4"/>
  <c r="DG87" i="4"/>
  <c r="DT86" i="4"/>
  <c r="DS86" i="4"/>
  <c r="DR86" i="4"/>
  <c r="DO86" i="4"/>
  <c r="DN86" i="4"/>
  <c r="DM86" i="4"/>
  <c r="DK86" i="4"/>
  <c r="DH86" i="4"/>
  <c r="DG86" i="4"/>
  <c r="DT85" i="4"/>
  <c r="DS85" i="4"/>
  <c r="DR85" i="4"/>
  <c r="DO85" i="4"/>
  <c r="DN85" i="4"/>
  <c r="DM85" i="4"/>
  <c r="DK85" i="4"/>
  <c r="DH85" i="4"/>
  <c r="DG85" i="4"/>
  <c r="DT84" i="4"/>
  <c r="DS84" i="4"/>
  <c r="DR84" i="4"/>
  <c r="DO84" i="4"/>
  <c r="DN84" i="4"/>
  <c r="DM84" i="4"/>
  <c r="DK84" i="4"/>
  <c r="DH84" i="4"/>
  <c r="DG84" i="4"/>
  <c r="DT83" i="4"/>
  <c r="DS83" i="4"/>
  <c r="DR83" i="4"/>
  <c r="DO83" i="4"/>
  <c r="DN83" i="4"/>
  <c r="DM83" i="4"/>
  <c r="DK83" i="4"/>
  <c r="DH83" i="4"/>
  <c r="DG83" i="4"/>
  <c r="DT82" i="4"/>
  <c r="DS82" i="4"/>
  <c r="DR82" i="4"/>
  <c r="DO82" i="4"/>
  <c r="DN82" i="4"/>
  <c r="DM82" i="4"/>
  <c r="DK82" i="4"/>
  <c r="DH82" i="4"/>
  <c r="DG82" i="4"/>
  <c r="DT81" i="4"/>
  <c r="DS81" i="4"/>
  <c r="DR81" i="4"/>
  <c r="DO81" i="4"/>
  <c r="DN81" i="4"/>
  <c r="DM81" i="4"/>
  <c r="DK81" i="4"/>
  <c r="DX81" i="4" s="1"/>
  <c r="EC81" i="4" s="1"/>
  <c r="ED81" i="4" s="1"/>
  <c r="DH81" i="4"/>
  <c r="DG81" i="4"/>
  <c r="DT80" i="4"/>
  <c r="DS80" i="4"/>
  <c r="DR80" i="4"/>
  <c r="DO80" i="4"/>
  <c r="DN80" i="4"/>
  <c r="DM80" i="4"/>
  <c r="DK80" i="4"/>
  <c r="DH80" i="4"/>
  <c r="DG80" i="4"/>
  <c r="DT79" i="4"/>
  <c r="DS79" i="4"/>
  <c r="DR79" i="4"/>
  <c r="DO79" i="4"/>
  <c r="DN79" i="4"/>
  <c r="DM79" i="4"/>
  <c r="DK79" i="4"/>
  <c r="DH79" i="4"/>
  <c r="DG79" i="4"/>
  <c r="DT78" i="4"/>
  <c r="DS78" i="4"/>
  <c r="DR78" i="4"/>
  <c r="DO78" i="4"/>
  <c r="DN78" i="4"/>
  <c r="DM78" i="4"/>
  <c r="DK78" i="4"/>
  <c r="DH78" i="4"/>
  <c r="DG78" i="4"/>
  <c r="DT77" i="4"/>
  <c r="DS77" i="4"/>
  <c r="DR77" i="4"/>
  <c r="DO77" i="4"/>
  <c r="DN77" i="4"/>
  <c r="DM77" i="4"/>
  <c r="DK77" i="4"/>
  <c r="DH77" i="4"/>
  <c r="DG77" i="4"/>
  <c r="DT76" i="4"/>
  <c r="DS76" i="4"/>
  <c r="DR76" i="4"/>
  <c r="DO76" i="4"/>
  <c r="DN76" i="4"/>
  <c r="DM76" i="4"/>
  <c r="DK76" i="4"/>
  <c r="DH76" i="4"/>
  <c r="DG76" i="4"/>
  <c r="DT75" i="4"/>
  <c r="DS75" i="4"/>
  <c r="DR75" i="4"/>
  <c r="DO75" i="4"/>
  <c r="DN75" i="4"/>
  <c r="DM75" i="4"/>
  <c r="DK75" i="4"/>
  <c r="DH75" i="4"/>
  <c r="DG75" i="4"/>
  <c r="DT74" i="4"/>
  <c r="DS74" i="4"/>
  <c r="DR74" i="4"/>
  <c r="DO74" i="4"/>
  <c r="DN74" i="4"/>
  <c r="DM74" i="4"/>
  <c r="DK74" i="4"/>
  <c r="DH74" i="4"/>
  <c r="DG74" i="4"/>
  <c r="DT73" i="4"/>
  <c r="DS73" i="4"/>
  <c r="DR73" i="4"/>
  <c r="DO73" i="4"/>
  <c r="DN73" i="4"/>
  <c r="DM73" i="4"/>
  <c r="DK73" i="4"/>
  <c r="DX73" i="4" s="1"/>
  <c r="EC73" i="4" s="1"/>
  <c r="ED73" i="4" s="1"/>
  <c r="DH73" i="4"/>
  <c r="DG73" i="4"/>
  <c r="DT72" i="4"/>
  <c r="DS72" i="4"/>
  <c r="DR72" i="4"/>
  <c r="DO72" i="4"/>
  <c r="DN72" i="4"/>
  <c r="DM72" i="4"/>
  <c r="DK72" i="4"/>
  <c r="DH72" i="4"/>
  <c r="DG72" i="4"/>
  <c r="DT71" i="4"/>
  <c r="DS71" i="4"/>
  <c r="DR71" i="4"/>
  <c r="DO71" i="4"/>
  <c r="DN71" i="4"/>
  <c r="DM71" i="4"/>
  <c r="DK71" i="4"/>
  <c r="DH71" i="4"/>
  <c r="DG71" i="4"/>
  <c r="DT70" i="4"/>
  <c r="DS70" i="4"/>
  <c r="DR70" i="4"/>
  <c r="DO70" i="4"/>
  <c r="DN70" i="4"/>
  <c r="DM70" i="4"/>
  <c r="DK70" i="4"/>
  <c r="DH70" i="4"/>
  <c r="DG70" i="4"/>
  <c r="DT69" i="4"/>
  <c r="DS69" i="4"/>
  <c r="DR69" i="4"/>
  <c r="DO69" i="4"/>
  <c r="DN69" i="4"/>
  <c r="DM69" i="4"/>
  <c r="DK69" i="4"/>
  <c r="DH69" i="4"/>
  <c r="DG69" i="4"/>
  <c r="DT68" i="4"/>
  <c r="DS68" i="4"/>
  <c r="DR68" i="4"/>
  <c r="DO68" i="4"/>
  <c r="DN68" i="4"/>
  <c r="DM68" i="4"/>
  <c r="DK68" i="4"/>
  <c r="DH68" i="4"/>
  <c r="DG68" i="4"/>
  <c r="DT67" i="4"/>
  <c r="DS67" i="4"/>
  <c r="DR67" i="4"/>
  <c r="DO67" i="4"/>
  <c r="DN67" i="4"/>
  <c r="DM67" i="4"/>
  <c r="DK67" i="4"/>
  <c r="DH67" i="4"/>
  <c r="DG67" i="4"/>
  <c r="DT66" i="4"/>
  <c r="DS66" i="4"/>
  <c r="DR66" i="4"/>
  <c r="DO66" i="4"/>
  <c r="DN66" i="4"/>
  <c r="DM66" i="4"/>
  <c r="DK66" i="4"/>
  <c r="DH66" i="4"/>
  <c r="DG66" i="4"/>
  <c r="DT65" i="4"/>
  <c r="DS65" i="4"/>
  <c r="DR65" i="4"/>
  <c r="DO65" i="4"/>
  <c r="DN65" i="4"/>
  <c r="DM65" i="4"/>
  <c r="DK65" i="4"/>
  <c r="DX65" i="4" s="1"/>
  <c r="EC65" i="4" s="1"/>
  <c r="ED65" i="4" s="1"/>
  <c r="DH65" i="4"/>
  <c r="DG65" i="4"/>
  <c r="DT64" i="4"/>
  <c r="DS64" i="4"/>
  <c r="DR64" i="4"/>
  <c r="DO64" i="4"/>
  <c r="DN64" i="4"/>
  <c r="DM64" i="4"/>
  <c r="DK64" i="4"/>
  <c r="DH64" i="4"/>
  <c r="DG64" i="4"/>
  <c r="DT63" i="4"/>
  <c r="DS63" i="4"/>
  <c r="DR63" i="4"/>
  <c r="DO63" i="4"/>
  <c r="DN63" i="4"/>
  <c r="DM63" i="4"/>
  <c r="DK63" i="4"/>
  <c r="DH63" i="4"/>
  <c r="DG63" i="4"/>
  <c r="DT62" i="4"/>
  <c r="DS62" i="4"/>
  <c r="DR62" i="4"/>
  <c r="DO62" i="4"/>
  <c r="DN62" i="4"/>
  <c r="DM62" i="4"/>
  <c r="DK62" i="4"/>
  <c r="DH62" i="4"/>
  <c r="DG62" i="4"/>
  <c r="DT61" i="4"/>
  <c r="DS61" i="4"/>
  <c r="DR61" i="4"/>
  <c r="DO61" i="4"/>
  <c r="DN61" i="4"/>
  <c r="DM61" i="4"/>
  <c r="DK61" i="4"/>
  <c r="DH61" i="4"/>
  <c r="DG61" i="4"/>
  <c r="DT60" i="4"/>
  <c r="DS60" i="4"/>
  <c r="DR60" i="4"/>
  <c r="DO60" i="4"/>
  <c r="DN60" i="4"/>
  <c r="DM60" i="4"/>
  <c r="DK60" i="4"/>
  <c r="DH60" i="4"/>
  <c r="DG60" i="4"/>
  <c r="DT59" i="4"/>
  <c r="DS59" i="4"/>
  <c r="DR59" i="4"/>
  <c r="DO59" i="4"/>
  <c r="DN59" i="4"/>
  <c r="DM59" i="4"/>
  <c r="DK59" i="4"/>
  <c r="DH59" i="4"/>
  <c r="DG59" i="4"/>
  <c r="DT58" i="4"/>
  <c r="DS58" i="4"/>
  <c r="DR58" i="4"/>
  <c r="DO58" i="4"/>
  <c r="DN58" i="4"/>
  <c r="DM58" i="4"/>
  <c r="DK58" i="4"/>
  <c r="DH58" i="4"/>
  <c r="DG58" i="4"/>
  <c r="DT57" i="4"/>
  <c r="DS57" i="4"/>
  <c r="DR57" i="4"/>
  <c r="DO57" i="4"/>
  <c r="DN57" i="4"/>
  <c r="DM57" i="4"/>
  <c r="DK57" i="4"/>
  <c r="DX57" i="4" s="1"/>
  <c r="EC57" i="4" s="1"/>
  <c r="ED57" i="4" s="1"/>
  <c r="DH57" i="4"/>
  <c r="DG57" i="4"/>
  <c r="DT56" i="4"/>
  <c r="DS56" i="4"/>
  <c r="DR56" i="4"/>
  <c r="DO56" i="4"/>
  <c r="DN56" i="4"/>
  <c r="DM56" i="4"/>
  <c r="DK56" i="4"/>
  <c r="DH56" i="4"/>
  <c r="DG56" i="4"/>
  <c r="DT55" i="4"/>
  <c r="DS55" i="4"/>
  <c r="DR55" i="4"/>
  <c r="DO55" i="4"/>
  <c r="DN55" i="4"/>
  <c r="DM55" i="4"/>
  <c r="DK55" i="4"/>
  <c r="DH55" i="4"/>
  <c r="DG55" i="4"/>
  <c r="DT54" i="4"/>
  <c r="DS54" i="4"/>
  <c r="DR54" i="4"/>
  <c r="DO54" i="4"/>
  <c r="DN54" i="4"/>
  <c r="DM54" i="4"/>
  <c r="DK54" i="4"/>
  <c r="DH54" i="4"/>
  <c r="DG54" i="4"/>
  <c r="DT53" i="4"/>
  <c r="DS53" i="4"/>
  <c r="DR53" i="4"/>
  <c r="DO53" i="4"/>
  <c r="DN53" i="4"/>
  <c r="DM53" i="4"/>
  <c r="DK53" i="4"/>
  <c r="DH53" i="4"/>
  <c r="DG53" i="4"/>
  <c r="DT52" i="4"/>
  <c r="DS52" i="4"/>
  <c r="DR52" i="4"/>
  <c r="DO52" i="4"/>
  <c r="DN52" i="4"/>
  <c r="DM52" i="4"/>
  <c r="DK52" i="4"/>
  <c r="DH52" i="4"/>
  <c r="DG52" i="4"/>
  <c r="DT51" i="4"/>
  <c r="DS51" i="4"/>
  <c r="DR51" i="4"/>
  <c r="DO51" i="4"/>
  <c r="DN51" i="4"/>
  <c r="DM51" i="4"/>
  <c r="DK51" i="4"/>
  <c r="DH51" i="4"/>
  <c r="DG51" i="4"/>
  <c r="DT50" i="4"/>
  <c r="DS50" i="4"/>
  <c r="DR50" i="4"/>
  <c r="DO50" i="4"/>
  <c r="DN50" i="4"/>
  <c r="DM50" i="4"/>
  <c r="DK50" i="4"/>
  <c r="DH50" i="4"/>
  <c r="DG50" i="4"/>
  <c r="DT49" i="4"/>
  <c r="DS49" i="4"/>
  <c r="DR49" i="4"/>
  <c r="DO49" i="4"/>
  <c r="DN49" i="4"/>
  <c r="DM49" i="4"/>
  <c r="DK49" i="4"/>
  <c r="DX49" i="4" s="1"/>
  <c r="EC49" i="4" s="1"/>
  <c r="ED49" i="4" s="1"/>
  <c r="DH49" i="4"/>
  <c r="DG49" i="4"/>
  <c r="DT48" i="4"/>
  <c r="DS48" i="4"/>
  <c r="DR48" i="4"/>
  <c r="DO48" i="4"/>
  <c r="DN48" i="4"/>
  <c r="DM48" i="4"/>
  <c r="DK48" i="4"/>
  <c r="DH48" i="4"/>
  <c r="DG48" i="4"/>
  <c r="DT47" i="4"/>
  <c r="DS47" i="4"/>
  <c r="DR47" i="4"/>
  <c r="DO47" i="4"/>
  <c r="DN47" i="4"/>
  <c r="DM47" i="4"/>
  <c r="DK47" i="4"/>
  <c r="DH47" i="4"/>
  <c r="DG47" i="4"/>
  <c r="DT46" i="4"/>
  <c r="DS46" i="4"/>
  <c r="DR46" i="4"/>
  <c r="DO46" i="4"/>
  <c r="DN46" i="4"/>
  <c r="DM46" i="4"/>
  <c r="DK46" i="4"/>
  <c r="DH46" i="4"/>
  <c r="DG46" i="4"/>
  <c r="DT45" i="4"/>
  <c r="DS45" i="4"/>
  <c r="DR45" i="4"/>
  <c r="DO45" i="4"/>
  <c r="DN45" i="4"/>
  <c r="DM45" i="4"/>
  <c r="DK45" i="4"/>
  <c r="DH45" i="4"/>
  <c r="DG45" i="4"/>
  <c r="DT44" i="4"/>
  <c r="DS44" i="4"/>
  <c r="DR44" i="4"/>
  <c r="DO44" i="4"/>
  <c r="DN44" i="4"/>
  <c r="DM44" i="4"/>
  <c r="DK44" i="4"/>
  <c r="DH44" i="4"/>
  <c r="DG44" i="4"/>
  <c r="DT43" i="4"/>
  <c r="DS43" i="4"/>
  <c r="DR43" i="4"/>
  <c r="DO43" i="4"/>
  <c r="DN43" i="4"/>
  <c r="DM43" i="4"/>
  <c r="DK43" i="4"/>
  <c r="DH43" i="4"/>
  <c r="DG43" i="4"/>
  <c r="DT42" i="4"/>
  <c r="DS42" i="4"/>
  <c r="DR42" i="4"/>
  <c r="DO42" i="4"/>
  <c r="DN42" i="4"/>
  <c r="DM42" i="4"/>
  <c r="DK42" i="4"/>
  <c r="DH42" i="4"/>
  <c r="DG42" i="4"/>
  <c r="DT41" i="4"/>
  <c r="DS41" i="4"/>
  <c r="DR41" i="4"/>
  <c r="DO41" i="4"/>
  <c r="DN41" i="4"/>
  <c r="DM41" i="4"/>
  <c r="DK41" i="4"/>
  <c r="DX41" i="4" s="1"/>
  <c r="EC41" i="4" s="1"/>
  <c r="ED41" i="4" s="1"/>
  <c r="DH41" i="4"/>
  <c r="DG41" i="4"/>
  <c r="DT40" i="4"/>
  <c r="DS40" i="4"/>
  <c r="DR40" i="4"/>
  <c r="DO40" i="4"/>
  <c r="DN40" i="4"/>
  <c r="DM40" i="4"/>
  <c r="DK40" i="4"/>
  <c r="DH40" i="4"/>
  <c r="DG40" i="4"/>
  <c r="DT39" i="4"/>
  <c r="DS39" i="4"/>
  <c r="DR39" i="4"/>
  <c r="DO39" i="4"/>
  <c r="DN39" i="4"/>
  <c r="DM39" i="4"/>
  <c r="DK39" i="4"/>
  <c r="DH39" i="4"/>
  <c r="DG39" i="4"/>
  <c r="DT38" i="4"/>
  <c r="DS38" i="4"/>
  <c r="DR38" i="4"/>
  <c r="DO38" i="4"/>
  <c r="DN38" i="4"/>
  <c r="DM38" i="4"/>
  <c r="DK38" i="4"/>
  <c r="DH38" i="4"/>
  <c r="DG38" i="4"/>
  <c r="DT37" i="4"/>
  <c r="DS37" i="4"/>
  <c r="DR37" i="4"/>
  <c r="DO37" i="4"/>
  <c r="DN37" i="4"/>
  <c r="DM37" i="4"/>
  <c r="DK37" i="4"/>
  <c r="DH37" i="4"/>
  <c r="DG37" i="4"/>
  <c r="DT36" i="4"/>
  <c r="DS36" i="4"/>
  <c r="DR36" i="4"/>
  <c r="DO36" i="4"/>
  <c r="DN36" i="4"/>
  <c r="DM36" i="4"/>
  <c r="DK36" i="4"/>
  <c r="DH36" i="4"/>
  <c r="DG36" i="4"/>
  <c r="DT35" i="4"/>
  <c r="DS35" i="4"/>
  <c r="DR35" i="4"/>
  <c r="DO35" i="4"/>
  <c r="DN35" i="4"/>
  <c r="DM35" i="4"/>
  <c r="DK35" i="4"/>
  <c r="DH35" i="4"/>
  <c r="DG35" i="4"/>
  <c r="DT34" i="4"/>
  <c r="DS34" i="4"/>
  <c r="DR34" i="4"/>
  <c r="DO34" i="4"/>
  <c r="DN34" i="4"/>
  <c r="DM34" i="4"/>
  <c r="DK34" i="4"/>
  <c r="DH34" i="4"/>
  <c r="DG34" i="4"/>
  <c r="DT33" i="4"/>
  <c r="DS33" i="4"/>
  <c r="DR33" i="4"/>
  <c r="DO33" i="4"/>
  <c r="DN33" i="4"/>
  <c r="DM33" i="4"/>
  <c r="DK33" i="4"/>
  <c r="DX33" i="4" s="1"/>
  <c r="EC33" i="4" s="1"/>
  <c r="ED33" i="4" s="1"/>
  <c r="DH33" i="4"/>
  <c r="DG33" i="4"/>
  <c r="DT32" i="4"/>
  <c r="DS32" i="4"/>
  <c r="DR32" i="4"/>
  <c r="DO32" i="4"/>
  <c r="DN32" i="4"/>
  <c r="DM32" i="4"/>
  <c r="DK32" i="4"/>
  <c r="DH32" i="4"/>
  <c r="DG32" i="4"/>
  <c r="DT31" i="4"/>
  <c r="DS31" i="4"/>
  <c r="DR31" i="4"/>
  <c r="DO31" i="4"/>
  <c r="DN31" i="4"/>
  <c r="DM31" i="4"/>
  <c r="DK31" i="4"/>
  <c r="DH31" i="4"/>
  <c r="DG31" i="4"/>
  <c r="DT30" i="4"/>
  <c r="DS30" i="4"/>
  <c r="DR30" i="4"/>
  <c r="DO30" i="4"/>
  <c r="DN30" i="4"/>
  <c r="DM30" i="4"/>
  <c r="DK30" i="4"/>
  <c r="DH30" i="4"/>
  <c r="DG30" i="4"/>
  <c r="DT29" i="4"/>
  <c r="DS29" i="4"/>
  <c r="DR29" i="4"/>
  <c r="DO29" i="4"/>
  <c r="DN29" i="4"/>
  <c r="DM29" i="4"/>
  <c r="DK29" i="4"/>
  <c r="DH29" i="4"/>
  <c r="DG29" i="4"/>
  <c r="DT28" i="4"/>
  <c r="DS28" i="4"/>
  <c r="DR28" i="4"/>
  <c r="DO28" i="4"/>
  <c r="DN28" i="4"/>
  <c r="DM28" i="4"/>
  <c r="DK28" i="4"/>
  <c r="DH28" i="4"/>
  <c r="DG28" i="4"/>
  <c r="DT27" i="4"/>
  <c r="DS27" i="4"/>
  <c r="DR27" i="4"/>
  <c r="DO27" i="4"/>
  <c r="DN27" i="4"/>
  <c r="DM27" i="4"/>
  <c r="DK27" i="4"/>
  <c r="DH27" i="4"/>
  <c r="DG27" i="4"/>
  <c r="DT26" i="4"/>
  <c r="DS26" i="4"/>
  <c r="DR26" i="4"/>
  <c r="DO26" i="4"/>
  <c r="DN26" i="4"/>
  <c r="DM26" i="4"/>
  <c r="DK26" i="4"/>
  <c r="DH26" i="4"/>
  <c r="DG26" i="4"/>
  <c r="DT25" i="4"/>
  <c r="DS25" i="4"/>
  <c r="DR25" i="4"/>
  <c r="DO25" i="4"/>
  <c r="DN25" i="4"/>
  <c r="DM25" i="4"/>
  <c r="DK25" i="4"/>
  <c r="DX25" i="4" s="1"/>
  <c r="EC25" i="4" s="1"/>
  <c r="ED25" i="4" s="1"/>
  <c r="DH25" i="4"/>
  <c r="DG25" i="4"/>
  <c r="DT24" i="4"/>
  <c r="DS24" i="4"/>
  <c r="DR24" i="4"/>
  <c r="DO24" i="4"/>
  <c r="DN24" i="4"/>
  <c r="DM24" i="4"/>
  <c r="DK24" i="4"/>
  <c r="DH24" i="4"/>
  <c r="DG24" i="4"/>
  <c r="DT23" i="4"/>
  <c r="DS23" i="4"/>
  <c r="DR23" i="4"/>
  <c r="DO23" i="4"/>
  <c r="DN23" i="4"/>
  <c r="DM23" i="4"/>
  <c r="DK23" i="4"/>
  <c r="DH23" i="4"/>
  <c r="DG23" i="4"/>
  <c r="DT22" i="4"/>
  <c r="DS22" i="4"/>
  <c r="DR22" i="4"/>
  <c r="DO22" i="4"/>
  <c r="DN22" i="4"/>
  <c r="DM22" i="4"/>
  <c r="DK22" i="4"/>
  <c r="DH22" i="4"/>
  <c r="DG22" i="4"/>
  <c r="DT21" i="4"/>
  <c r="DS21" i="4"/>
  <c r="DR21" i="4"/>
  <c r="DO21" i="4"/>
  <c r="DN21" i="4"/>
  <c r="DM21" i="4"/>
  <c r="DK21" i="4"/>
  <c r="DH21" i="4"/>
  <c r="DG21" i="4"/>
  <c r="DT20" i="4"/>
  <c r="DS20" i="4"/>
  <c r="DR20" i="4"/>
  <c r="DO20" i="4"/>
  <c r="DN20" i="4"/>
  <c r="DM20" i="4"/>
  <c r="DK20" i="4"/>
  <c r="DH20" i="4"/>
  <c r="DG20" i="4"/>
  <c r="DT19" i="4"/>
  <c r="DS19" i="4"/>
  <c r="DR19" i="4"/>
  <c r="DO19" i="4"/>
  <c r="DN19" i="4"/>
  <c r="DM19" i="4"/>
  <c r="DK19" i="4"/>
  <c r="DH19" i="4"/>
  <c r="DG19" i="4"/>
  <c r="DT18" i="4"/>
  <c r="DS18" i="4"/>
  <c r="DR18" i="4"/>
  <c r="DO18" i="4"/>
  <c r="DN18" i="4"/>
  <c r="DM18" i="4"/>
  <c r="DK18" i="4"/>
  <c r="DH18" i="4"/>
  <c r="DG18" i="4"/>
  <c r="DT17" i="4"/>
  <c r="DS17" i="4"/>
  <c r="DR17" i="4"/>
  <c r="DO17" i="4"/>
  <c r="DN17" i="4"/>
  <c r="DM17" i="4"/>
  <c r="DK17" i="4"/>
  <c r="DX17" i="4" s="1"/>
  <c r="EC17" i="4" s="1"/>
  <c r="ED17" i="4" s="1"/>
  <c r="DH17" i="4"/>
  <c r="DG17" i="4"/>
  <c r="DT16" i="4"/>
  <c r="DS16" i="4"/>
  <c r="DR16" i="4"/>
  <c r="DO16" i="4"/>
  <c r="DN16" i="4"/>
  <c r="DM16" i="4"/>
  <c r="DK16" i="4"/>
  <c r="DH16" i="4"/>
  <c r="DG16" i="4"/>
  <c r="DT15" i="4"/>
  <c r="DS15" i="4"/>
  <c r="DR15" i="4"/>
  <c r="DO15" i="4"/>
  <c r="DN15" i="4"/>
  <c r="DM15" i="4"/>
  <c r="DK15" i="4"/>
  <c r="DH15" i="4"/>
  <c r="DG15" i="4"/>
  <c r="DT14" i="4"/>
  <c r="DS14" i="4"/>
  <c r="DR14" i="4"/>
  <c r="DO14" i="4"/>
  <c r="DN14" i="4"/>
  <c r="DM14" i="4"/>
  <c r="DK14" i="4"/>
  <c r="DH14" i="4"/>
  <c r="DG14" i="4"/>
  <c r="DT13" i="4"/>
  <c r="DS13" i="4"/>
  <c r="DR13" i="4"/>
  <c r="DO13" i="4"/>
  <c r="DN13" i="4"/>
  <c r="DM13" i="4"/>
  <c r="DK13" i="4"/>
  <c r="DH13" i="4"/>
  <c r="DG13" i="4"/>
  <c r="DT12" i="4"/>
  <c r="DS12" i="4"/>
  <c r="DR12" i="4"/>
  <c r="DO12" i="4"/>
  <c r="DN12" i="4"/>
  <c r="DM12" i="4"/>
  <c r="DK12" i="4"/>
  <c r="DH12" i="4"/>
  <c r="DG12" i="4"/>
  <c r="DT11" i="4"/>
  <c r="DS11" i="4"/>
  <c r="DR11" i="4"/>
  <c r="DO11" i="4"/>
  <c r="DN11" i="4"/>
  <c r="DM11" i="4"/>
  <c r="DK11" i="4"/>
  <c r="DH11" i="4"/>
  <c r="DG11" i="4"/>
  <c r="DT10" i="4"/>
  <c r="DS10" i="4"/>
  <c r="DR10" i="4"/>
  <c r="DO10" i="4"/>
  <c r="DN10" i="4"/>
  <c r="DM10" i="4"/>
  <c r="DK10" i="4"/>
  <c r="DH10" i="4"/>
  <c r="DG10" i="4"/>
  <c r="DT9" i="4"/>
  <c r="DS9" i="4"/>
  <c r="DR9" i="4"/>
  <c r="DO9" i="4"/>
  <c r="DN9" i="4"/>
  <c r="DM9" i="4"/>
  <c r="DK9" i="4"/>
  <c r="DX9" i="4" s="1"/>
  <c r="EC9" i="4" s="1"/>
  <c r="ED9" i="4" s="1"/>
  <c r="DH9" i="4"/>
  <c r="DG9" i="4"/>
  <c r="DT8" i="4"/>
  <c r="DS8" i="4"/>
  <c r="DR8" i="4"/>
  <c r="DO8" i="4"/>
  <c r="DN8" i="4"/>
  <c r="DM8" i="4"/>
  <c r="DK8" i="4"/>
  <c r="DH8" i="4"/>
  <c r="DG8" i="4"/>
  <c r="DT7" i="4"/>
  <c r="DS7" i="4"/>
  <c r="DR7" i="4"/>
  <c r="DO7" i="4"/>
  <c r="DN7" i="4"/>
  <c r="DM7" i="4"/>
  <c r="DK7" i="4"/>
  <c r="DH7" i="4"/>
  <c r="DG7" i="4"/>
  <c r="DT6" i="4"/>
  <c r="DS6" i="4"/>
  <c r="DR6" i="4"/>
  <c r="DO6" i="4"/>
  <c r="DN6" i="4"/>
  <c r="DM6" i="4"/>
  <c r="DK6" i="4"/>
  <c r="DH6" i="4"/>
  <c r="DG6" i="4"/>
  <c r="DT5" i="4"/>
  <c r="DS5" i="4"/>
  <c r="DR5" i="4"/>
  <c r="DO5" i="4"/>
  <c r="DN5" i="4"/>
  <c r="DM5" i="4"/>
  <c r="DK5" i="4"/>
  <c r="DH5" i="4"/>
  <c r="DG5" i="4"/>
  <c r="DT4" i="4"/>
  <c r="DS4" i="4"/>
  <c r="DR4" i="4"/>
  <c r="DO4" i="4"/>
  <c r="DN4" i="4"/>
  <c r="DM4" i="4"/>
  <c r="DK4" i="4"/>
  <c r="DH4" i="4"/>
  <c r="DG4" i="4"/>
  <c r="E234" i="36"/>
  <c r="DX68" i="4" l="1"/>
  <c r="EC68" i="4" s="1"/>
  <c r="ED68" i="4" s="1"/>
  <c r="DX76" i="4"/>
  <c r="EC76" i="4" s="1"/>
  <c r="ED76" i="4" s="1"/>
  <c r="DX252" i="4"/>
  <c r="EC252" i="4" s="1"/>
  <c r="ED252" i="4" s="1"/>
  <c r="DX287" i="4"/>
  <c r="EC287" i="4" s="1"/>
  <c r="ED287" i="4" s="1"/>
  <c r="DX297" i="4"/>
  <c r="EC297" i="4" s="1"/>
  <c r="ED297" i="4" s="1"/>
  <c r="DX303" i="4"/>
  <c r="EC303" i="4" s="1"/>
  <c r="ED303" i="4" s="1"/>
  <c r="DX307" i="4"/>
  <c r="EC307" i="4" s="1"/>
  <c r="ED307" i="4" s="1"/>
  <c r="DX6" i="4"/>
  <c r="EC6" i="4" s="1"/>
  <c r="ED6" i="4" s="1"/>
  <c r="DX14" i="4"/>
  <c r="EC14" i="4" s="1"/>
  <c r="ED14" i="4" s="1"/>
  <c r="DX22" i="4"/>
  <c r="EC22" i="4" s="1"/>
  <c r="ED22" i="4" s="1"/>
  <c r="DX30" i="4"/>
  <c r="EC30" i="4" s="1"/>
  <c r="ED30" i="4" s="1"/>
  <c r="DX38" i="4"/>
  <c r="EC38" i="4" s="1"/>
  <c r="ED38" i="4" s="1"/>
  <c r="DX46" i="4"/>
  <c r="EC46" i="4" s="1"/>
  <c r="ED46" i="4" s="1"/>
  <c r="DX54" i="4"/>
  <c r="EC54" i="4" s="1"/>
  <c r="ED54" i="4" s="1"/>
  <c r="DX62" i="4"/>
  <c r="EC62" i="4" s="1"/>
  <c r="ED62" i="4" s="1"/>
  <c r="DX70" i="4"/>
  <c r="EC70" i="4" s="1"/>
  <c r="ED70" i="4" s="1"/>
  <c r="DX78" i="4"/>
  <c r="EC78" i="4" s="1"/>
  <c r="ED78" i="4" s="1"/>
  <c r="DX86" i="4"/>
  <c r="EC86" i="4" s="1"/>
  <c r="ED86" i="4" s="1"/>
  <c r="DX94" i="4"/>
  <c r="EC94" i="4" s="1"/>
  <c r="ED94" i="4" s="1"/>
  <c r="DX102" i="4"/>
  <c r="EC102" i="4" s="1"/>
  <c r="ED102" i="4" s="1"/>
  <c r="DX110" i="4"/>
  <c r="EC110" i="4" s="1"/>
  <c r="ED110" i="4" s="1"/>
  <c r="DX118" i="4"/>
  <c r="EC118" i="4" s="1"/>
  <c r="ED118" i="4" s="1"/>
  <c r="DX126" i="4"/>
  <c r="EC126" i="4" s="1"/>
  <c r="ED126" i="4" s="1"/>
  <c r="DX134" i="4"/>
  <c r="EC134" i="4" s="1"/>
  <c r="ED134" i="4" s="1"/>
  <c r="DX142" i="4"/>
  <c r="EC142" i="4" s="1"/>
  <c r="ED142" i="4" s="1"/>
  <c r="DX150" i="4"/>
  <c r="EC150" i="4" s="1"/>
  <c r="ED150" i="4" s="1"/>
  <c r="DX158" i="4"/>
  <c r="EC158" i="4" s="1"/>
  <c r="ED158" i="4" s="1"/>
  <c r="DX166" i="4"/>
  <c r="EC166" i="4" s="1"/>
  <c r="ED166" i="4" s="1"/>
  <c r="DX174" i="4"/>
  <c r="EC174" i="4" s="1"/>
  <c r="ED174" i="4" s="1"/>
  <c r="DX182" i="4"/>
  <c r="EC182" i="4" s="1"/>
  <c r="ED182" i="4" s="1"/>
  <c r="DX190" i="4"/>
  <c r="EC190" i="4" s="1"/>
  <c r="ED190" i="4" s="1"/>
  <c r="DX198" i="4"/>
  <c r="EC198" i="4" s="1"/>
  <c r="ED198" i="4" s="1"/>
  <c r="DX206" i="4"/>
  <c r="EC206" i="4" s="1"/>
  <c r="ED206" i="4" s="1"/>
  <c r="DX214" i="4"/>
  <c r="EC214" i="4" s="1"/>
  <c r="ED214" i="4" s="1"/>
  <c r="DX222" i="4"/>
  <c r="EC222" i="4" s="1"/>
  <c r="ED222" i="4" s="1"/>
  <c r="DX230" i="4"/>
  <c r="EC230" i="4" s="1"/>
  <c r="ED230" i="4" s="1"/>
  <c r="DX238" i="4"/>
  <c r="EC238" i="4" s="1"/>
  <c r="ED238" i="4" s="1"/>
  <c r="DX246" i="4"/>
  <c r="EC246" i="4" s="1"/>
  <c r="ED246" i="4" s="1"/>
  <c r="DX254" i="4"/>
  <c r="EC254" i="4" s="1"/>
  <c r="ED254" i="4" s="1"/>
  <c r="DX262" i="4"/>
  <c r="EC262" i="4" s="1"/>
  <c r="ED262" i="4" s="1"/>
  <c r="DX270" i="4"/>
  <c r="EC270" i="4" s="1"/>
  <c r="ED270" i="4" s="1"/>
  <c r="DX278" i="4"/>
  <c r="EC278" i="4" s="1"/>
  <c r="ED278" i="4" s="1"/>
  <c r="DX286" i="4"/>
  <c r="EC286" i="4" s="1"/>
  <c r="ED286" i="4" s="1"/>
  <c r="DX290" i="4"/>
  <c r="EC290" i="4" s="1"/>
  <c r="ED290" i="4" s="1"/>
  <c r="DI311" i="4"/>
  <c r="DI313" i="4"/>
  <c r="DX12" i="4"/>
  <c r="EC12" i="4" s="1"/>
  <c r="ED12" i="4" s="1"/>
  <c r="DX28" i="4"/>
  <c r="EC28" i="4" s="1"/>
  <c r="ED28" i="4" s="1"/>
  <c r="DX52" i="4"/>
  <c r="EC52" i="4" s="1"/>
  <c r="ED52" i="4" s="1"/>
  <c r="DX60" i="4"/>
  <c r="EC60" i="4" s="1"/>
  <c r="ED60" i="4" s="1"/>
  <c r="DX108" i="4"/>
  <c r="EC108" i="4" s="1"/>
  <c r="ED108" i="4" s="1"/>
  <c r="DX116" i="4"/>
  <c r="EC116" i="4" s="1"/>
  <c r="ED116" i="4" s="1"/>
  <c r="DX156" i="4"/>
  <c r="EC156" i="4" s="1"/>
  <c r="ED156" i="4" s="1"/>
  <c r="DX204" i="4"/>
  <c r="EC204" i="4" s="1"/>
  <c r="ED204" i="4" s="1"/>
  <c r="DX228" i="4"/>
  <c r="EC228" i="4" s="1"/>
  <c r="ED228" i="4" s="1"/>
  <c r="DX291" i="4"/>
  <c r="EC291" i="4" s="1"/>
  <c r="ED291" i="4" s="1"/>
  <c r="DX7" i="4"/>
  <c r="EC7" i="4" s="1"/>
  <c r="ED7" i="4" s="1"/>
  <c r="DX15" i="4"/>
  <c r="EC15" i="4" s="1"/>
  <c r="ED15" i="4" s="1"/>
  <c r="DX23" i="4"/>
  <c r="EC23" i="4" s="1"/>
  <c r="ED23" i="4" s="1"/>
  <c r="DX31" i="4"/>
  <c r="EC31" i="4" s="1"/>
  <c r="ED31" i="4" s="1"/>
  <c r="DX39" i="4"/>
  <c r="EC39" i="4" s="1"/>
  <c r="ED39" i="4" s="1"/>
  <c r="DX47" i="4"/>
  <c r="EC47" i="4" s="1"/>
  <c r="ED47" i="4" s="1"/>
  <c r="DX55" i="4"/>
  <c r="EC55" i="4" s="1"/>
  <c r="ED55" i="4" s="1"/>
  <c r="DX63" i="4"/>
  <c r="EC63" i="4" s="1"/>
  <c r="ED63" i="4" s="1"/>
  <c r="DX71" i="4"/>
  <c r="EC71" i="4" s="1"/>
  <c r="ED71" i="4" s="1"/>
  <c r="DX79" i="4"/>
  <c r="EC79" i="4" s="1"/>
  <c r="ED79" i="4" s="1"/>
  <c r="DX87" i="4"/>
  <c r="EC87" i="4" s="1"/>
  <c r="ED87" i="4" s="1"/>
  <c r="DX95" i="4"/>
  <c r="EC95" i="4" s="1"/>
  <c r="ED95" i="4" s="1"/>
  <c r="DX103" i="4"/>
  <c r="EC103" i="4" s="1"/>
  <c r="ED103" i="4" s="1"/>
  <c r="DX111" i="4"/>
  <c r="EC111" i="4" s="1"/>
  <c r="ED111" i="4" s="1"/>
  <c r="DX119" i="4"/>
  <c r="EC119" i="4" s="1"/>
  <c r="ED119" i="4" s="1"/>
  <c r="DX127" i="4"/>
  <c r="EC127" i="4" s="1"/>
  <c r="ED127" i="4" s="1"/>
  <c r="DX135" i="4"/>
  <c r="EC135" i="4" s="1"/>
  <c r="ED135" i="4" s="1"/>
  <c r="DX143" i="4"/>
  <c r="EC143" i="4" s="1"/>
  <c r="ED143" i="4" s="1"/>
  <c r="DX151" i="4"/>
  <c r="EC151" i="4" s="1"/>
  <c r="ED151" i="4" s="1"/>
  <c r="DX159" i="4"/>
  <c r="EC159" i="4" s="1"/>
  <c r="ED159" i="4" s="1"/>
  <c r="DX167" i="4"/>
  <c r="EC167" i="4" s="1"/>
  <c r="ED167" i="4" s="1"/>
  <c r="DX175" i="4"/>
  <c r="EC175" i="4" s="1"/>
  <c r="ED175" i="4" s="1"/>
  <c r="DX183" i="4"/>
  <c r="EC183" i="4" s="1"/>
  <c r="ED183" i="4" s="1"/>
  <c r="DX191" i="4"/>
  <c r="EC191" i="4" s="1"/>
  <c r="ED191" i="4" s="1"/>
  <c r="DX199" i="4"/>
  <c r="EC199" i="4" s="1"/>
  <c r="ED199" i="4" s="1"/>
  <c r="DX207" i="4"/>
  <c r="EC207" i="4" s="1"/>
  <c r="ED207" i="4" s="1"/>
  <c r="DX215" i="4"/>
  <c r="EC215" i="4" s="1"/>
  <c r="ED215" i="4" s="1"/>
  <c r="DX223" i="4"/>
  <c r="EC223" i="4" s="1"/>
  <c r="ED223" i="4" s="1"/>
  <c r="DX231" i="4"/>
  <c r="EC231" i="4" s="1"/>
  <c r="ED231" i="4" s="1"/>
  <c r="DX239" i="4"/>
  <c r="EC239" i="4" s="1"/>
  <c r="ED239" i="4" s="1"/>
  <c r="DX247" i="4"/>
  <c r="EC247" i="4" s="1"/>
  <c r="ED247" i="4" s="1"/>
  <c r="DX255" i="4"/>
  <c r="EC255" i="4" s="1"/>
  <c r="ED255" i="4" s="1"/>
  <c r="DX263" i="4"/>
  <c r="EC263" i="4" s="1"/>
  <c r="ED263" i="4" s="1"/>
  <c r="DX271" i="4"/>
  <c r="EC271" i="4" s="1"/>
  <c r="ED271" i="4" s="1"/>
  <c r="DX279" i="4"/>
  <c r="EC279" i="4" s="1"/>
  <c r="ED279" i="4" s="1"/>
  <c r="DX185" i="4"/>
  <c r="EC185" i="4" s="1"/>
  <c r="ED185" i="4" s="1"/>
  <c r="DX20" i="4"/>
  <c r="EC20" i="4" s="1"/>
  <c r="ED20" i="4" s="1"/>
  <c r="DX92" i="4"/>
  <c r="EC92" i="4" s="1"/>
  <c r="ED92" i="4" s="1"/>
  <c r="DX132" i="4"/>
  <c r="EC132" i="4" s="1"/>
  <c r="ED132" i="4" s="1"/>
  <c r="DX140" i="4"/>
  <c r="EC140" i="4" s="1"/>
  <c r="ED140" i="4" s="1"/>
  <c r="DX172" i="4"/>
  <c r="EC172" i="4" s="1"/>
  <c r="ED172" i="4" s="1"/>
  <c r="DX180" i="4"/>
  <c r="EC180" i="4" s="1"/>
  <c r="ED180" i="4" s="1"/>
  <c r="DX196" i="4"/>
  <c r="EC196" i="4" s="1"/>
  <c r="ED196" i="4" s="1"/>
  <c r="DX268" i="4"/>
  <c r="EC268" i="4" s="1"/>
  <c r="ED268" i="4" s="1"/>
  <c r="DX276" i="4"/>
  <c r="EC276" i="4" s="1"/>
  <c r="ED276" i="4" s="1"/>
  <c r="DX294" i="4"/>
  <c r="EC294" i="4" s="1"/>
  <c r="ED294" i="4" s="1"/>
  <c r="DX299" i="4"/>
  <c r="EC299" i="4" s="1"/>
  <c r="ED299" i="4" s="1"/>
  <c r="DX305" i="4"/>
  <c r="EC305" i="4" s="1"/>
  <c r="ED305" i="4" s="1"/>
  <c r="DX309" i="4"/>
  <c r="EC309" i="4" s="1"/>
  <c r="ED309" i="4" s="1"/>
  <c r="DX10" i="4"/>
  <c r="EC10" i="4" s="1"/>
  <c r="ED10" i="4" s="1"/>
  <c r="DX18" i="4"/>
  <c r="EC18" i="4" s="1"/>
  <c r="ED18" i="4" s="1"/>
  <c r="DX26" i="4"/>
  <c r="EC26" i="4" s="1"/>
  <c r="ED26" i="4" s="1"/>
  <c r="DX34" i="4"/>
  <c r="EC34" i="4" s="1"/>
  <c r="ED34" i="4" s="1"/>
  <c r="DX42" i="4"/>
  <c r="EC42" i="4" s="1"/>
  <c r="ED42" i="4" s="1"/>
  <c r="DX50" i="4"/>
  <c r="EC50" i="4" s="1"/>
  <c r="ED50" i="4" s="1"/>
  <c r="DX58" i="4"/>
  <c r="EC58" i="4" s="1"/>
  <c r="ED58" i="4" s="1"/>
  <c r="DX66" i="4"/>
  <c r="EC66" i="4" s="1"/>
  <c r="ED66" i="4" s="1"/>
  <c r="DX74" i="4"/>
  <c r="EC74" i="4" s="1"/>
  <c r="ED74" i="4" s="1"/>
  <c r="DX82" i="4"/>
  <c r="EC82" i="4" s="1"/>
  <c r="ED82" i="4" s="1"/>
  <c r="DX90" i="4"/>
  <c r="EC90" i="4" s="1"/>
  <c r="ED90" i="4" s="1"/>
  <c r="DX98" i="4"/>
  <c r="EC98" i="4" s="1"/>
  <c r="ED98" i="4" s="1"/>
  <c r="DX106" i="4"/>
  <c r="EC106" i="4" s="1"/>
  <c r="ED106" i="4" s="1"/>
  <c r="DX114" i="4"/>
  <c r="EC114" i="4" s="1"/>
  <c r="ED114" i="4" s="1"/>
  <c r="DX122" i="4"/>
  <c r="EC122" i="4" s="1"/>
  <c r="ED122" i="4" s="1"/>
  <c r="DX130" i="4"/>
  <c r="EC130" i="4" s="1"/>
  <c r="ED130" i="4" s="1"/>
  <c r="DX138" i="4"/>
  <c r="EC138" i="4" s="1"/>
  <c r="ED138" i="4" s="1"/>
  <c r="DX146" i="4"/>
  <c r="EC146" i="4" s="1"/>
  <c r="ED146" i="4" s="1"/>
  <c r="DX154" i="4"/>
  <c r="EC154" i="4" s="1"/>
  <c r="ED154" i="4" s="1"/>
  <c r="DX162" i="4"/>
  <c r="EC162" i="4" s="1"/>
  <c r="ED162" i="4" s="1"/>
  <c r="DX170" i="4"/>
  <c r="EC170" i="4" s="1"/>
  <c r="ED170" i="4" s="1"/>
  <c r="DX178" i="4"/>
  <c r="EC178" i="4" s="1"/>
  <c r="ED178" i="4" s="1"/>
  <c r="DX186" i="4"/>
  <c r="EC186" i="4" s="1"/>
  <c r="ED186" i="4" s="1"/>
  <c r="DX194" i="4"/>
  <c r="EC194" i="4" s="1"/>
  <c r="ED194" i="4" s="1"/>
  <c r="DX202" i="4"/>
  <c r="EC202" i="4" s="1"/>
  <c r="ED202" i="4" s="1"/>
  <c r="DX210" i="4"/>
  <c r="EC210" i="4" s="1"/>
  <c r="ED210" i="4" s="1"/>
  <c r="DX218" i="4"/>
  <c r="EC218" i="4" s="1"/>
  <c r="ED218" i="4" s="1"/>
  <c r="DX226" i="4"/>
  <c r="EC226" i="4" s="1"/>
  <c r="ED226" i="4" s="1"/>
  <c r="DX234" i="4"/>
  <c r="EC234" i="4" s="1"/>
  <c r="ED234" i="4" s="1"/>
  <c r="DX242" i="4"/>
  <c r="EC242" i="4" s="1"/>
  <c r="ED242" i="4" s="1"/>
  <c r="DX250" i="4"/>
  <c r="EC250" i="4" s="1"/>
  <c r="ED250" i="4" s="1"/>
  <c r="DX258" i="4"/>
  <c r="EC258" i="4" s="1"/>
  <c r="ED258" i="4" s="1"/>
  <c r="DX266" i="4"/>
  <c r="EC266" i="4" s="1"/>
  <c r="ED266" i="4" s="1"/>
  <c r="DX274" i="4"/>
  <c r="EC274" i="4" s="1"/>
  <c r="ED274" i="4" s="1"/>
  <c r="DX282" i="4"/>
  <c r="EC282" i="4" s="1"/>
  <c r="ED282" i="4" s="1"/>
  <c r="DX288" i="4"/>
  <c r="EC288" i="4" s="1"/>
  <c r="ED288" i="4" s="1"/>
  <c r="DX292" i="4"/>
  <c r="EC292" i="4" s="1"/>
  <c r="ED292" i="4" s="1"/>
  <c r="DX188" i="4"/>
  <c r="EC188" i="4" s="1"/>
  <c r="ED188" i="4" s="1"/>
  <c r="DX236" i="4"/>
  <c r="EC236" i="4" s="1"/>
  <c r="ED236" i="4" s="1"/>
  <c r="DX284" i="4"/>
  <c r="EC284" i="4" s="1"/>
  <c r="ED284" i="4" s="1"/>
  <c r="DX311" i="4"/>
  <c r="EC311" i="4" s="1"/>
  <c r="ED311" i="4" s="1"/>
  <c r="DX5" i="4"/>
  <c r="EC5" i="4" s="1"/>
  <c r="ED5" i="4" s="1"/>
  <c r="DX13" i="4"/>
  <c r="EC13" i="4" s="1"/>
  <c r="ED13" i="4" s="1"/>
  <c r="DX21" i="4"/>
  <c r="EC21" i="4" s="1"/>
  <c r="ED21" i="4" s="1"/>
  <c r="DX29" i="4"/>
  <c r="EC29" i="4" s="1"/>
  <c r="ED29" i="4" s="1"/>
  <c r="DX37" i="4"/>
  <c r="EC37" i="4" s="1"/>
  <c r="ED37" i="4" s="1"/>
  <c r="DX45" i="4"/>
  <c r="EC45" i="4" s="1"/>
  <c r="ED45" i="4" s="1"/>
  <c r="DX53" i="4"/>
  <c r="EC53" i="4" s="1"/>
  <c r="ED53" i="4" s="1"/>
  <c r="DX61" i="4"/>
  <c r="EC61" i="4" s="1"/>
  <c r="ED61" i="4" s="1"/>
  <c r="DX69" i="4"/>
  <c r="EC69" i="4" s="1"/>
  <c r="ED69" i="4" s="1"/>
  <c r="DX77" i="4"/>
  <c r="EC77" i="4" s="1"/>
  <c r="ED77" i="4" s="1"/>
  <c r="DX85" i="4"/>
  <c r="EC85" i="4" s="1"/>
  <c r="ED85" i="4" s="1"/>
  <c r="DX93" i="4"/>
  <c r="EC93" i="4" s="1"/>
  <c r="ED93" i="4" s="1"/>
  <c r="DX101" i="4"/>
  <c r="EC101" i="4" s="1"/>
  <c r="ED101" i="4" s="1"/>
  <c r="DX109" i="4"/>
  <c r="EC109" i="4" s="1"/>
  <c r="ED109" i="4" s="1"/>
  <c r="DX117" i="4"/>
  <c r="EC117" i="4" s="1"/>
  <c r="ED117" i="4" s="1"/>
  <c r="DX125" i="4"/>
  <c r="EC125" i="4" s="1"/>
  <c r="ED125" i="4" s="1"/>
  <c r="DX133" i="4"/>
  <c r="EC133" i="4" s="1"/>
  <c r="ED133" i="4" s="1"/>
  <c r="DX141" i="4"/>
  <c r="EC141" i="4" s="1"/>
  <c r="ED141" i="4" s="1"/>
  <c r="DX149" i="4"/>
  <c r="EC149" i="4" s="1"/>
  <c r="ED149" i="4" s="1"/>
  <c r="DX157" i="4"/>
  <c r="EC157" i="4" s="1"/>
  <c r="ED157" i="4" s="1"/>
  <c r="DX165" i="4"/>
  <c r="EC165" i="4" s="1"/>
  <c r="ED165" i="4" s="1"/>
  <c r="DX173" i="4"/>
  <c r="EC173" i="4" s="1"/>
  <c r="ED173" i="4" s="1"/>
  <c r="DX181" i="4"/>
  <c r="EC181" i="4" s="1"/>
  <c r="ED181" i="4" s="1"/>
  <c r="DX189" i="4"/>
  <c r="EC189" i="4" s="1"/>
  <c r="ED189" i="4" s="1"/>
  <c r="DX197" i="4"/>
  <c r="EC197" i="4" s="1"/>
  <c r="ED197" i="4" s="1"/>
  <c r="DX205" i="4"/>
  <c r="EC205" i="4" s="1"/>
  <c r="ED205" i="4" s="1"/>
  <c r="DX213" i="4"/>
  <c r="EC213" i="4" s="1"/>
  <c r="ED213" i="4" s="1"/>
  <c r="DX221" i="4"/>
  <c r="EC221" i="4" s="1"/>
  <c r="ED221" i="4" s="1"/>
  <c r="DX229" i="4"/>
  <c r="EC229" i="4" s="1"/>
  <c r="ED229" i="4" s="1"/>
  <c r="DX237" i="4"/>
  <c r="EC237" i="4" s="1"/>
  <c r="ED237" i="4" s="1"/>
  <c r="DX245" i="4"/>
  <c r="EC245" i="4" s="1"/>
  <c r="ED245" i="4" s="1"/>
  <c r="DX253" i="4"/>
  <c r="EC253" i="4" s="1"/>
  <c r="ED253" i="4" s="1"/>
  <c r="DX261" i="4"/>
  <c r="EC261" i="4" s="1"/>
  <c r="ED261" i="4" s="1"/>
  <c r="DX269" i="4"/>
  <c r="EC269" i="4" s="1"/>
  <c r="ED269" i="4" s="1"/>
  <c r="DX277" i="4"/>
  <c r="EC277" i="4" s="1"/>
  <c r="ED277" i="4" s="1"/>
  <c r="DX285" i="4"/>
  <c r="EC285" i="4" s="1"/>
  <c r="ED285" i="4" s="1"/>
  <c r="DX273" i="4"/>
  <c r="EC273" i="4" s="1"/>
  <c r="ED273" i="4" s="1"/>
  <c r="DX4" i="4"/>
  <c r="EC4" i="4" s="1"/>
  <c r="ED4" i="4" s="1"/>
  <c r="DX44" i="4"/>
  <c r="EC44" i="4" s="1"/>
  <c r="ED44" i="4" s="1"/>
  <c r="DX84" i="4"/>
  <c r="EC84" i="4" s="1"/>
  <c r="ED84" i="4" s="1"/>
  <c r="DX100" i="4"/>
  <c r="EC100" i="4" s="1"/>
  <c r="ED100" i="4" s="1"/>
  <c r="DX164" i="4"/>
  <c r="EC164" i="4" s="1"/>
  <c r="ED164" i="4" s="1"/>
  <c r="DX301" i="4"/>
  <c r="EC301" i="4" s="1"/>
  <c r="ED301" i="4" s="1"/>
  <c r="DX8" i="4"/>
  <c r="EC8" i="4" s="1"/>
  <c r="ED8" i="4" s="1"/>
  <c r="DX16" i="4"/>
  <c r="EC16" i="4" s="1"/>
  <c r="ED16" i="4" s="1"/>
  <c r="DX24" i="4"/>
  <c r="EC24" i="4" s="1"/>
  <c r="ED24" i="4" s="1"/>
  <c r="DX32" i="4"/>
  <c r="EC32" i="4" s="1"/>
  <c r="ED32" i="4" s="1"/>
  <c r="DX40" i="4"/>
  <c r="EC40" i="4" s="1"/>
  <c r="ED40" i="4" s="1"/>
  <c r="DX48" i="4"/>
  <c r="EC48" i="4" s="1"/>
  <c r="ED48" i="4" s="1"/>
  <c r="DX56" i="4"/>
  <c r="EC56" i="4" s="1"/>
  <c r="ED56" i="4" s="1"/>
  <c r="DX64" i="4"/>
  <c r="EC64" i="4" s="1"/>
  <c r="ED64" i="4" s="1"/>
  <c r="DX72" i="4"/>
  <c r="EC72" i="4" s="1"/>
  <c r="ED72" i="4" s="1"/>
  <c r="DX80" i="4"/>
  <c r="EC80" i="4" s="1"/>
  <c r="ED80" i="4" s="1"/>
  <c r="DX88" i="4"/>
  <c r="EC88" i="4" s="1"/>
  <c r="ED88" i="4" s="1"/>
  <c r="DX96" i="4"/>
  <c r="EC96" i="4" s="1"/>
  <c r="ED96" i="4" s="1"/>
  <c r="DX104" i="4"/>
  <c r="EC104" i="4" s="1"/>
  <c r="ED104" i="4" s="1"/>
  <c r="DX112" i="4"/>
  <c r="EC112" i="4" s="1"/>
  <c r="ED112" i="4" s="1"/>
  <c r="DX120" i="4"/>
  <c r="EC120" i="4" s="1"/>
  <c r="ED120" i="4" s="1"/>
  <c r="DX128" i="4"/>
  <c r="EC128" i="4" s="1"/>
  <c r="ED128" i="4" s="1"/>
  <c r="DX136" i="4"/>
  <c r="EC136" i="4" s="1"/>
  <c r="ED136" i="4" s="1"/>
  <c r="DX144" i="4"/>
  <c r="EC144" i="4" s="1"/>
  <c r="ED144" i="4" s="1"/>
  <c r="DX152" i="4"/>
  <c r="EC152" i="4" s="1"/>
  <c r="ED152" i="4" s="1"/>
  <c r="DX160" i="4"/>
  <c r="EC160" i="4" s="1"/>
  <c r="ED160" i="4" s="1"/>
  <c r="DX168" i="4"/>
  <c r="EC168" i="4" s="1"/>
  <c r="ED168" i="4" s="1"/>
  <c r="DX176" i="4"/>
  <c r="EC176" i="4" s="1"/>
  <c r="ED176" i="4" s="1"/>
  <c r="DX184" i="4"/>
  <c r="EC184" i="4" s="1"/>
  <c r="ED184" i="4" s="1"/>
  <c r="DX192" i="4"/>
  <c r="EC192" i="4" s="1"/>
  <c r="ED192" i="4" s="1"/>
  <c r="DX200" i="4"/>
  <c r="EC200" i="4" s="1"/>
  <c r="ED200" i="4" s="1"/>
  <c r="DX208" i="4"/>
  <c r="EC208" i="4" s="1"/>
  <c r="ED208" i="4" s="1"/>
  <c r="DX216" i="4"/>
  <c r="EC216" i="4" s="1"/>
  <c r="ED216" i="4" s="1"/>
  <c r="DX224" i="4"/>
  <c r="EC224" i="4" s="1"/>
  <c r="ED224" i="4" s="1"/>
  <c r="DX232" i="4"/>
  <c r="EC232" i="4" s="1"/>
  <c r="ED232" i="4" s="1"/>
  <c r="DX240" i="4"/>
  <c r="EC240" i="4" s="1"/>
  <c r="ED240" i="4" s="1"/>
  <c r="DX248" i="4"/>
  <c r="EC248" i="4" s="1"/>
  <c r="ED248" i="4" s="1"/>
  <c r="DX256" i="4"/>
  <c r="EC256" i="4" s="1"/>
  <c r="ED256" i="4" s="1"/>
  <c r="DX264" i="4"/>
  <c r="EC264" i="4" s="1"/>
  <c r="ED264" i="4" s="1"/>
  <c r="DX272" i="4"/>
  <c r="EC272" i="4" s="1"/>
  <c r="ED272" i="4" s="1"/>
  <c r="DX280" i="4"/>
  <c r="EC280" i="4" s="1"/>
  <c r="ED280" i="4" s="1"/>
  <c r="DX289" i="4"/>
  <c r="EC289" i="4" s="1"/>
  <c r="ED289" i="4" s="1"/>
  <c r="DX296" i="4"/>
  <c r="EC296" i="4" s="1"/>
  <c r="ED296" i="4" s="1"/>
  <c r="DX298" i="4"/>
  <c r="EC298" i="4" s="1"/>
  <c r="ED298" i="4" s="1"/>
  <c r="DX300" i="4"/>
  <c r="EC300" i="4" s="1"/>
  <c r="ED300" i="4" s="1"/>
  <c r="DX302" i="4"/>
  <c r="EC302" i="4" s="1"/>
  <c r="ED302" i="4" s="1"/>
  <c r="DX304" i="4"/>
  <c r="EC304" i="4" s="1"/>
  <c r="ED304" i="4" s="1"/>
  <c r="DX306" i="4"/>
  <c r="EC306" i="4" s="1"/>
  <c r="ED306" i="4" s="1"/>
  <c r="DX308" i="4"/>
  <c r="EC308" i="4" s="1"/>
  <c r="ED308" i="4" s="1"/>
  <c r="DX310" i="4"/>
  <c r="EC310" i="4" s="1"/>
  <c r="ED310" i="4" s="1"/>
  <c r="DX312" i="4"/>
  <c r="EC312" i="4" s="1"/>
  <c r="ED312" i="4" s="1"/>
  <c r="DX314" i="4"/>
  <c r="EC314" i="4" s="1"/>
  <c r="ED314" i="4" s="1"/>
  <c r="DX36" i="4"/>
  <c r="EC36" i="4" s="1"/>
  <c r="ED36" i="4" s="1"/>
  <c r="DX124" i="4"/>
  <c r="EC124" i="4" s="1"/>
  <c r="ED124" i="4" s="1"/>
  <c r="DX148" i="4"/>
  <c r="EC148" i="4" s="1"/>
  <c r="ED148" i="4" s="1"/>
  <c r="DX212" i="4"/>
  <c r="EC212" i="4" s="1"/>
  <c r="ED212" i="4" s="1"/>
  <c r="DX220" i="4"/>
  <c r="EC220" i="4" s="1"/>
  <c r="ED220" i="4" s="1"/>
  <c r="DX244" i="4"/>
  <c r="EC244" i="4" s="1"/>
  <c r="ED244" i="4" s="1"/>
  <c r="DX260" i="4"/>
  <c r="EC260" i="4" s="1"/>
  <c r="ED260" i="4" s="1"/>
  <c r="DX313" i="4"/>
  <c r="EC313" i="4" s="1"/>
  <c r="ED313" i="4" s="1"/>
  <c r="DX11" i="4"/>
  <c r="EC11" i="4" s="1"/>
  <c r="ED11" i="4" s="1"/>
  <c r="DX19" i="4"/>
  <c r="EC19" i="4" s="1"/>
  <c r="ED19" i="4" s="1"/>
  <c r="DX27" i="4"/>
  <c r="EC27" i="4" s="1"/>
  <c r="ED27" i="4" s="1"/>
  <c r="DX35" i="4"/>
  <c r="EC35" i="4" s="1"/>
  <c r="ED35" i="4" s="1"/>
  <c r="DX43" i="4"/>
  <c r="EC43" i="4" s="1"/>
  <c r="ED43" i="4" s="1"/>
  <c r="DX51" i="4"/>
  <c r="EC51" i="4" s="1"/>
  <c r="ED51" i="4" s="1"/>
  <c r="DX59" i="4"/>
  <c r="EC59" i="4" s="1"/>
  <c r="ED59" i="4" s="1"/>
  <c r="DX67" i="4"/>
  <c r="EC67" i="4" s="1"/>
  <c r="ED67" i="4" s="1"/>
  <c r="DX75" i="4"/>
  <c r="EC75" i="4" s="1"/>
  <c r="ED75" i="4" s="1"/>
  <c r="DX83" i="4"/>
  <c r="EC83" i="4" s="1"/>
  <c r="ED83" i="4" s="1"/>
  <c r="DX91" i="4"/>
  <c r="EC91" i="4" s="1"/>
  <c r="ED91" i="4" s="1"/>
  <c r="DX99" i="4"/>
  <c r="EC99" i="4" s="1"/>
  <c r="ED99" i="4" s="1"/>
  <c r="DX107" i="4"/>
  <c r="EC107" i="4" s="1"/>
  <c r="ED107" i="4" s="1"/>
  <c r="DX115" i="4"/>
  <c r="EC115" i="4" s="1"/>
  <c r="ED115" i="4" s="1"/>
  <c r="DX123" i="4"/>
  <c r="EC123" i="4" s="1"/>
  <c r="ED123" i="4" s="1"/>
  <c r="DX131" i="4"/>
  <c r="EC131" i="4" s="1"/>
  <c r="ED131" i="4" s="1"/>
  <c r="DX139" i="4"/>
  <c r="EC139" i="4" s="1"/>
  <c r="ED139" i="4" s="1"/>
  <c r="DX147" i="4"/>
  <c r="EC147" i="4" s="1"/>
  <c r="ED147" i="4" s="1"/>
  <c r="DX155" i="4"/>
  <c r="EC155" i="4" s="1"/>
  <c r="ED155" i="4" s="1"/>
  <c r="DX163" i="4"/>
  <c r="EC163" i="4" s="1"/>
  <c r="ED163" i="4" s="1"/>
  <c r="DX171" i="4"/>
  <c r="EC171" i="4" s="1"/>
  <c r="ED171" i="4" s="1"/>
  <c r="DX179" i="4"/>
  <c r="EC179" i="4" s="1"/>
  <c r="ED179" i="4" s="1"/>
  <c r="DX187" i="4"/>
  <c r="EC187" i="4" s="1"/>
  <c r="ED187" i="4" s="1"/>
  <c r="DX195" i="4"/>
  <c r="EC195" i="4" s="1"/>
  <c r="ED195" i="4" s="1"/>
  <c r="DX203" i="4"/>
  <c r="EC203" i="4" s="1"/>
  <c r="ED203" i="4" s="1"/>
  <c r="DX211" i="4"/>
  <c r="EC211" i="4" s="1"/>
  <c r="ED211" i="4" s="1"/>
  <c r="DX219" i="4"/>
  <c r="EC219" i="4" s="1"/>
  <c r="ED219" i="4" s="1"/>
  <c r="DX227" i="4"/>
  <c r="EC227" i="4" s="1"/>
  <c r="ED227" i="4" s="1"/>
  <c r="DX235" i="4"/>
  <c r="EC235" i="4" s="1"/>
  <c r="ED235" i="4" s="1"/>
  <c r="DX243" i="4"/>
  <c r="EC243" i="4" s="1"/>
  <c r="ED243" i="4" s="1"/>
  <c r="DX251" i="4"/>
  <c r="EC251" i="4" s="1"/>
  <c r="ED251" i="4" s="1"/>
  <c r="DX259" i="4"/>
  <c r="EC259" i="4" s="1"/>
  <c r="ED259" i="4" s="1"/>
  <c r="DX267" i="4"/>
  <c r="EC267" i="4" s="1"/>
  <c r="ED267" i="4" s="1"/>
  <c r="DX275" i="4"/>
  <c r="EC275" i="4" s="1"/>
  <c r="ED275" i="4" s="1"/>
  <c r="DX283" i="4"/>
  <c r="EC283" i="4" s="1"/>
  <c r="ED283" i="4" s="1"/>
  <c r="DX293" i="4"/>
  <c r="EC293" i="4" s="1"/>
  <c r="ED293" i="4" s="1"/>
  <c r="DI30" i="4"/>
  <c r="DI32" i="4"/>
  <c r="DI40" i="4"/>
  <c r="DI50" i="4"/>
  <c r="DI94" i="4"/>
  <c r="DI297" i="4"/>
  <c r="DI275" i="4"/>
  <c r="DI305" i="4"/>
  <c r="DI267" i="4"/>
  <c r="DI271" i="4"/>
  <c r="DI279" i="4"/>
  <c r="DI188" i="4"/>
  <c r="DI234" i="4"/>
  <c r="DI16" i="4"/>
  <c r="DI28" i="4"/>
  <c r="DI100" i="4"/>
  <c r="DI110" i="4"/>
  <c r="DI250" i="4"/>
  <c r="DI256" i="4"/>
  <c r="DI17" i="4"/>
  <c r="DI27" i="4"/>
  <c r="DI91" i="4"/>
  <c r="DI95" i="4"/>
  <c r="DI97" i="4"/>
  <c r="DI99" i="4"/>
  <c r="DI107" i="4"/>
  <c r="DI310" i="4"/>
  <c r="DI236" i="4"/>
  <c r="DI21" i="4"/>
  <c r="DI25" i="4"/>
  <c r="DI109" i="4"/>
  <c r="DI18" i="4"/>
  <c r="DI20" i="4"/>
  <c r="DI104" i="4"/>
  <c r="DI29" i="4"/>
  <c r="DI33" i="4"/>
  <c r="DI35" i="4"/>
  <c r="DI39" i="4"/>
  <c r="DI41" i="4"/>
  <c r="DI43" i="4"/>
  <c r="DI45" i="4"/>
  <c r="DI47" i="4"/>
  <c r="DI61" i="4"/>
  <c r="DI69" i="4"/>
  <c r="DI73" i="4"/>
  <c r="DI83" i="4"/>
  <c r="DI87" i="4"/>
  <c r="DI120" i="4"/>
  <c r="DI146" i="4"/>
  <c r="DI150" i="4"/>
  <c r="DI218" i="4"/>
  <c r="DI255" i="4"/>
  <c r="DI93" i="4"/>
  <c r="DI258" i="4"/>
  <c r="DI260" i="4"/>
  <c r="DI264" i="4"/>
  <c r="DI270" i="4"/>
  <c r="DI274" i="4"/>
  <c r="DI291" i="4"/>
  <c r="DI4" i="4"/>
  <c r="DI6" i="4"/>
  <c r="DI8" i="4"/>
  <c r="DI111" i="4"/>
  <c r="DI113" i="4"/>
  <c r="DI117" i="4"/>
  <c r="DI119" i="4"/>
  <c r="DI121" i="4"/>
  <c r="DI131" i="4"/>
  <c r="DI133" i="4"/>
  <c r="DI153" i="4"/>
  <c r="DI155" i="4"/>
  <c r="DI161" i="4"/>
  <c r="DI163" i="4"/>
  <c r="DI301" i="4"/>
  <c r="DI22" i="4"/>
  <c r="DI44" i="4"/>
  <c r="DI46" i="4"/>
  <c r="DI54" i="4"/>
  <c r="DI68" i="4"/>
  <c r="DI70" i="4"/>
  <c r="DI72" i="4"/>
  <c r="DI74" i="4"/>
  <c r="DI76" i="4"/>
  <c r="DI78" i="4"/>
  <c r="DI82" i="4"/>
  <c r="DI86" i="4"/>
  <c r="DI88" i="4"/>
  <c r="DI92" i="4"/>
  <c r="DI312" i="4"/>
  <c r="DI259" i="4"/>
  <c r="DI263" i="4"/>
  <c r="DI294" i="4"/>
  <c r="DI307" i="4"/>
  <c r="DI58" i="4"/>
  <c r="DI84" i="4"/>
  <c r="DI90" i="4"/>
  <c r="DI103" i="4"/>
  <c r="DI105" i="4"/>
  <c r="DI166" i="4"/>
  <c r="DI24" i="4"/>
  <c r="DI26" i="4"/>
  <c r="DI51" i="4"/>
  <c r="DI53" i="4"/>
  <c r="DI129" i="4"/>
  <c r="DI159" i="4"/>
  <c r="DI232" i="4"/>
  <c r="DI242" i="4"/>
  <c r="DI248" i="4"/>
  <c r="DI252" i="4"/>
  <c r="DI254" i="4"/>
  <c r="DI34" i="4"/>
  <c r="DI36" i="4"/>
  <c r="DI38" i="4"/>
  <c r="DI55" i="4"/>
  <c r="DI57" i="4"/>
  <c r="DI177" i="4"/>
  <c r="DI314" i="4"/>
  <c r="DI19" i="4"/>
  <c r="DI48" i="4"/>
  <c r="DI81" i="4"/>
  <c r="DI102" i="4"/>
  <c r="DI108" i="4"/>
  <c r="DI114" i="4"/>
  <c r="DI138" i="4"/>
  <c r="DI140" i="4"/>
  <c r="DI144" i="4"/>
  <c r="DI152" i="4"/>
  <c r="DI158" i="4"/>
  <c r="DI217" i="4"/>
  <c r="DI225" i="4"/>
  <c r="DI233" i="4"/>
  <c r="DI241" i="4"/>
  <c r="DI245" i="4"/>
  <c r="DI247" i="4"/>
  <c r="DI106" i="4"/>
  <c r="DI23" i="4"/>
  <c r="DI65" i="4"/>
  <c r="DI67" i="4"/>
  <c r="DI96" i="4"/>
  <c r="DI112" i="4"/>
  <c r="DI154" i="4"/>
  <c r="DI220" i="4"/>
  <c r="DI300" i="4"/>
  <c r="DI60" i="4"/>
  <c r="DI85" i="4"/>
  <c r="DI296" i="4"/>
  <c r="DI224" i="4"/>
  <c r="DI243" i="4"/>
  <c r="DI136" i="4"/>
  <c r="DI5" i="4"/>
  <c r="DI7" i="4"/>
  <c r="DI9" i="4"/>
  <c r="DI11" i="4"/>
  <c r="DI13" i="4"/>
  <c r="DI15" i="4"/>
  <c r="DI37" i="4"/>
  <c r="DI42" i="4"/>
  <c r="DI49" i="4"/>
  <c r="DI52" i="4"/>
  <c r="DI56" i="4"/>
  <c r="DI71" i="4"/>
  <c r="DI77" i="4"/>
  <c r="DI101" i="4"/>
  <c r="DI122" i="4"/>
  <c r="DI124" i="4"/>
  <c r="DI126" i="4"/>
  <c r="DI130" i="4"/>
  <c r="DI132" i="4"/>
  <c r="DI189" i="4"/>
  <c r="DI226" i="4"/>
  <c r="DI283" i="4"/>
  <c r="DI285" i="4"/>
  <c r="DI287" i="4"/>
  <c r="DI289" i="4"/>
  <c r="DI268" i="4"/>
  <c r="DI66" i="4"/>
  <c r="DI180" i="4"/>
  <c r="DI10" i="4"/>
  <c r="DI12" i="4"/>
  <c r="DI31" i="4"/>
  <c r="DI115" i="4"/>
  <c r="DI125" i="4"/>
  <c r="DI142" i="4"/>
  <c r="DI227" i="4"/>
  <c r="DI229" i="4"/>
  <c r="DI265" i="4"/>
  <c r="DI280" i="4"/>
  <c r="DI282" i="4"/>
  <c r="DI304" i="4"/>
  <c r="DI89" i="4"/>
  <c r="DI160" i="4"/>
  <c r="DI162" i="4"/>
  <c r="DI185" i="4"/>
  <c r="DI62" i="4"/>
  <c r="DI64" i="4"/>
  <c r="DI79" i="4"/>
  <c r="DI128" i="4"/>
  <c r="DI14" i="4"/>
  <c r="DI59" i="4"/>
  <c r="DI98" i="4"/>
  <c r="DI148" i="4"/>
  <c r="DI63" i="4"/>
  <c r="DI135" i="4"/>
  <c r="DI169" i="4"/>
  <c r="DI116" i="4"/>
  <c r="DI137" i="4"/>
  <c r="DI141" i="4"/>
  <c r="DI143" i="4"/>
  <c r="DI157" i="4"/>
  <c r="DI164" i="4"/>
  <c r="DI173" i="4"/>
  <c r="DI175" i="4"/>
  <c r="DI203" i="4"/>
  <c r="DI222" i="4"/>
  <c r="DI231" i="4"/>
  <c r="DI238" i="4"/>
  <c r="DI261" i="4"/>
  <c r="DI272" i="4"/>
  <c r="DI80" i="4"/>
  <c r="DI118" i="4"/>
  <c r="DI127" i="4"/>
  <c r="DI134" i="4"/>
  <c r="DI193" i="4"/>
  <c r="DI211" i="4"/>
  <c r="DI215" i="4"/>
  <c r="DI240" i="4"/>
  <c r="DI276" i="4"/>
  <c r="DI278" i="4"/>
  <c r="DI145" i="4"/>
  <c r="DI147" i="4"/>
  <c r="DI303" i="4"/>
  <c r="DI75" i="4"/>
  <c r="DI172" i="4"/>
  <c r="DI202" i="4"/>
  <c r="DI219" i="4"/>
  <c r="DI221" i="4"/>
  <c r="DI228" i="4"/>
  <c r="DI235" i="4"/>
  <c r="DI237" i="4"/>
  <c r="DI244" i="4"/>
  <c r="DI251" i="4"/>
  <c r="DI253" i="4"/>
  <c r="DI269" i="4"/>
  <c r="DI284" i="4"/>
  <c r="DI286" i="4"/>
  <c r="DI299" i="4"/>
  <c r="DI302" i="4"/>
  <c r="DI149" i="4"/>
  <c r="DI151" i="4"/>
  <c r="DI156" i="4"/>
  <c r="DI165" i="4"/>
  <c r="DI181" i="4"/>
  <c r="DI204" i="4"/>
  <c r="DI206" i="4"/>
  <c r="DI210" i="4"/>
  <c r="DI223" i="4"/>
  <c r="DI230" i="4"/>
  <c r="DI239" i="4"/>
  <c r="DI246" i="4"/>
  <c r="DI262" i="4"/>
  <c r="DI273" i="4"/>
  <c r="DI288" i="4"/>
  <c r="DI290" i="4"/>
  <c r="DI306" i="4"/>
  <c r="DI309" i="4"/>
  <c r="DI167" i="4"/>
  <c r="DI183" i="4"/>
  <c r="DI197" i="4"/>
  <c r="DI212" i="4"/>
  <c r="DI214" i="4"/>
  <c r="DI216" i="4"/>
  <c r="DI277" i="4"/>
  <c r="DI292" i="4"/>
  <c r="DI257" i="4"/>
  <c r="DI266" i="4"/>
  <c r="DI281" i="4"/>
  <c r="DI139" i="4"/>
  <c r="DI123" i="4"/>
  <c r="DI168" i="4"/>
  <c r="DI176" i="4"/>
  <c r="DI184" i="4"/>
  <c r="DI191" i="4"/>
  <c r="DI195" i="4"/>
  <c r="DI199" i="4"/>
  <c r="DI207" i="4"/>
  <c r="DI174" i="4"/>
  <c r="DI182" i="4"/>
  <c r="DI190" i="4"/>
  <c r="DI194" i="4"/>
  <c r="DI198" i="4"/>
  <c r="DI201" i="4"/>
  <c r="DI209" i="4"/>
  <c r="DI171" i="4"/>
  <c r="DI179" i="4"/>
  <c r="DI187" i="4"/>
  <c r="DI200" i="4"/>
  <c r="DI208" i="4"/>
  <c r="DI170" i="4"/>
  <c r="DI178" i="4"/>
  <c r="DI186" i="4"/>
  <c r="DI192" i="4"/>
  <c r="DI196" i="4"/>
  <c r="DI205" i="4"/>
  <c r="DI213" i="4"/>
  <c r="DI293" i="4"/>
  <c r="DI298" i="4"/>
  <c r="DI308" i="4"/>
  <c r="D234" i="36" l="1"/>
  <c r="C234" i="36" l="1"/>
  <c r="D149" i="36" l="1"/>
  <c r="D147" i="36" l="1"/>
  <c r="D146" i="36"/>
  <c r="D145" i="36"/>
  <c r="D144" i="36"/>
  <c r="D143" i="36"/>
  <c r="D142" i="36"/>
  <c r="D141" i="36"/>
  <c r="D140" i="36"/>
  <c r="D139" i="36"/>
  <c r="D138" i="36"/>
  <c r="D137" i="36"/>
  <c r="D136" i="36"/>
  <c r="D228" i="36" l="1"/>
  <c r="D160" i="36"/>
  <c r="D205" i="36" l="1"/>
  <c r="C205" i="36" s="1"/>
  <c r="C413" i="36" s="1"/>
  <c r="D204" i="36"/>
  <c r="C204" i="36" s="1"/>
  <c r="C412" i="36" s="1"/>
  <c r="D203" i="36"/>
  <c r="C203" i="36" s="1"/>
  <c r="C411" i="36" s="1"/>
  <c r="D202" i="36"/>
  <c r="D201" i="36"/>
  <c r="D233" i="36" s="1"/>
  <c r="D199" i="36"/>
  <c r="D198" i="36"/>
  <c r="D197" i="36"/>
  <c r="D196" i="36"/>
  <c r="D195" i="36"/>
  <c r="D194" i="36"/>
  <c r="D193" i="36"/>
  <c r="D192" i="36"/>
  <c r="D191" i="36"/>
  <c r="D190" i="36"/>
  <c r="D189" i="36"/>
  <c r="D188" i="36"/>
  <c r="D186" i="36"/>
  <c r="D185" i="36"/>
  <c r="D184" i="36"/>
  <c r="D183" i="36"/>
  <c r="D182" i="36"/>
  <c r="D181" i="36"/>
  <c r="D180" i="36"/>
  <c r="D179" i="36"/>
  <c r="D178" i="36"/>
  <c r="D177" i="36"/>
  <c r="D176" i="36"/>
  <c r="D175" i="36"/>
  <c r="D231" i="36" s="1"/>
  <c r="D173" i="36"/>
  <c r="D172" i="36"/>
  <c r="D171" i="36"/>
  <c r="D170" i="36"/>
  <c r="D169" i="36"/>
  <c r="D168" i="36"/>
  <c r="D167" i="36"/>
  <c r="D166" i="36"/>
  <c r="D165" i="36"/>
  <c r="D164" i="36"/>
  <c r="D163" i="36"/>
  <c r="D162" i="36"/>
  <c r="D159" i="36"/>
  <c r="D158" i="36"/>
  <c r="D157" i="36"/>
  <c r="D156" i="36"/>
  <c r="D155" i="36"/>
  <c r="D154" i="36"/>
  <c r="D153" i="36"/>
  <c r="D152" i="36"/>
  <c r="D151" i="36"/>
  <c r="D150" i="36"/>
  <c r="D229" i="36" l="1"/>
  <c r="D230" i="36"/>
  <c r="D232" i="36"/>
  <c r="C202" i="36"/>
  <c r="C410" i="36" s="1"/>
  <c r="C199" i="36" l="1"/>
  <c r="C407" i="36" s="1"/>
  <c r="C201" i="36"/>
  <c r="C409" i="36" s="1"/>
  <c r="C233" i="36" l="1"/>
  <c r="C198" i="36" l="1"/>
  <c r="C406" i="36" s="1"/>
  <c r="C195" i="36" l="1"/>
  <c r="C403" i="36" s="1"/>
  <c r="C197" i="36"/>
  <c r="C405" i="36" s="1"/>
  <c r="C196" i="36"/>
  <c r="C404" i="36" s="1"/>
  <c r="C194" i="36" l="1"/>
  <c r="C402" i="36" s="1"/>
  <c r="C193" i="36" l="1"/>
  <c r="C401" i="36" s="1"/>
  <c r="C192" i="36" l="1"/>
  <c r="C400" i="36" s="1"/>
  <c r="C191" i="36" l="1"/>
  <c r="C399" i="36" s="1"/>
  <c r="C190" i="36" l="1"/>
  <c r="C398" i="36" s="1"/>
  <c r="C189" i="36" l="1"/>
  <c r="C397" i="36" s="1"/>
  <c r="C188" i="36" l="1"/>
  <c r="C396" i="36" s="1"/>
  <c r="C232" i="36" l="1"/>
  <c r="C186" i="36" l="1"/>
  <c r="C394" i="36" s="1"/>
  <c r="C185" i="36" l="1"/>
  <c r="C393" i="36" s="1"/>
  <c r="C184" i="36" l="1"/>
  <c r="C392" i="36" s="1"/>
  <c r="C183" i="36" l="1"/>
  <c r="C391" i="36" s="1"/>
  <c r="C182" i="36" l="1"/>
  <c r="C390" i="36" s="1"/>
  <c r="C181" i="36" l="1"/>
  <c r="C389" i="36" s="1"/>
  <c r="C180" i="36" l="1"/>
  <c r="C388" i="36" s="1"/>
  <c r="C179" i="36" l="1"/>
  <c r="C387" i="36" s="1"/>
  <c r="C178" i="36" l="1"/>
  <c r="C386" i="36" s="1"/>
  <c r="C177" i="36" l="1"/>
  <c r="C385" i="36" s="1"/>
  <c r="C176" i="36" l="1"/>
  <c r="C384" i="36" s="1"/>
  <c r="C175" i="36" l="1"/>
  <c r="C383" i="36" s="1"/>
  <c r="C231" i="36" l="1"/>
  <c r="C173" i="36" l="1"/>
  <c r="C381" i="36" s="1"/>
  <c r="C172" i="36" l="1"/>
  <c r="C380" i="36" s="1"/>
  <c r="C171" i="36" l="1"/>
  <c r="C379" i="36" s="1"/>
  <c r="C170" i="36" l="1"/>
  <c r="C378" i="36" s="1"/>
  <c r="C169" i="36" l="1"/>
  <c r="C377" i="36" s="1"/>
  <c r="C168" i="36" l="1"/>
  <c r="C376" i="36" s="1"/>
  <c r="C167" i="36" l="1"/>
  <c r="C375" i="36" s="1"/>
  <c r="C166" i="36" l="1"/>
  <c r="C374" i="36" s="1"/>
  <c r="C165" i="36" l="1"/>
  <c r="C373" i="36" s="1"/>
  <c r="C164" i="36" l="1"/>
  <c r="C372" i="36" s="1"/>
  <c r="C163" i="36" l="1"/>
  <c r="C371" i="36" s="1"/>
  <c r="C162" i="36" l="1"/>
  <c r="C230" i="36" l="1"/>
  <c r="C370" i="36"/>
  <c r="C368" i="36"/>
  <c r="C160" i="36" l="1"/>
  <c r="C159" i="36" l="1"/>
  <c r="C367" i="36" s="1"/>
  <c r="C158" i="36" l="1"/>
  <c r="C366" i="36" s="1"/>
  <c r="C157" i="36" l="1"/>
  <c r="C365" i="36" s="1"/>
  <c r="C156" i="36" l="1"/>
  <c r="C364" i="36" s="1"/>
  <c r="C155" i="36" l="1"/>
  <c r="C363" i="36" s="1"/>
  <c r="C149" i="36" l="1"/>
  <c r="C357" i="36" s="1"/>
  <c r="C142" i="36"/>
  <c r="C350" i="36" s="1"/>
  <c r="C143" i="36"/>
  <c r="C351" i="36" s="1"/>
  <c r="C144" i="36"/>
  <c r="C352" i="36" s="1"/>
  <c r="C137" i="36"/>
  <c r="C345" i="36" s="1"/>
  <c r="C139" i="36"/>
  <c r="C347" i="36" s="1"/>
  <c r="C136" i="36"/>
  <c r="C138" i="36"/>
  <c r="C346" i="36" s="1"/>
  <c r="C140" i="36"/>
  <c r="C348" i="36" s="1"/>
  <c r="C154" i="36"/>
  <c r="C362" i="36" s="1"/>
  <c r="C344" i="36" l="1"/>
  <c r="C141" i="36"/>
  <c r="C349" i="36" s="1"/>
  <c r="C145" i="36"/>
  <c r="C353" i="36" s="1"/>
  <c r="C146" i="36"/>
  <c r="C354" i="36" s="1"/>
  <c r="C147" i="36"/>
  <c r="C355" i="36" s="1"/>
  <c r="C151" i="36"/>
  <c r="C359" i="36" s="1"/>
  <c r="C152" i="36"/>
  <c r="C360" i="36" s="1"/>
  <c r="C150" i="36"/>
  <c r="C358" i="36" s="1"/>
  <c r="C153" i="36"/>
  <c r="C361" i="36" s="1"/>
  <c r="C228" i="36" l="1"/>
  <c r="C229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imadmin</author>
  </authors>
  <commentList>
    <comment ref="DK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11 21 22 29 18 28 23</t>
        </r>
      </text>
    </comment>
    <comment ref="DL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31 51 41 61 40 60 42 62 39 49 38 58 48 68 43 63</t>
        </r>
      </text>
    </comment>
    <comment ref="DM2" authorId="1" shapeId="0" xr:uid="{00000000-0006-0000-0000-000003000000}">
      <text>
        <r>
          <rPr>
            <sz val="8"/>
            <color indexed="81"/>
            <rFont val="Tahoma"/>
            <family val="2"/>
          </rPr>
          <t>023</t>
        </r>
      </text>
    </comment>
    <comment ref="DN2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
43 63 53 55 56 57
</t>
        </r>
      </text>
    </comment>
  </commentList>
</comments>
</file>

<file path=xl/sharedStrings.xml><?xml version="1.0" encoding="utf-8"?>
<sst xmlns="http://schemas.openxmlformats.org/spreadsheetml/2006/main" count="2031" uniqueCount="478">
  <si>
    <t>Total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</si>
  <si>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</si>
  <si>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</si>
  <si>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</si>
  <si>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</si>
  <si>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</si>
  <si>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</si>
  <si>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</si>
  <si>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</si>
  <si>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</si>
  <si>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011</t>
  </si>
  <si>
    <t>012</t>
  </si>
  <si>
    <t>018</t>
  </si>
  <si>
    <t>020</t>
  </si>
  <si>
    <t>021</t>
  </si>
  <si>
    <t>022</t>
  </si>
  <si>
    <t>023</t>
  </si>
  <si>
    <t>028</t>
  </si>
  <si>
    <t>029</t>
  </si>
  <si>
    <t>031</t>
  </si>
  <si>
    <t>032</t>
  </si>
  <si>
    <t>038</t>
  </si>
  <si>
    <t>039</t>
  </si>
  <si>
    <t>040</t>
  </si>
  <si>
    <t>041</t>
  </si>
  <si>
    <t>042</t>
  </si>
  <si>
    <t>043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</si>
  <si>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</si>
  <si>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</si>
  <si>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</si>
  <si>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</si>
  <si>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</si>
  <si>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</si>
  <si>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</si>
  <si>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</si>
  <si>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</si>
  <si>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</si>
  <si>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</si>
  <si>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</si>
  <si>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</si>
  <si>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</si>
  <si>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</si>
  <si>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066</t>
  </si>
  <si>
    <t>068</t>
  </si>
  <si>
    <t>071A</t>
  </si>
  <si>
    <t>071C</t>
  </si>
  <si>
    <t>072</t>
  </si>
  <si>
    <t>073A</t>
  </si>
  <si>
    <t>073C</t>
  </si>
  <si>
    <t>074</t>
  </si>
  <si>
    <t>075</t>
  </si>
  <si>
    <t>076</t>
  </si>
  <si>
    <t>078</t>
  </si>
  <si>
    <t>079</t>
  </si>
  <si>
    <t>080</t>
  </si>
  <si>
    <t>081A</t>
  </si>
  <si>
    <t>081C</t>
  </si>
  <si>
    <t>082</t>
  </si>
  <si>
    <t>083A</t>
  </si>
  <si>
    <t>083C</t>
  </si>
  <si>
    <t>085</t>
  </si>
  <si>
    <t>086</t>
  </si>
  <si>
    <t>088</t>
  </si>
  <si>
    <t>089</t>
  </si>
  <si>
    <t>090</t>
  </si>
  <si>
    <t>091A</t>
  </si>
  <si>
    <t>091C</t>
  </si>
  <si>
    <t>092</t>
  </si>
  <si>
    <t>093</t>
  </si>
  <si>
    <t>094</t>
  </si>
  <si>
    <t>096</t>
  </si>
  <si>
    <t>097</t>
  </si>
  <si>
    <t>098</t>
  </si>
  <si>
    <t>099</t>
  </si>
  <si>
    <t>214</t>
  </si>
  <si>
    <t>215</t>
  </si>
  <si>
    <t>216</t>
  </si>
  <si>
    <t>401</t>
  </si>
  <si>
    <t>919</t>
  </si>
  <si>
    <t>404</t>
  </si>
  <si>
    <t>Aged, Blind &amp; Disabled</t>
  </si>
  <si>
    <t>Medicaid Population (incl Medicaid Exp PD94)</t>
  </si>
  <si>
    <t>PW</t>
  </si>
  <si>
    <t>FAMIS</t>
  </si>
  <si>
    <t>Aged</t>
  </si>
  <si>
    <t>B&amp;D</t>
  </si>
  <si>
    <t>Low-Income Children</t>
  </si>
  <si>
    <t>Low-Income Adults</t>
  </si>
  <si>
    <t>Pregnant Women</t>
  </si>
  <si>
    <t>Foster Care Children</t>
  </si>
  <si>
    <t>Medicaid Population (Title XIX only)</t>
  </si>
  <si>
    <t>31-68</t>
  </si>
  <si>
    <t>11-29</t>
  </si>
  <si>
    <t>FC</t>
  </si>
  <si>
    <t>TOTAL</t>
  </si>
  <si>
    <t>Adults</t>
  </si>
  <si>
    <t>Total Enrollment</t>
  </si>
  <si>
    <t>Children</t>
  </si>
  <si>
    <t>Title XXI - CHIP Population</t>
  </si>
  <si>
    <t>Title XIX &amp; XXI</t>
  </si>
  <si>
    <t>TDO</t>
  </si>
  <si>
    <t>Low-Income Adults and Children</t>
  </si>
  <si>
    <t>Annual Average Monthly Enrollment</t>
  </si>
  <si>
    <t>QMBs
(Limited Benefit)</t>
  </si>
  <si>
    <t>Current MCO Enrollment Percentage</t>
  </si>
  <si>
    <t>Caretaker Adults</t>
  </si>
  <si>
    <t>QMBs - B&amp;D</t>
  </si>
  <si>
    <t>QMBs - Aged</t>
  </si>
  <si>
    <t>024</t>
  </si>
  <si>
    <t>025</t>
  </si>
  <si>
    <t>044</t>
  </si>
  <si>
    <t>045</t>
  </si>
  <si>
    <t>010</t>
  </si>
  <si>
    <t>LTC: Waiver</t>
  </si>
  <si>
    <t>LTC: PACE</t>
  </si>
  <si>
    <t>LTC &amp; Non-LTC</t>
  </si>
  <si>
    <t>Aged, Blind, and Disabled</t>
  </si>
  <si>
    <t>035</t>
  </si>
  <si>
    <t>064</t>
  </si>
  <si>
    <t>065</t>
  </si>
  <si>
    <t>067</t>
  </si>
  <si>
    <t>070</t>
  </si>
  <si>
    <t>077</t>
  </si>
  <si>
    <t>35, 91a, 97</t>
  </si>
  <si>
    <t>084</t>
  </si>
  <si>
    <t>80,84</t>
  </si>
  <si>
    <t>72, 74, 76, 77, 86</t>
  </si>
  <si>
    <t>FAMM</t>
  </si>
  <si>
    <t>FAMK</t>
  </si>
  <si>
    <t>AGED</t>
  </si>
  <si>
    <t>QMBA</t>
  </si>
  <si>
    <t>BD</t>
  </si>
  <si>
    <t>QMBD</t>
  </si>
  <si>
    <t>QIs</t>
  </si>
  <si>
    <t>LICh</t>
  </si>
  <si>
    <t>LICA</t>
  </si>
  <si>
    <t>REFG</t>
  </si>
  <si>
    <t>FAMP</t>
  </si>
  <si>
    <t>Family Planning 
(Limited Benefit)</t>
  </si>
  <si>
    <t>014</t>
  </si>
  <si>
    <t>087</t>
  </si>
  <si>
    <t>109C</t>
  </si>
  <si>
    <t>109A</t>
  </si>
  <si>
    <t>Medicaid Crossover 
(Age 6-19 
109-143% FPL)</t>
  </si>
  <si>
    <t>FAMIS 
(Age 0-19 
143-200% FPL)</t>
  </si>
  <si>
    <t>100</t>
  </si>
  <si>
    <t>101</t>
  </si>
  <si>
    <t>102</t>
  </si>
  <si>
    <t>103</t>
  </si>
  <si>
    <t>106</t>
  </si>
  <si>
    <t>108</t>
  </si>
  <si>
    <t>Adults (non-disabled) &amp; Children</t>
  </si>
  <si>
    <t>ACA-Expansion Childless Adults</t>
  </si>
  <si>
    <t>ACA-Expansion Caretaker Adults</t>
  </si>
  <si>
    <t>ACA Expansion</t>
  </si>
  <si>
    <t>Childless Adults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</si>
  <si>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</si>
  <si>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</si>
  <si>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</si>
  <si>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</si>
  <si>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</si>
  <si>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</si>
  <si>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</si>
  <si>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</si>
  <si>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</si>
  <si>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</si>
  <si>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</si>
  <si>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</si>
  <si>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SFY20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</si>
  <si>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</si>
  <si>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</si>
  <si>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</si>
  <si>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</si>
  <si>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</si>
  <si>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</si>
  <si>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</si>
  <si>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</si>
  <si>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</si>
  <si>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</si>
  <si>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</si>
  <si>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</si>
  <si>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SFY21</t>
  </si>
  <si>
    <t>SFY22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</si>
  <si>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</si>
  <si>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</si>
  <si>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</si>
  <si>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</si>
  <si>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</si>
  <si>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</si>
  <si>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</si>
  <si>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</si>
  <si>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</si>
  <si>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</si>
  <si>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</si>
  <si>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</si>
  <si>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</si>
  <si>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110</t>
  </si>
  <si>
    <t>111</t>
  </si>
  <si>
    <t>112A</t>
  </si>
  <si>
    <t>112C</t>
  </si>
  <si>
    <t>113A</t>
  </si>
  <si>
    <t>113C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</si>
  <si>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</si>
  <si>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</si>
  <si>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</si>
  <si>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</si>
  <si>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</si>
  <si>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</si>
  <si>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</si>
  <si>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</si>
  <si>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</si>
  <si>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</si>
  <si>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</si>
  <si>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</si>
  <si>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SFY23</t>
  </si>
  <si>
    <t>Aug 2023</t>
  </si>
  <si>
    <t>Sep 2023</t>
  </si>
  <si>
    <t>Oct 2023</t>
  </si>
  <si>
    <t>Nov 2023</t>
  </si>
  <si>
    <t>Limited Benefit DOC and Emer Services</t>
  </si>
  <si>
    <t>100, 101</t>
  </si>
  <si>
    <t xml:space="preserve">Pre-Natal Coverage    </t>
  </si>
  <si>
    <t>Dec 2023</t>
  </si>
  <si>
    <t>Jan 2024</t>
  </si>
  <si>
    <t>MCHIP</t>
  </si>
  <si>
    <t>Feb 2025</t>
  </si>
  <si>
    <t>Mar 2024</t>
  </si>
  <si>
    <t>PRENATAL</t>
  </si>
  <si>
    <t>FAMIS Moms Pregnant Woman, Income &gt; 133% FPL &amp; &lt;= 166% FPL</t>
  </si>
  <si>
    <t>FAMIS Child under age 6, income &gt;150% poverty and &lt;=200% poverty.</t>
  </si>
  <si>
    <t>FAMIS Child 6-19 years old, income &gt;150% poverty and &lt;=200% poverty.</t>
  </si>
  <si>
    <t>FAMIS Child under age 6, income&gt;133% poverty and &lt;=150% poverty.</t>
  </si>
  <si>
    <t>FAMIS Child 6-19 years old, income&gt;133% poverty and &lt;=150% poverty</t>
  </si>
  <si>
    <t>FAMIS Deemed Newborn &lt;1 year old</t>
  </si>
  <si>
    <t>Aged SSI Recipient - Includes Dually Eligible QMB</t>
  </si>
  <si>
    <t>Aged AG Recipient - Includes Dually Eligible QMB</t>
  </si>
  <si>
    <t>MN Aged; December 1973 Individual ; Not Also QMB</t>
  </si>
  <si>
    <t xml:space="preserve">FAMIS DEEMED NEWBORN ABOVE 150% FPL   </t>
  </si>
  <si>
    <t>Aged - Protected Covered individual; Former Money Payment Recipient - August 1972; Former SSI/AG Recipient; Protected Widow(er); Qualified Severely Disabled Individual; Protected Adult Disabled Child.</t>
  </si>
  <si>
    <t>Aged - QMB Only</t>
  </si>
  <si>
    <t>M/N-Aged SLMB Plus</t>
  </si>
  <si>
    <t>300% SSI Aged SLMB Plus</t>
  </si>
  <si>
    <t>MN Aged Individual - December 1973 Individual; Dually Eligible QMB</t>
  </si>
  <si>
    <t>Aged, 80% FPL Group. Includes Dually Eligible QMB.</t>
  </si>
  <si>
    <t>Blind SSI Recipient - Includes Dually Eligible QMB.</t>
  </si>
  <si>
    <t>Blind AG Recipient - Includes Dually Eligible QMB.</t>
  </si>
  <si>
    <t>Presumptive Eligibility Adult (Pregnant). Age range 19 but less than 57</t>
  </si>
  <si>
    <t>MN Blind Individual; December 1873 Individual; Not also QMB.</t>
  </si>
  <si>
    <t>Blind, 80% FPL Group. Includes Dually Eligible QMB.</t>
  </si>
  <si>
    <t>Blind - Individual in Medical Institution or WS with income &lt;=300% SSI; Hospice Recipient; Not also QMB</t>
  </si>
  <si>
    <t>Blind - Protected Covered Individual; Former Money Pymt Recipient - August 1972; Former SSI/AG recipient; Protected Widow(er); Qualified Severely Disabled Individual; Protected Adult Disabled Child.</t>
  </si>
  <si>
    <t>Blind - Individual in Medical Institution or receiving Wavered Services with Income &lt;=300% SSI; Hospice Recipient in Medical Facility. Includes Dually Eligible QMB.</t>
  </si>
  <si>
    <t>Blind - QMB only.</t>
  </si>
  <si>
    <t>M/N-Blind/Disabled SLMB Plus</t>
  </si>
  <si>
    <t>300% SSI Blind/Disabled SLMB Plus</t>
  </si>
  <si>
    <t>MN Blind - Blind Individual; December 1973 Individual; Dually Eligible QMB.</t>
  </si>
  <si>
    <t>Disabled, 80% FPL Group. Includes Dually Eligible QMB.</t>
  </si>
  <si>
    <t>Disabled SSI Recipient. Includes Dually Eligible QMB.</t>
  </si>
  <si>
    <t>Disabled AG Recipient. Includes Dually Eligible QMB.</t>
  </si>
  <si>
    <t>Hospice Individual.</t>
  </si>
  <si>
    <t>Special Low Income Medicare Beneficiary (SLMB).</t>
  </si>
  <si>
    <t>Qualified Disabled Working Individual (QDWI).</t>
  </si>
  <si>
    <t>Qualified Individual (QI1).</t>
  </si>
  <si>
    <t>MN Disabled Individual; December 1973 Individual; Not also QMB.</t>
  </si>
  <si>
    <t>AC 059 - MEDICAID WORKS, Disabled, 138% FPL Group. Includes Dually Eligible QMB.</t>
  </si>
  <si>
    <t>Disabled - protected Covered Individual; Former Money Payment Recipient--August 1972; Protected Widow(er); Qualified Severely Disabled Individual; Protected Adult Disabled Child. Includes Dually Elig</t>
  </si>
  <si>
    <t>Disabled - QMB Only</t>
  </si>
  <si>
    <t>Disabled - Individual in Medical Institution or receiving Waiver Services with Income.  &lt;=300% SSI; Hospice Recipient. Includes Dually Eligible QMB.</t>
  </si>
  <si>
    <t>Disabled - Individual in Medical Institution or receiving Waiver Services with income. &lt;=300%SSI; Hospice Recipient in Medical Facility.  Not also QMB</t>
  </si>
  <si>
    <t>Presumptive Eligibility (PE) Child. Age less than 19</t>
  </si>
  <si>
    <t>Presumptive Eligibility (PE) Parent/Caretaker Relative</t>
  </si>
  <si>
    <t>Breast or Cervical Cancer Group</t>
  </si>
  <si>
    <t>PE Breast or Cervical Cancer Group</t>
  </si>
  <si>
    <t>MN Disabled Individual; December 1973 Individual; Dually Eligible QMB.</t>
  </si>
  <si>
    <t>Former Foster Care. Age 19&lt;26</t>
  </si>
  <si>
    <t>Non-IVE Adoption-assistance Child; special Medical Needs Adoption-assistance Individual. Includes Dually-eligible QMB.</t>
  </si>
  <si>
    <t>Non-IVE Foster Care Child. Includes Dually Eligible QMB.</t>
  </si>
  <si>
    <t>PE FORMER FOSTER CARE.</t>
  </si>
  <si>
    <t>Plan First. [family planning services only]</t>
  </si>
  <si>
    <t>Individual Under Age 21 in ICF or ICF-MR. Includes Dually-eligible QMB.</t>
  </si>
  <si>
    <t>PE PLAN FIRST</t>
  </si>
  <si>
    <r>
      <t xml:space="preserve">Former Money Payment Recipient--August 1972; Low-Income Family with Child(ren). -Unemployed Parent (LIFC-UP) Individual; 4-month or 12-month extended Medicaid Recipient. </t>
    </r>
    <r>
      <rPr>
        <b/>
        <sz val="11"/>
        <rFont val="Arial"/>
        <family val="2"/>
      </rPr>
      <t>CHILD</t>
    </r>
  </si>
  <si>
    <r>
      <t xml:space="preserve">Former Money Payment Recipient--August 1972; Low-Income Family with Child(ren) -Unemployed Parent (LIFC-UP) Individual; 4-month or 12-month extended Medicaid Recipient. </t>
    </r>
    <r>
      <rPr>
        <b/>
        <sz val="11"/>
        <rFont val="Arial"/>
        <family val="2"/>
      </rPr>
      <t>ADULT</t>
    </r>
  </si>
  <si>
    <t>MN Individual Under age 21; Juvenile Justice Department Child. Includes Dually- Eligible QMB.</t>
  </si>
  <si>
    <t>MN Individual under age 21; Non-IVE Foster-care Child or Non-IVE Adoption- assistance Child; Special Needs Adoption Assistance Child. Includes Dually-Eligible QMB.</t>
  </si>
  <si>
    <t>MN Child Under Age 18. Includes Dually-Eligible QMB</t>
  </si>
  <si>
    <t>Child Under Age 6 with income between 100% and 133% of poverty. Includes Dually- Eligible QMB.</t>
  </si>
  <si>
    <r>
      <t xml:space="preserve">Pregnant Woman; Child under age 6 with income &lt;=100% of poverty. Includes Dually-Eligible QMB. </t>
    </r>
    <r>
      <rPr>
        <b/>
        <sz val="11"/>
        <rFont val="Arial"/>
        <family val="2"/>
      </rPr>
      <t>ADULT</t>
    </r>
  </si>
  <si>
    <r>
      <t xml:space="preserve">Pregnant Woman; Child under age 6 with income &lt;=100% of poverty. Includes Dually-Eligible QMB. </t>
    </r>
    <r>
      <rPr>
        <b/>
        <sz val="11"/>
        <rFont val="Arial"/>
        <family val="2"/>
      </rPr>
      <t>CHILD</t>
    </r>
  </si>
  <si>
    <t>Child Age 6 to 19 with income &lt;= 100% poverty (insured or uninsured); Child age 6 to 19 with income &gt; 100% and &lt;=133% poverty (insured). Includes Dually-Eligible QMB.</t>
  </si>
  <si>
    <t>Newborn Child Under Age 1. Includes Dually Eligible QMB.</t>
  </si>
  <si>
    <t>Child Age 6 to 19. Income &gt; 100% poverty and &lt;= 133% poverty (uninsured).  FAMIS funded Medicaid Expansion</t>
  </si>
  <si>
    <t>MN Pregnant Woman. Includes Dually Eligible QMB.</t>
  </si>
  <si>
    <t>MN Individual Under Age 21 in a Nursing Facility. Includes Dually-Eligible QMB.</t>
  </si>
  <si>
    <t>MN Newborn Child UNDER Age 1. Includes Dually-Eligible QMB.</t>
  </si>
  <si>
    <t>Expansion ACA</t>
  </si>
  <si>
    <t>Caretaker Adult, age 19 to 65 , LE 100% FPL</t>
  </si>
  <si>
    <t>Caretaker Adult, age 19 to 65 , GT 100% FPL</t>
  </si>
  <si>
    <t>Adults, age 19 to 65 , LE 100% FPL</t>
  </si>
  <si>
    <t>Adults, age 19 to 65 , GT 100% FPL</t>
  </si>
  <si>
    <t>PE Adults, age 19 to 65, LE 133% FPL.  Emergency Services</t>
  </si>
  <si>
    <t>DOC Adults, age 19 to 65</t>
  </si>
  <si>
    <t>DOC FC/ABD - CHILD</t>
  </si>
  <si>
    <t>DOC FC/ABD - ADULT</t>
  </si>
  <si>
    <t>FAMIS Prenatal Coverage Group, Income LE 148% poverty</t>
  </si>
  <si>
    <t>FAMIS Prenatal Coverage Group, Income GE 149% poverty</t>
  </si>
  <si>
    <t>Emergency Services MAGI - ADULT</t>
  </si>
  <si>
    <t>Emergency Services MAGI - CHILD</t>
  </si>
  <si>
    <t>Emergency Services non-MAGI - ADULT</t>
  </si>
  <si>
    <t>Emergency Services non-MAGI - CHILD</t>
  </si>
  <si>
    <t>TDO - General District Court</t>
  </si>
  <si>
    <t>TDO - Juvenile and Domestic Court</t>
  </si>
  <si>
    <t>TDO - Combined District Court</t>
  </si>
  <si>
    <t>Premium Payment - COBRA</t>
  </si>
  <si>
    <t>Premium Payment - Individual</t>
  </si>
  <si>
    <t>Aged - Individual in Medical Institution or receiving Wavered Services with income. &lt;=300% SSI; Hospice Recipient; Not also QMB.</t>
  </si>
  <si>
    <t xml:space="preserve">AGED   </t>
  </si>
  <si>
    <t>Aged - Individuals in Medical Institution or receiving Wavered Services with Income.  &lt;=300% SSI; Hospice Recipient; Not also QMB.</t>
  </si>
  <si>
    <r>
      <t xml:space="preserve">Protected Covered Individual: Former Money payment Recipient--August 1972; Low- income Family with Child(ren) (LIFC) Individual; 4-month or 12 month-extended Medicaid Recipient. Includes Dually Eligible - </t>
    </r>
    <r>
      <rPr>
        <b/>
        <sz val="11"/>
        <rFont val="Arial"/>
        <family val="2"/>
      </rPr>
      <t>ADULT</t>
    </r>
  </si>
  <si>
    <r>
      <t xml:space="preserve">Protected Covered Individual: Former Money payment Recipient--August 1972; Low-income Family with Child(ren) (LIFC) Individual; 4-month or 12 month-extended Medicaid Recipient. Includes Dually Eligible - </t>
    </r>
    <r>
      <rPr>
        <b/>
        <sz val="11"/>
        <rFont val="Arial"/>
        <family val="2"/>
      </rPr>
      <t>CHILD</t>
    </r>
  </si>
  <si>
    <r>
      <t xml:space="preserve">Refugee Other or Refugee Medicaid Other. </t>
    </r>
    <r>
      <rPr>
        <b/>
        <sz val="11"/>
        <rFont val="Arial"/>
        <family val="2"/>
      </rPr>
      <t>ADULT</t>
    </r>
  </si>
  <si>
    <r>
      <t xml:space="preserve">Refugee Medicaid Unaccompanied Minor. </t>
    </r>
    <r>
      <rPr>
        <b/>
        <sz val="11"/>
        <rFont val="Arial"/>
        <family val="2"/>
      </rPr>
      <t>CHILD</t>
    </r>
  </si>
  <si>
    <r>
      <t xml:space="preserve">Juvenile Justice Department </t>
    </r>
    <r>
      <rPr>
        <b/>
        <sz val="11"/>
        <rFont val="Arial"/>
        <family val="2"/>
      </rPr>
      <t>Child</t>
    </r>
    <r>
      <rPr>
        <sz val="11"/>
        <rFont val="Arial"/>
        <family val="2"/>
      </rPr>
      <t>. Includes Dually Eligible QMB.</t>
    </r>
  </si>
  <si>
    <t>Month/AC</t>
  </si>
  <si>
    <t>Not Using: Ended 2005</t>
  </si>
  <si>
    <t xml:space="preserve">FAMIS  MOMS           </t>
  </si>
  <si>
    <t>SFY19</t>
  </si>
  <si>
    <t>Jul 2018</t>
  </si>
  <si>
    <t>Aug 2018</t>
  </si>
  <si>
    <t>Sep 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</si>
  <si>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</si>
  <si>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</si>
  <si>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</si>
  <si>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</si>
  <si>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</si>
  <si>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</si>
  <si>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</si>
  <si>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</si>
  <si>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</si>
  <si>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Apr 2024</t>
  </si>
  <si>
    <r>
      <t xml:space="preserve">SLH Foster Care:                </t>
    </r>
    <r>
      <rPr>
        <b/>
        <sz val="11"/>
        <color rgb="FFFF0000"/>
        <rFont val="Arial"/>
        <family val="2"/>
      </rPr>
      <t>Not Using (Ended 2009)</t>
    </r>
  </si>
  <si>
    <r>
      <t xml:space="preserve">SLH General Relief:  </t>
    </r>
    <r>
      <rPr>
        <b/>
        <sz val="11"/>
        <color rgb="FFFF0000"/>
        <rFont val="Arial"/>
        <family val="2"/>
      </rPr>
      <t>Not Using (Ended 2009)</t>
    </r>
  </si>
  <si>
    <r>
      <t xml:space="preserve">SLH Only:       </t>
    </r>
    <r>
      <rPr>
        <b/>
        <sz val="11"/>
        <color rgb="FFFF0000"/>
        <rFont val="Arial"/>
        <family val="2"/>
      </rPr>
      <t>Not Using (Ended 2009)</t>
    </r>
  </si>
  <si>
    <r>
      <t xml:space="preserve">SLH - Migrant    </t>
    </r>
    <r>
      <rPr>
        <b/>
        <sz val="11"/>
        <color rgb="FFFF0000"/>
        <rFont val="Arial"/>
        <family val="2"/>
      </rPr>
      <t>Not Using (Ended 2009)</t>
    </r>
  </si>
  <si>
    <t>Qualified Individual (QI2).           Not using: Ended 2002</t>
  </si>
  <si>
    <r>
      <t xml:space="preserve">TANF or Deemed TANF. Adult:  </t>
    </r>
    <r>
      <rPr>
        <b/>
        <sz val="11"/>
        <color rgb="FFFF0000"/>
        <rFont val="Arial"/>
        <family val="2"/>
      </rPr>
      <t>Not Using. Ended 2000</t>
    </r>
  </si>
  <si>
    <r>
      <rPr>
        <sz val="11"/>
        <color rgb="FF000000"/>
        <rFont val="Arial"/>
        <family val="2"/>
      </rPr>
      <t>TANF or Deemed TANF. Child:</t>
    </r>
    <r>
      <rPr>
        <b/>
        <sz val="11"/>
        <color indexed="8"/>
        <rFont val="Arial"/>
        <family val="2"/>
      </rPr>
      <t xml:space="preserve">  </t>
    </r>
    <r>
      <rPr>
        <b/>
        <sz val="11"/>
        <color rgb="FFFF0000"/>
        <rFont val="Arial"/>
        <family val="2"/>
      </rPr>
      <t>Not Using. Ended 2000</t>
    </r>
  </si>
  <si>
    <r>
      <rPr>
        <sz val="11"/>
        <color rgb="FF000000"/>
        <rFont val="Arial"/>
        <family val="2"/>
      </rPr>
      <t xml:space="preserve">TANF Up or Deemed TANF Up. Adult: 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Not Using. Ended 2000</t>
    </r>
  </si>
  <si>
    <r>
      <t xml:space="preserve">IV-E Foster Child or IV-E Adoption Assistance. </t>
    </r>
    <r>
      <rPr>
        <b/>
        <sz val="11"/>
        <color rgb="FFFF0000"/>
        <rFont val="Arial"/>
        <family val="2"/>
      </rPr>
      <t>Not Using. Ended 2013</t>
    </r>
  </si>
  <si>
    <r>
      <t xml:space="preserve">GAP            </t>
    </r>
    <r>
      <rPr>
        <b/>
        <sz val="11"/>
        <color rgb="FFFF0000"/>
        <rFont val="Arial"/>
        <family val="2"/>
      </rPr>
      <t xml:space="preserve">Not Using. </t>
    </r>
  </si>
  <si>
    <r>
      <rPr>
        <sz val="11"/>
        <color rgb="FF000000"/>
        <rFont val="Arial"/>
        <family val="2"/>
      </rPr>
      <t>Medically Needy Adult</t>
    </r>
    <r>
      <rPr>
        <b/>
        <sz val="11"/>
        <color indexed="8"/>
        <rFont val="Arial"/>
        <family val="2"/>
      </rPr>
      <t xml:space="preserve">  </t>
    </r>
    <r>
      <rPr>
        <b/>
        <sz val="11"/>
        <color rgb="FFFF0000"/>
        <rFont val="Arial"/>
        <family val="2"/>
      </rPr>
      <t>Not Using:  Ended 1999</t>
    </r>
  </si>
  <si>
    <r>
      <rPr>
        <sz val="11"/>
        <color rgb="FF000000"/>
        <rFont val="Arial"/>
        <family val="2"/>
      </rPr>
      <t>Medically Needy Adult/Child.</t>
    </r>
    <r>
      <rPr>
        <b/>
        <sz val="11"/>
        <color indexed="8"/>
        <rFont val="Arial"/>
        <family val="2"/>
      </rPr>
      <t xml:space="preserve">  </t>
    </r>
    <r>
      <rPr>
        <b/>
        <sz val="11"/>
        <color rgb="FFFF0000"/>
        <rFont val="Arial"/>
        <family val="2"/>
      </rPr>
      <t>Not Using:  Ended 1999</t>
    </r>
  </si>
  <si>
    <t>SLH</t>
  </si>
  <si>
    <t xml:space="preserve">SLH </t>
  </si>
  <si>
    <t>LIFC:A</t>
  </si>
  <si>
    <t>LIFC</t>
  </si>
  <si>
    <t>Dept of Corrections/Emer Serv (Limited Benefit)</t>
  </si>
  <si>
    <t>Title XIX - Medicaid Population</t>
  </si>
  <si>
    <t xml:space="preserve">Dept of Corrections/Emergency Services (Limited Benefit)   </t>
  </si>
  <si>
    <t xml:space="preserve">GAP (Former) /Dept of Corrections/Emergency Services (Limited Benefit)   </t>
  </si>
  <si>
    <t xml:space="preserve"> 108, 112A, 112C</t>
  </si>
  <si>
    <t>102, 103, 106 (PE Adults, Full Cov - Limited Time)</t>
  </si>
  <si>
    <t>May 2024</t>
  </si>
  <si>
    <t>Jun 2024</t>
  </si>
  <si>
    <t>SFY24</t>
  </si>
  <si>
    <t>SFY25 YTD</t>
  </si>
  <si>
    <t xml:space="preserve">Non-Long Term Care (LTC)
</t>
  </si>
  <si>
    <t>LTC: 
NF/ICF ID</t>
  </si>
  <si>
    <t>Jul 2024</t>
  </si>
  <si>
    <t>MCO Report</t>
  </si>
  <si>
    <t/>
  </si>
  <si>
    <t>109 (DOC FC/ABD)/113 A, 113C + GAP</t>
  </si>
  <si>
    <t>Family Planning Waiver</t>
  </si>
  <si>
    <t>MCHIP (Cross-Over)</t>
  </si>
  <si>
    <t>Sum (B4:CX4)</t>
  </si>
  <si>
    <t>Aug 2024</t>
  </si>
  <si>
    <t>Apr2010</t>
  </si>
  <si>
    <t>May2010</t>
  </si>
  <si>
    <t>Jun2010</t>
  </si>
  <si>
    <t>Jul2010</t>
  </si>
  <si>
    <t>Aug2010</t>
  </si>
  <si>
    <t>Sep2010</t>
  </si>
  <si>
    <t>Oct2010</t>
  </si>
  <si>
    <t>Nov 2010</t>
  </si>
  <si>
    <t>Dec 2010</t>
  </si>
  <si>
    <t>Jan 2011</t>
  </si>
  <si>
    <t>Feb 2011</t>
  </si>
  <si>
    <t>Mar 2011</t>
  </si>
  <si>
    <t>Apr 2011</t>
  </si>
  <si>
    <t>May2011</t>
  </si>
  <si>
    <t>Jun2011</t>
  </si>
  <si>
    <t>Jul2011</t>
  </si>
  <si>
    <t>Aug2011</t>
  </si>
  <si>
    <t>Sep2011</t>
  </si>
  <si>
    <t>Oct2011</t>
  </si>
  <si>
    <t>Nov2011</t>
  </si>
  <si>
    <t>Dec2011</t>
  </si>
  <si>
    <t>Jan 2012</t>
  </si>
  <si>
    <t>Feb 2012</t>
  </si>
  <si>
    <t>Mar 2012</t>
  </si>
  <si>
    <t>Apr 2012</t>
  </si>
  <si>
    <t>May2012</t>
  </si>
  <si>
    <t>Jun2012</t>
  </si>
  <si>
    <t>Jul2012</t>
  </si>
  <si>
    <t>Aug2012</t>
  </si>
  <si>
    <t>Sep2012</t>
  </si>
  <si>
    <t>Oct2012</t>
  </si>
  <si>
    <t>Nov2012</t>
  </si>
  <si>
    <t>Dec2012</t>
  </si>
  <si>
    <t>Jan 2013</t>
  </si>
  <si>
    <t>Feb 2013</t>
  </si>
  <si>
    <t>Mar 2013</t>
  </si>
  <si>
    <t>Apr 2013</t>
  </si>
  <si>
    <t>May2013</t>
  </si>
  <si>
    <t>Jun2013</t>
  </si>
  <si>
    <t>Jul 2013</t>
  </si>
  <si>
    <t>Aug2013</t>
  </si>
  <si>
    <t>Sept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</si>
  <si>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</si>
  <si>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</si>
  <si>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</si>
  <si>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</si>
  <si>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</si>
  <si>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</si>
  <si>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</si>
  <si>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</si>
  <si>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</si>
  <si>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</si>
  <si>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</si>
  <si>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</si>
  <si>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</si>
  <si>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</si>
  <si>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</si>
  <si>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</si>
  <si>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</si>
  <si>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</si>
  <si>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</si>
  <si>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</si>
  <si>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</si>
  <si>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</si>
  <si>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</si>
  <si>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</si>
  <si>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</si>
  <si>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</si>
  <si>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</si>
  <si>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</si>
  <si>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</si>
  <si>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</si>
  <si>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</si>
  <si>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</si>
  <si>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</si>
  <si>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</si>
  <si>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</si>
  <si>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</si>
  <si>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</si>
  <si>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</si>
  <si>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</si>
  <si>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</si>
  <si>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</si>
  <si>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</si>
  <si>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</si>
  <si>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</si>
  <si>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</si>
  <si>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</si>
  <si>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</si>
  <si>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</si>
  <si>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</si>
  <si>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</si>
  <si>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</si>
  <si>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</si>
  <si>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</si>
  <si>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</si>
  <si>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</si>
  <si>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</si>
  <si>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</si>
  <si>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Enrollment Report</t>
  </si>
  <si>
    <t>Sep 2024</t>
  </si>
  <si>
    <t xml:space="preserve">Dept of Corrections/ Emergency Services (Limited Benefit)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</si>
</sst>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1"/>
      <color indexed="23"/>
      <name val="Arial"/>
      <family val="2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0"/>
      <color theme="8" tint="-0.49998474074526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 Black"/>
      <family val="2"/>
    </font>
    <font>
      <sz val="14"/>
      <color indexed="8"/>
      <name val="Arial Black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u/>
      <sz val="14"/>
      <color indexed="54"/>
      <name val="Arial"/>
      <family val="2"/>
    </font>
  </fonts>
  <fills count="1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/>
      <bottom/>
      <diagonal/>
    </border>
    <border>
      <left style="double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54"/>
      </bottom>
      <diagonal/>
    </border>
    <border>
      <left style="thin">
        <color indexed="64"/>
      </left>
      <right style="double">
        <color indexed="23"/>
      </right>
      <top style="thin">
        <color indexed="64"/>
      </top>
      <bottom/>
      <diagonal/>
    </border>
    <border>
      <left style="thin">
        <color indexed="64"/>
      </left>
      <right style="double">
        <color indexed="23"/>
      </right>
      <top/>
      <bottom style="thin">
        <color indexed="23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double">
        <color indexed="23"/>
      </left>
      <right/>
      <top style="thin">
        <color indexed="23"/>
      </top>
      <bottom style="thin">
        <color indexed="64"/>
      </bottom>
      <diagonal/>
    </border>
    <border>
      <left style="double">
        <color indexed="23"/>
      </left>
      <right/>
      <top style="thin">
        <color indexed="23"/>
      </top>
      <bottom style="thin">
        <color indexed="23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23"/>
      </bottom>
      <diagonal/>
    </border>
    <border>
      <left style="thin">
        <color indexed="23"/>
      </left>
      <right style="double">
        <color auto="1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double">
        <color indexed="23"/>
      </right>
      <top/>
      <bottom/>
      <diagonal/>
    </border>
    <border>
      <left style="thin">
        <color indexed="64"/>
      </left>
      <right/>
      <top/>
      <bottom style="thin">
        <color indexed="5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tted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dotted">
        <color indexed="8"/>
      </top>
      <bottom style="thin">
        <color indexed="22"/>
      </bottom>
      <diagonal/>
    </border>
    <border>
      <left/>
      <right/>
      <top/>
      <bottom style="dotted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tted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43" fontId="20" fillId="0" borderId="0" applyFont="0" applyFill="0" applyBorder="0" applyAlignment="0" applyProtection="0"/>
    <xf numFmtId="0" fontId="22" fillId="0" borderId="0"/>
    <xf numFmtId="9" fontId="20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1">
      <alignment horizontal="center"/>
    </xf>
    <xf numFmtId="3" fontId="31" fillId="0" borderId="0" applyFont="0" applyFill="0" applyBorder="0" applyAlignment="0" applyProtection="0"/>
    <xf numFmtId="0" fontId="31" fillId="2" borderId="0" applyNumberFormat="0" applyFont="0" applyBorder="0" applyAlignment="0" applyProtection="0"/>
    <xf numFmtId="0" fontId="33" fillId="0" borderId="0"/>
    <xf numFmtId="0" fontId="19" fillId="0" borderId="0"/>
    <xf numFmtId="0" fontId="34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0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11">
    <xf numFmtId="0" fontId="0" fillId="0" borderId="0" xfId="0"/>
    <xf numFmtId="3" fontId="0" fillId="0" borderId="0" xfId="0" applyNumberFormat="1"/>
    <xf numFmtId="0" fontId="22" fillId="3" borderId="3" xfId="2" applyFill="1" applyBorder="1" applyAlignment="1">
      <alignment horizontal="center"/>
    </xf>
    <xf numFmtId="0" fontId="22" fillId="0" borderId="0" xfId="2" applyAlignment="1">
      <alignment horizontal="center"/>
    </xf>
    <xf numFmtId="0" fontId="0" fillId="0" borderId="0" xfId="0" applyAlignment="1">
      <alignment horizontal="center"/>
    </xf>
    <xf numFmtId="9" fontId="0" fillId="0" borderId="0" xfId="3" applyFont="1"/>
    <xf numFmtId="164" fontId="0" fillId="0" borderId="0" xfId="3" applyNumberFormat="1" applyFont="1"/>
    <xf numFmtId="0" fontId="22" fillId="3" borderId="6" xfId="2" applyFill="1" applyBorder="1" applyAlignment="1">
      <alignment horizontal="center"/>
    </xf>
    <xf numFmtId="0" fontId="0" fillId="0" borderId="0" xfId="0" applyAlignment="1">
      <alignment horizontal="right"/>
    </xf>
    <xf numFmtId="16" fontId="0" fillId="0" borderId="0" xfId="0" quotePrefix="1" applyNumberFormat="1" applyAlignment="1">
      <alignment horizontal="right"/>
    </xf>
    <xf numFmtId="14" fontId="0" fillId="0" borderId="0" xfId="0" applyNumberFormat="1"/>
    <xf numFmtId="165" fontId="20" fillId="0" borderId="0" xfId="1" applyNumberFormat="1"/>
    <xf numFmtId="0" fontId="0" fillId="5" borderId="6" xfId="0" applyFill="1" applyBorder="1" applyAlignment="1">
      <alignment horizontal="center"/>
    </xf>
    <xf numFmtId="164" fontId="20" fillId="0" borderId="0" xfId="3" applyNumberFormat="1"/>
    <xf numFmtId="14" fontId="22" fillId="0" borderId="0" xfId="2" applyNumberFormat="1" applyAlignment="1">
      <alignment horizontal="right" wrapText="1"/>
    </xf>
    <xf numFmtId="3" fontId="20" fillId="0" borderId="0" xfId="1" applyNumberFormat="1" applyBorder="1" applyAlignment="1">
      <alignment horizontal="center"/>
    </xf>
    <xf numFmtId="165" fontId="29" fillId="0" borderId="0" xfId="1" applyNumberFormat="1" applyFont="1" applyFill="1" applyBorder="1"/>
    <xf numFmtId="3" fontId="20" fillId="0" borderId="0" xfId="1" applyNumberFormat="1" applyFont="1" applyBorder="1" applyAlignment="1">
      <alignment horizontal="center"/>
    </xf>
    <xf numFmtId="3" fontId="20" fillId="0" borderId="0" xfId="1" applyNumberFormat="1" applyFill="1" applyBorder="1" applyAlignment="1">
      <alignment horizontal="center"/>
    </xf>
    <xf numFmtId="9" fontId="0" fillId="0" borderId="0" xfId="3" applyFont="1" applyBorder="1" applyAlignment="1">
      <alignment horizontal="right"/>
    </xf>
    <xf numFmtId="9" fontId="0" fillId="0" borderId="0" xfId="3" applyFont="1" applyAlignment="1"/>
    <xf numFmtId="165" fontId="0" fillId="0" borderId="0" xfId="1" applyNumberFormat="1" applyFont="1" applyFill="1"/>
    <xf numFmtId="0" fontId="22" fillId="0" borderId="0" xfId="2" applyAlignment="1">
      <alignment horizontal="right" wrapText="1"/>
    </xf>
    <xf numFmtId="0" fontId="20" fillId="0" borderId="0" xfId="0" applyFont="1"/>
    <xf numFmtId="165" fontId="29" fillId="0" borderId="0" xfId="1" quotePrefix="1" applyNumberFormat="1" applyFont="1" applyFill="1" applyBorder="1" applyAlignment="1"/>
    <xf numFmtId="165" fontId="29" fillId="0" borderId="0" xfId="1" quotePrefix="1" applyNumberFormat="1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165" fontId="20" fillId="0" borderId="0" xfId="1" applyNumberFormat="1" applyFont="1" applyFill="1"/>
    <xf numFmtId="0" fontId="20" fillId="0" borderId="0" xfId="17"/>
    <xf numFmtId="0" fontId="20" fillId="0" borderId="0" xfId="17" applyAlignment="1">
      <alignment horizontal="right"/>
    </xf>
    <xf numFmtId="9" fontId="20" fillId="0" borderId="0" xfId="17" applyNumberFormat="1"/>
    <xf numFmtId="3" fontId="20" fillId="0" borderId="0" xfId="17" applyNumberFormat="1"/>
    <xf numFmtId="165" fontId="20" fillId="0" borderId="0" xfId="17" applyNumberFormat="1"/>
    <xf numFmtId="164" fontId="20" fillId="0" borderId="0" xfId="17" applyNumberFormat="1"/>
    <xf numFmtId="165" fontId="20" fillId="0" borderId="0" xfId="1" applyNumberFormat="1" applyFont="1" applyFill="1" applyAlignment="1">
      <alignment horizontal="center"/>
    </xf>
    <xf numFmtId="0" fontId="26" fillId="0" borderId="0" xfId="17" applyFont="1"/>
    <xf numFmtId="0" fontId="30" fillId="0" borderId="0" xfId="17" applyFont="1" applyAlignment="1">
      <alignment horizontal="left"/>
    </xf>
    <xf numFmtId="0" fontId="23" fillId="6" borderId="0" xfId="17" applyFont="1" applyFill="1" applyAlignment="1">
      <alignment horizontal="left"/>
    </xf>
    <xf numFmtId="3" fontId="23" fillId="6" borderId="10" xfId="17" applyNumberFormat="1" applyFont="1" applyFill="1" applyBorder="1" applyAlignment="1">
      <alignment horizontal="center"/>
    </xf>
    <xf numFmtId="165" fontId="30" fillId="0" borderId="0" xfId="17" applyNumberFormat="1" applyFont="1"/>
    <xf numFmtId="0" fontId="27" fillId="0" borderId="0" xfId="17" applyFont="1" applyAlignment="1">
      <alignment wrapText="1"/>
    </xf>
    <xf numFmtId="0" fontId="27" fillId="0" borderId="0" xfId="17" applyFont="1" applyAlignment="1">
      <alignment horizontal="right" wrapText="1"/>
    </xf>
    <xf numFmtId="0" fontId="27" fillId="0" borderId="0" xfId="17" applyFont="1"/>
    <xf numFmtId="0" fontId="27" fillId="0" borderId="0" xfId="17" applyFont="1" applyAlignment="1">
      <alignment horizontal="right"/>
    </xf>
    <xf numFmtId="0" fontId="28" fillId="0" borderId="0" xfId="17" applyFont="1"/>
    <xf numFmtId="0" fontId="28" fillId="0" borderId="0" xfId="17" applyFont="1" applyAlignment="1">
      <alignment horizontal="right"/>
    </xf>
    <xf numFmtId="0" fontId="22" fillId="3" borderId="3" xfId="2" applyFill="1" applyBorder="1" applyAlignment="1">
      <alignment horizontal="center" wrapText="1"/>
    </xf>
    <xf numFmtId="3" fontId="20" fillId="11" borderId="0" xfId="1" applyNumberFormat="1" applyFill="1" applyBorder="1" applyAlignment="1">
      <alignment horizontal="center"/>
    </xf>
    <xf numFmtId="0" fontId="18" fillId="0" borderId="0" xfId="18"/>
    <xf numFmtId="14" fontId="18" fillId="0" borderId="0" xfId="18" applyNumberFormat="1"/>
    <xf numFmtId="0" fontId="16" fillId="0" borderId="0" xfId="20"/>
    <xf numFmtId="14" fontId="16" fillId="0" borderId="0" xfId="20" applyNumberFormat="1"/>
    <xf numFmtId="0" fontId="15" fillId="0" borderId="0" xfId="21"/>
    <xf numFmtId="14" fontId="15" fillId="0" borderId="0" xfId="21" applyNumberFormat="1"/>
    <xf numFmtId="0" fontId="14" fillId="0" borderId="0" xfId="22"/>
    <xf numFmtId="14" fontId="14" fillId="0" borderId="0" xfId="22" applyNumberFormat="1"/>
    <xf numFmtId="14" fontId="12" fillId="0" borderId="0" xfId="24" applyNumberFormat="1"/>
    <xf numFmtId="0" fontId="12" fillId="0" borderId="0" xfId="24"/>
    <xf numFmtId="3" fontId="20" fillId="0" borderId="15" xfId="1" applyNumberFormat="1" applyFill="1" applyBorder="1" applyAlignment="1">
      <alignment horizontal="center"/>
    </xf>
    <xf numFmtId="3" fontId="26" fillId="0" borderId="15" xfId="1" applyNumberFormat="1" applyFont="1" applyBorder="1" applyAlignment="1">
      <alignment horizontal="center"/>
    </xf>
    <xf numFmtId="165" fontId="30" fillId="0" borderId="0" xfId="1" quotePrefix="1" applyNumberFormat="1" applyFont="1" applyFill="1" applyBorder="1" applyAlignment="1"/>
    <xf numFmtId="0" fontId="22" fillId="12" borderId="3" xfId="2" applyFill="1" applyBorder="1" applyAlignment="1">
      <alignment horizontal="center"/>
    </xf>
    <xf numFmtId="0" fontId="22" fillId="12" borderId="3" xfId="2" applyFill="1" applyBorder="1" applyAlignment="1">
      <alignment horizontal="center" wrapText="1"/>
    </xf>
    <xf numFmtId="3" fontId="20" fillId="0" borderId="25" xfId="1" applyNumberFormat="1" applyBorder="1" applyAlignment="1">
      <alignment horizontal="center"/>
    </xf>
    <xf numFmtId="3" fontId="20" fillId="0" borderId="25" xfId="1" applyNumberFormat="1" applyFill="1" applyBorder="1" applyAlignment="1">
      <alignment horizontal="center"/>
    </xf>
    <xf numFmtId="165" fontId="30" fillId="0" borderId="26" xfId="17" applyNumberFormat="1" applyFont="1" applyBorder="1"/>
    <xf numFmtId="3" fontId="20" fillId="0" borderId="15" xfId="1" applyNumberFormat="1" applyBorder="1" applyAlignment="1">
      <alignment horizontal="center"/>
    </xf>
    <xf numFmtId="3" fontId="20" fillId="0" borderId="4" xfId="1" applyNumberFormat="1" applyBorder="1" applyAlignment="1">
      <alignment horizontal="center"/>
    </xf>
    <xf numFmtId="3" fontId="26" fillId="0" borderId="4" xfId="1" applyNumberFormat="1" applyFont="1" applyFill="1" applyBorder="1" applyAlignment="1">
      <alignment horizontal="center"/>
    </xf>
    <xf numFmtId="3" fontId="26" fillId="0" borderId="34" xfId="1" applyNumberFormat="1" applyFont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0" fillId="0" borderId="0" xfId="26"/>
    <xf numFmtId="14" fontId="10" fillId="0" borderId="0" xfId="26" applyNumberFormat="1"/>
    <xf numFmtId="14" fontId="30" fillId="7" borderId="0" xfId="17" applyNumberFormat="1" applyFont="1" applyFill="1" applyAlignment="1">
      <alignment horizontal="left"/>
    </xf>
    <xf numFmtId="0" fontId="22" fillId="3" borderId="6" xfId="2" applyFill="1" applyBorder="1" applyAlignment="1">
      <alignment horizontal="center" wrapText="1"/>
    </xf>
    <xf numFmtId="0" fontId="9" fillId="0" borderId="0" xfId="27"/>
    <xf numFmtId="14" fontId="9" fillId="0" borderId="0" xfId="27" applyNumberFormat="1"/>
    <xf numFmtId="0" fontId="0" fillId="11" borderId="0" xfId="0" applyFill="1"/>
    <xf numFmtId="0" fontId="37" fillId="6" borderId="0" xfId="17" applyFont="1" applyFill="1" applyAlignment="1">
      <alignment horizontal="center"/>
    </xf>
    <xf numFmtId="0" fontId="20" fillId="3" borderId="28" xfId="2" applyFont="1" applyFill="1" applyBorder="1" applyAlignment="1">
      <alignment horizontal="center"/>
    </xf>
    <xf numFmtId="0" fontId="20" fillId="3" borderId="5" xfId="2" applyFont="1" applyFill="1" applyBorder="1" applyAlignment="1">
      <alignment horizontal="center"/>
    </xf>
    <xf numFmtId="0" fontId="20" fillId="3" borderId="0" xfId="2" applyFont="1" applyFill="1" applyAlignment="1">
      <alignment horizontal="center" vertical="center" wrapText="1"/>
    </xf>
    <xf numFmtId="0" fontId="20" fillId="12" borderId="0" xfId="2" applyFont="1" applyFill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38" fillId="3" borderId="33" xfId="2" applyFont="1" applyFill="1" applyBorder="1" applyAlignment="1">
      <alignment horizontal="center" vertical="center" wrapText="1"/>
    </xf>
    <xf numFmtId="0" fontId="7" fillId="0" borderId="0" xfId="29"/>
    <xf numFmtId="14" fontId="7" fillId="0" borderId="0" xfId="29" applyNumberFormat="1"/>
    <xf numFmtId="165" fontId="30" fillId="0" borderId="26" xfId="1" applyNumberFormat="1" applyFont="1" applyFill="1" applyBorder="1"/>
    <xf numFmtId="165" fontId="26" fillId="0" borderId="36" xfId="1" applyNumberFormat="1" applyFont="1" applyFill="1" applyBorder="1"/>
    <xf numFmtId="165" fontId="26" fillId="0" borderId="0" xfId="1" applyNumberFormat="1" applyFont="1"/>
    <xf numFmtId="165" fontId="41" fillId="0" borderId="0" xfId="1" applyNumberFormat="1" applyFont="1"/>
    <xf numFmtId="165" fontId="26" fillId="0" borderId="0" xfId="1" applyNumberFormat="1" applyFont="1" applyFill="1"/>
    <xf numFmtId="0" fontId="39" fillId="12" borderId="0" xfId="2" applyFont="1" applyFill="1" applyAlignment="1">
      <alignment horizontal="center" vertical="center" wrapText="1"/>
    </xf>
    <xf numFmtId="3" fontId="20" fillId="11" borderId="15" xfId="1" applyNumberFormat="1" applyFill="1" applyBorder="1" applyAlignment="1">
      <alignment horizontal="center"/>
    </xf>
    <xf numFmtId="165" fontId="20" fillId="11" borderId="0" xfId="1" applyNumberFormat="1" applyFont="1" applyFill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2" fillId="0" borderId="0" xfId="0" applyFont="1"/>
    <xf numFmtId="0" fontId="42" fillId="0" borderId="0" xfId="0" applyFont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43" fillId="10" borderId="0" xfId="0" applyFont="1" applyFill="1" applyAlignment="1">
      <alignment vertical="center" wrapText="1"/>
    </xf>
    <xf numFmtId="0" fontId="44" fillId="3" borderId="2" xfId="2" applyFont="1" applyFill="1" applyBorder="1" applyAlignment="1">
      <alignment horizontal="center"/>
    </xf>
    <xf numFmtId="0" fontId="46" fillId="9" borderId="2" xfId="10" applyFont="1" applyFill="1" applyBorder="1" applyAlignment="1">
      <alignment horizontal="center"/>
    </xf>
    <xf numFmtId="0" fontId="47" fillId="9" borderId="2" xfId="10" applyFont="1" applyFill="1" applyBorder="1" applyAlignment="1">
      <alignment horizontal="center"/>
    </xf>
    <xf numFmtId="0" fontId="46" fillId="9" borderId="2" xfId="10" quotePrefix="1" applyFont="1" applyFill="1" applyBorder="1" applyAlignment="1">
      <alignment horizontal="center"/>
    </xf>
    <xf numFmtId="0" fontId="42" fillId="17" borderId="0" xfId="0" applyFont="1" applyFill="1" applyAlignment="1">
      <alignment vertical="center" wrapText="1"/>
    </xf>
    <xf numFmtId="0" fontId="46" fillId="14" borderId="2" xfId="10" quotePrefix="1" applyFont="1" applyFill="1" applyBorder="1" applyAlignment="1">
      <alignment horizontal="center"/>
    </xf>
    <xf numFmtId="49" fontId="46" fillId="9" borderId="2" xfId="10" applyNumberFormat="1" applyFont="1" applyFill="1" applyBorder="1" applyAlignment="1">
      <alignment horizontal="center"/>
    </xf>
    <xf numFmtId="0" fontId="42" fillId="13" borderId="0" xfId="0" applyFont="1" applyFill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6" fontId="45" fillId="11" borderId="14" xfId="0" quotePrefix="1" applyNumberFormat="1" applyFont="1" applyFill="1" applyBorder="1" applyAlignment="1">
      <alignment horizontal="center" vertical="center" wrapText="1"/>
    </xf>
    <xf numFmtId="166" fontId="45" fillId="0" borderId="14" xfId="0" applyNumberFormat="1" applyFont="1" applyBorder="1" applyAlignment="1">
      <alignment horizontal="center" vertical="center" wrapText="1"/>
    </xf>
    <xf numFmtId="166" fontId="45" fillId="0" borderId="14" xfId="0" quotePrefix="1" applyNumberFormat="1" applyFont="1" applyBorder="1" applyAlignment="1">
      <alignment horizontal="center" vertical="center" wrapText="1"/>
    </xf>
    <xf numFmtId="166" fontId="49" fillId="0" borderId="14" xfId="0" applyNumberFormat="1" applyFont="1" applyBorder="1" applyAlignment="1">
      <alignment horizontal="center" vertical="center" wrapText="1"/>
    </xf>
    <xf numFmtId="14" fontId="22" fillId="11" borderId="0" xfId="2" applyNumberFormat="1" applyFill="1" applyAlignment="1">
      <alignment horizontal="right" wrapText="1"/>
    </xf>
    <xf numFmtId="0" fontId="20" fillId="11" borderId="0" xfId="17" applyFill="1"/>
    <xf numFmtId="0" fontId="50" fillId="0" borderId="0" xfId="17" applyFont="1" applyAlignment="1">
      <alignment horizontal="left" vertical="top"/>
    </xf>
    <xf numFmtId="0" fontId="5" fillId="0" borderId="0" xfId="31"/>
    <xf numFmtId="14" fontId="5" fillId="0" borderId="0" xfId="31" applyNumberFormat="1"/>
    <xf numFmtId="0" fontId="4" fillId="0" borderId="0" xfId="32"/>
    <xf numFmtId="3" fontId="23" fillId="6" borderId="0" xfId="17" applyNumberFormat="1" applyFont="1" applyFill="1" applyAlignment="1">
      <alignment horizontal="center"/>
    </xf>
    <xf numFmtId="165" fontId="40" fillId="0" borderId="0" xfId="1" applyNumberFormat="1" applyFont="1" applyBorder="1" applyAlignment="1"/>
    <xf numFmtId="14" fontId="22" fillId="0" borderId="38" xfId="2" applyNumberFormat="1" applyBorder="1" applyAlignment="1">
      <alignment horizontal="right" wrapText="1"/>
    </xf>
    <xf numFmtId="0" fontId="22" fillId="0" borderId="38" xfId="2" applyBorder="1" applyAlignment="1">
      <alignment horizontal="right" wrapText="1"/>
    </xf>
    <xf numFmtId="0" fontId="22" fillId="10" borderId="38" xfId="2" applyFill="1" applyBorder="1" applyAlignment="1">
      <alignment horizontal="right" wrapText="1"/>
    </xf>
    <xf numFmtId="3" fontId="0" fillId="0" borderId="39" xfId="0" applyNumberFormat="1" applyBorder="1"/>
    <xf numFmtId="14" fontId="22" fillId="0" borderId="40" xfId="2" applyNumberFormat="1" applyBorder="1" applyAlignment="1">
      <alignment horizontal="right" wrapText="1"/>
    </xf>
    <xf numFmtId="0" fontId="22" fillId="0" borderId="40" xfId="2" applyBorder="1" applyAlignment="1">
      <alignment horizontal="right" wrapText="1"/>
    </xf>
    <xf numFmtId="0" fontId="22" fillId="10" borderId="40" xfId="2" applyFill="1" applyBorder="1" applyAlignment="1">
      <alignment horizontal="right" wrapText="1"/>
    </xf>
    <xf numFmtId="0" fontId="0" fillId="0" borderId="39" xfId="0" applyBorder="1"/>
    <xf numFmtId="14" fontId="22" fillId="0" borderId="41" xfId="2" applyNumberFormat="1" applyBorder="1" applyAlignment="1">
      <alignment horizontal="right" wrapText="1"/>
    </xf>
    <xf numFmtId="0" fontId="22" fillId="0" borderId="41" xfId="2" applyBorder="1" applyAlignment="1">
      <alignment horizontal="right" wrapText="1"/>
    </xf>
    <xf numFmtId="0" fontId="22" fillId="10" borderId="41" xfId="2" applyFill="1" applyBorder="1" applyAlignment="1">
      <alignment horizontal="right" wrapText="1"/>
    </xf>
    <xf numFmtId="3" fontId="0" fillId="0" borderId="42" xfId="0" applyNumberFormat="1" applyBorder="1"/>
    <xf numFmtId="0" fontId="0" fillId="0" borderId="42" xfId="0" applyBorder="1"/>
    <xf numFmtId="14" fontId="22" fillId="0" borderId="43" xfId="2" applyNumberFormat="1" applyBorder="1" applyAlignment="1">
      <alignment horizontal="right" wrapText="1"/>
    </xf>
    <xf numFmtId="0" fontId="22" fillId="0" borderId="43" xfId="2" applyBorder="1" applyAlignment="1">
      <alignment horizontal="right" wrapText="1"/>
    </xf>
    <xf numFmtId="0" fontId="22" fillId="10" borderId="43" xfId="2" applyFill="1" applyBorder="1" applyAlignment="1">
      <alignment horizontal="right" wrapText="1"/>
    </xf>
    <xf numFmtId="14" fontId="22" fillId="0" borderId="44" xfId="2" applyNumberFormat="1" applyBorder="1" applyAlignment="1">
      <alignment horizontal="right" wrapText="1"/>
    </xf>
    <xf numFmtId="0" fontId="22" fillId="0" borderId="44" xfId="2" applyBorder="1" applyAlignment="1">
      <alignment horizontal="right" wrapText="1"/>
    </xf>
    <xf numFmtId="0" fontId="22" fillId="10" borderId="44" xfId="2" applyFill="1" applyBorder="1" applyAlignment="1">
      <alignment horizontal="right" wrapText="1"/>
    </xf>
    <xf numFmtId="0" fontId="22" fillId="10" borderId="0" xfId="2" applyFill="1" applyAlignment="1">
      <alignment horizontal="right" wrapText="1"/>
    </xf>
    <xf numFmtId="0" fontId="0" fillId="10" borderId="0" xfId="0" applyFill="1"/>
    <xf numFmtId="1" fontId="22" fillId="0" borderId="0" xfId="2" applyNumberFormat="1" applyAlignment="1">
      <alignment horizontal="right" wrapText="1"/>
    </xf>
    <xf numFmtId="0" fontId="3" fillId="0" borderId="0" xfId="33"/>
    <xf numFmtId="14" fontId="3" fillId="0" borderId="0" xfId="33" applyNumberFormat="1"/>
    <xf numFmtId="0" fontId="22" fillId="11" borderId="0" xfId="2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15" borderId="0" xfId="0" applyFont="1" applyFill="1" applyAlignment="1">
      <alignment horizontal="center"/>
    </xf>
    <xf numFmtId="0" fontId="46" fillId="9" borderId="45" xfId="10" applyFont="1" applyFill="1" applyBorder="1" applyAlignment="1">
      <alignment horizontal="center" wrapText="1"/>
    </xf>
    <xf numFmtId="3" fontId="26" fillId="0" borderId="0" xfId="1" applyNumberFormat="1" applyFont="1" applyBorder="1" applyAlignment="1">
      <alignment horizontal="center"/>
    </xf>
    <xf numFmtId="3" fontId="20" fillId="0" borderId="8" xfId="1" applyNumberFormat="1" applyFont="1" applyBorder="1" applyAlignment="1">
      <alignment horizontal="center"/>
    </xf>
    <xf numFmtId="3" fontId="26" fillId="0" borderId="0" xfId="1" applyNumberFormat="1" applyFont="1" applyFill="1" applyBorder="1" applyAlignment="1">
      <alignment horizontal="center"/>
    </xf>
    <xf numFmtId="164" fontId="20" fillId="0" borderId="0" xfId="3" applyNumberFormat="1" applyBorder="1" applyAlignment="1">
      <alignment horizontal="center"/>
    </xf>
    <xf numFmtId="3" fontId="26" fillId="0" borderId="34" xfId="1" applyNumberFormat="1" applyFont="1" applyFill="1" applyBorder="1" applyAlignment="1">
      <alignment horizontal="center"/>
    </xf>
    <xf numFmtId="9" fontId="30" fillId="0" borderId="46" xfId="3" applyFont="1" applyFill="1" applyBorder="1" applyAlignment="1">
      <alignment horizontal="center"/>
    </xf>
    <xf numFmtId="9" fontId="30" fillId="0" borderId="47" xfId="3" applyFont="1" applyFill="1" applyBorder="1" applyAlignment="1">
      <alignment horizontal="center"/>
    </xf>
    <xf numFmtId="9" fontId="30" fillId="0" borderId="48" xfId="3" applyFont="1" applyFill="1" applyBorder="1" applyAlignment="1">
      <alignment horizontal="center"/>
    </xf>
    <xf numFmtId="165" fontId="20" fillId="0" borderId="0" xfId="1" applyNumberFormat="1" applyFont="1"/>
    <xf numFmtId="165" fontId="29" fillId="0" borderId="0" xfId="1" quotePrefix="1" applyNumberFormat="1" applyFont="1" applyBorder="1" applyAlignment="1"/>
    <xf numFmtId="165" fontId="29" fillId="0" borderId="0" xfId="1" quotePrefix="1" applyNumberFormat="1" applyFont="1" applyBorder="1" applyAlignment="1">
      <alignment horizontal="left"/>
    </xf>
    <xf numFmtId="0" fontId="29" fillId="0" borderId="0" xfId="1" quotePrefix="1" applyNumberFormat="1" applyFont="1" applyFill="1" applyBorder="1" applyAlignment="1">
      <alignment horizontal="left"/>
    </xf>
    <xf numFmtId="165" fontId="20" fillId="0" borderId="0" xfId="1" applyNumberFormat="1" applyFont="1" applyAlignment="1">
      <alignment horizontal="center"/>
    </xf>
    <xf numFmtId="0" fontId="23" fillId="6" borderId="6" xfId="17" applyFont="1" applyFill="1" applyBorder="1" applyAlignment="1">
      <alignment horizontal="left"/>
    </xf>
    <xf numFmtId="3" fontId="23" fillId="6" borderId="6" xfId="17" applyNumberFormat="1" applyFont="1" applyFill="1" applyBorder="1" applyAlignment="1">
      <alignment horizontal="center"/>
    </xf>
    <xf numFmtId="0" fontId="1" fillId="0" borderId="0" xfId="49"/>
    <xf numFmtId="14" fontId="1" fillId="0" borderId="0" xfId="49" applyNumberFormat="1"/>
    <xf numFmtId="0" fontId="0" fillId="4" borderId="6" xfId="0" applyFill="1" applyBorder="1" applyAlignment="1">
      <alignment horizontal="center"/>
    </xf>
    <xf numFmtId="0" fontId="36" fillId="5" borderId="0" xfId="17" applyFont="1" applyFill="1" applyAlignment="1">
      <alignment horizontal="center"/>
    </xf>
    <xf numFmtId="0" fontId="42" fillId="6" borderId="0" xfId="17" applyFont="1" applyFill="1" applyAlignment="1">
      <alignment horizontal="center"/>
    </xf>
    <xf numFmtId="0" fontId="38" fillId="5" borderId="37" xfId="2" applyFont="1" applyFill="1" applyBorder="1" applyAlignment="1">
      <alignment horizontal="center" vertical="center" wrapText="1"/>
    </xf>
    <xf numFmtId="0" fontId="20" fillId="3" borderId="28" xfId="2" applyFont="1" applyFill="1" applyBorder="1" applyAlignment="1">
      <alignment horizontal="center"/>
    </xf>
    <xf numFmtId="0" fontId="20" fillId="3" borderId="21" xfId="2" applyFont="1" applyFill="1" applyBorder="1" applyAlignment="1">
      <alignment horizontal="center"/>
    </xf>
    <xf numFmtId="0" fontId="20" fillId="3" borderId="32" xfId="2" applyFont="1" applyFill="1" applyBorder="1" applyAlignment="1">
      <alignment horizontal="center"/>
    </xf>
    <xf numFmtId="0" fontId="20" fillId="3" borderId="30" xfId="2" applyFont="1" applyFill="1" applyBorder="1" applyAlignment="1">
      <alignment horizontal="center"/>
    </xf>
    <xf numFmtId="0" fontId="20" fillId="3" borderId="5" xfId="2" applyFont="1" applyFill="1" applyBorder="1" applyAlignment="1">
      <alignment horizontal="center"/>
    </xf>
    <xf numFmtId="0" fontId="20" fillId="3" borderId="19" xfId="2" applyFont="1" applyFill="1" applyBorder="1" applyAlignment="1">
      <alignment horizontal="center"/>
    </xf>
    <xf numFmtId="0" fontId="20" fillId="12" borderId="17" xfId="2" applyFont="1" applyFill="1" applyBorder="1" applyAlignment="1">
      <alignment horizontal="center"/>
    </xf>
    <xf numFmtId="0" fontId="20" fillId="12" borderId="7" xfId="2" applyFont="1" applyFill="1" applyBorder="1" applyAlignment="1">
      <alignment horizontal="center"/>
    </xf>
    <xf numFmtId="0" fontId="20" fillId="12" borderId="18" xfId="2" applyFont="1" applyFill="1" applyBorder="1" applyAlignment="1">
      <alignment horizontal="center"/>
    </xf>
    <xf numFmtId="0" fontId="36" fillId="6" borderId="0" xfId="2" applyFont="1" applyFill="1" applyAlignment="1">
      <alignment horizontal="center" vertical="center"/>
    </xf>
    <xf numFmtId="0" fontId="36" fillId="6" borderId="22" xfId="2" applyFont="1" applyFill="1" applyBorder="1" applyAlignment="1">
      <alignment horizontal="center" vertical="center"/>
    </xf>
    <xf numFmtId="0" fontId="20" fillId="3" borderId="27" xfId="2" applyFont="1" applyFill="1" applyBorder="1" applyAlignment="1">
      <alignment horizontal="center"/>
    </xf>
    <xf numFmtId="0" fontId="20" fillId="3" borderId="20" xfId="2" applyFont="1" applyFill="1" applyBorder="1" applyAlignment="1">
      <alignment horizontal="center"/>
    </xf>
    <xf numFmtId="0" fontId="36" fillId="6" borderId="4" xfId="2" applyFont="1" applyFill="1" applyBorder="1" applyAlignment="1">
      <alignment horizontal="center" vertical="center"/>
    </xf>
    <xf numFmtId="0" fontId="36" fillId="6" borderId="35" xfId="2" applyFont="1" applyFill="1" applyBorder="1" applyAlignment="1">
      <alignment horizontal="center" vertical="center"/>
    </xf>
    <xf numFmtId="0" fontId="20" fillId="3" borderId="15" xfId="2" applyFont="1" applyFill="1" applyBorder="1" applyAlignment="1">
      <alignment horizontal="center"/>
    </xf>
    <xf numFmtId="0" fontId="20" fillId="3" borderId="0" xfId="2" applyFont="1" applyFill="1" applyAlignment="1">
      <alignment horizontal="center"/>
    </xf>
    <xf numFmtId="0" fontId="26" fillId="12" borderId="15" xfId="2" applyFont="1" applyFill="1" applyBorder="1" applyAlignment="1">
      <alignment horizontal="center" vertical="center" wrapText="1"/>
    </xf>
    <xf numFmtId="0" fontId="26" fillId="12" borderId="12" xfId="2" applyFont="1" applyFill="1" applyBorder="1" applyAlignment="1">
      <alignment horizontal="center" vertical="center" wrapText="1"/>
    </xf>
    <xf numFmtId="0" fontId="20" fillId="12" borderId="25" xfId="2" applyFont="1" applyFill="1" applyBorder="1" applyAlignment="1">
      <alignment horizontal="center" vertical="center" wrapText="1"/>
    </xf>
    <xf numFmtId="0" fontId="20" fillId="12" borderId="31" xfId="2" applyFont="1" applyFill="1" applyBorder="1" applyAlignment="1">
      <alignment horizontal="center" vertical="center" wrapText="1"/>
    </xf>
    <xf numFmtId="0" fontId="42" fillId="6" borderId="0" xfId="17" applyFont="1" applyFill="1" applyAlignment="1">
      <alignment horizontal="center" vertical="center"/>
    </xf>
    <xf numFmtId="0" fontId="20" fillId="3" borderId="0" xfId="2" applyFont="1" applyFill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12" borderId="0" xfId="2" applyFont="1" applyFill="1" applyAlignment="1">
      <alignment horizontal="center" vertical="center" wrapText="1"/>
    </xf>
    <xf numFmtId="0" fontId="20" fillId="12" borderId="13" xfId="2" applyFont="1" applyFill="1" applyBorder="1" applyAlignment="1">
      <alignment horizontal="center" vertical="center" wrapText="1"/>
    </xf>
    <xf numFmtId="0" fontId="38" fillId="12" borderId="23" xfId="2" applyFont="1" applyFill="1" applyBorder="1" applyAlignment="1">
      <alignment horizontal="center" vertical="center" wrapText="1"/>
    </xf>
    <xf numFmtId="0" fontId="38" fillId="12" borderId="24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6" xfId="2" applyFont="1" applyFill="1" applyBorder="1" applyAlignment="1">
      <alignment horizontal="center" vertical="center" wrapText="1"/>
    </xf>
    <xf numFmtId="0" fontId="39" fillId="12" borderId="49" xfId="2" applyFont="1" applyFill="1" applyBorder="1" applyAlignment="1">
      <alignment horizontal="center" vertical="center" wrapText="1"/>
    </xf>
    <xf numFmtId="0" fontId="39" fillId="12" borderId="0" xfId="2" applyFont="1" applyFill="1" applyAlignment="1">
      <alignment horizontal="center" vertical="center" wrapText="1"/>
    </xf>
    <xf numFmtId="0" fontId="39" fillId="12" borderId="50" xfId="2" applyFont="1" applyFill="1" applyBorder="1" applyAlignment="1">
      <alignment horizontal="center" vertical="center" wrapText="1"/>
    </xf>
    <xf numFmtId="0" fontId="39" fillId="12" borderId="37" xfId="2" applyFont="1" applyFill="1" applyBorder="1" applyAlignment="1">
      <alignment horizontal="center" vertical="center" wrapText="1"/>
    </xf>
    <xf numFmtId="0" fontId="38" fillId="3" borderId="23" xfId="2" applyFont="1" applyFill="1" applyBorder="1" applyAlignment="1">
      <alignment horizontal="center" vertical="center" wrapText="1"/>
    </xf>
    <xf numFmtId="0" fontId="38" fillId="3" borderId="24" xfId="2" applyFont="1" applyFill="1" applyBorder="1" applyAlignment="1">
      <alignment horizontal="center" vertical="center" wrapText="1"/>
    </xf>
    <xf numFmtId="0" fontId="20" fillId="12" borderId="15" xfId="2" applyFont="1" applyFill="1" applyBorder="1" applyAlignment="1">
      <alignment horizontal="center" vertical="center" wrapText="1"/>
    </xf>
    <xf numFmtId="0" fontId="20" fillId="12" borderId="12" xfId="2" applyFont="1" applyFill="1" applyBorder="1" applyAlignment="1">
      <alignment horizontal="center" vertical="center" wrapText="1"/>
    </xf>
  </cellXfs>
  <cellStyles count="50">
    <cellStyle name="Comma" xfId="1" builtinId="3"/>
    <cellStyle name="Comma 2" xfId="13" xr:uid="{00000000-0005-0000-0000-000002000000}"/>
    <cellStyle name="Comma 3" xfId="16" xr:uid="{00000000-0005-0000-0000-000003000000}"/>
    <cellStyle name="Comma 3 2" xfId="36" xr:uid="{3FE699F6-0320-4E61-ABF9-27CA23E196C9}"/>
    <cellStyle name="Currency 2" xfId="14" xr:uid="{00000000-0005-0000-0000-000005000000}"/>
    <cellStyle name="Normal" xfId="0" builtinId="0"/>
    <cellStyle name="Normal 10" xfId="23" xr:uid="{93E2354C-CCBA-41CD-8137-CE72677079A0}"/>
    <cellStyle name="Normal 10 2" xfId="42" xr:uid="{FBB95D95-9C5E-41E7-BB00-5665EEE99829}"/>
    <cellStyle name="Normal 11" xfId="24" xr:uid="{79307BBE-5EFC-4960-A057-130DBB1C73FE}"/>
    <cellStyle name="Normal 11 2" xfId="43" xr:uid="{9ADD93A2-F50C-44CD-B4B3-D4599A1EE23C}"/>
    <cellStyle name="Normal 12" xfId="26" xr:uid="{8685F872-76F4-47CA-8B3A-2D76E629EEA2}"/>
    <cellStyle name="Normal 12 2" xfId="44" xr:uid="{6E07BE97-2939-42D8-B425-83DECBE72E2A}"/>
    <cellStyle name="Normal 13" xfId="27" xr:uid="{068BA5E9-E70F-47EA-96F3-28D61770B854}"/>
    <cellStyle name="Normal 13 2" xfId="45" xr:uid="{F63C165C-1699-477F-90AD-213B791341DC}"/>
    <cellStyle name="Normal 14" xfId="29" xr:uid="{2EF23AA6-3033-4D9B-987F-1B4E3695C34B}"/>
    <cellStyle name="Normal 14 2" xfId="46" xr:uid="{08823EDE-A472-4BBF-8897-96E79E19D399}"/>
    <cellStyle name="Normal 15" xfId="30" xr:uid="{C05FEC08-C6CD-4087-BC0C-004A908FC05F}"/>
    <cellStyle name="Normal 16" xfId="31" xr:uid="{DB38C8E3-F338-4880-8A4C-596AFDB6A587}"/>
    <cellStyle name="Normal 16 2" xfId="47" xr:uid="{8A24757C-F373-4481-8E41-1F21BE170AA1}"/>
    <cellStyle name="Normal 17" xfId="32" xr:uid="{E740D58C-6483-4CFF-8C0B-9FE9B226A495}"/>
    <cellStyle name="Normal 17 2" xfId="48" xr:uid="{1413A749-FBBA-4E83-8E2C-26009F1C9F90}"/>
    <cellStyle name="Normal 18" xfId="33" xr:uid="{C60270E2-A69E-49D2-95FB-A62FCAC68F85}"/>
    <cellStyle name="Normal 19" xfId="49" xr:uid="{0A4B6FD0-DAB3-46D6-8EF8-99F1A9E7F9CC}"/>
    <cellStyle name="Normal 2" xfId="12" xr:uid="{00000000-0005-0000-0000-000008000000}"/>
    <cellStyle name="Normal 2 2" xfId="35" xr:uid="{A8779E86-58F8-46B8-B0BA-D18CC09707A7}"/>
    <cellStyle name="Normal 3" xfId="11" xr:uid="{00000000-0005-0000-0000-000009000000}"/>
    <cellStyle name="Normal 3 2" xfId="34" xr:uid="{FFBEDD88-BE45-445F-972E-C4781F026025}"/>
    <cellStyle name="Normal 4" xfId="17" xr:uid="{00000000-0005-0000-0000-00000A000000}"/>
    <cellStyle name="Normal 5" xfId="18" xr:uid="{BCA0FA8C-64BD-4407-B24E-B67B90745F4A}"/>
    <cellStyle name="Normal 5 2" xfId="37" xr:uid="{53187178-2AF3-4684-897C-1210A8E80E69}"/>
    <cellStyle name="Normal 6" xfId="19" xr:uid="{B9C72B1C-7B99-405F-BAB2-7C38FC6FD211}"/>
    <cellStyle name="Normal 6 2" xfId="25" xr:uid="{B2FE6E1C-3BB7-49B6-AEDE-C2A6462929D2}"/>
    <cellStyle name="Normal 6 2 2" xfId="28" xr:uid="{8603CCAB-A538-44AF-9EBA-BF7613E9DD6D}"/>
    <cellStyle name="Normal 6 3" xfId="38" xr:uid="{F6420834-A927-4D2C-9DCA-084BDD160E2A}"/>
    <cellStyle name="Normal 7" xfId="20" xr:uid="{EE8B3FF8-0CDB-47AA-8913-7F2DCEE50BA9}"/>
    <cellStyle name="Normal 7 2" xfId="39" xr:uid="{3C710AA3-64A6-46A1-B298-B2027458CFF3}"/>
    <cellStyle name="Normal 8" xfId="21" xr:uid="{ECC63B17-C291-46E7-965E-33CB7766647A}"/>
    <cellStyle name="Normal 8 2" xfId="40" xr:uid="{0E9871A9-964A-4D11-B56E-F6300259A3CA}"/>
    <cellStyle name="Normal 9" xfId="22" xr:uid="{8500048A-5FE3-4DA1-89E3-0EEBA4A09F00}"/>
    <cellStyle name="Normal 9 2" xfId="41" xr:uid="{2528DE91-6EE4-4397-8788-6859166BFB8F}"/>
    <cellStyle name="Normal_Population_2" xfId="10" xr:uid="{00000000-0005-0000-0000-00000F000000}"/>
    <cellStyle name="Normal_Sheet1" xfId="2" xr:uid="{00000000-0005-0000-0000-000011000000}"/>
    <cellStyle name="Percent" xfId="3" builtinId="5"/>
    <cellStyle name="Percent 2" xfId="15" xr:uid="{00000000-0005-0000-0000-000013000000}"/>
    <cellStyle name="PSChar" xfId="4" xr:uid="{00000000-0005-0000-0000-000014000000}"/>
    <cellStyle name="PSDate" xfId="5" xr:uid="{00000000-0005-0000-0000-000015000000}"/>
    <cellStyle name="PSDec" xfId="6" xr:uid="{00000000-0005-0000-0000-000016000000}"/>
    <cellStyle name="PSHeading" xfId="7" xr:uid="{00000000-0005-0000-0000-000017000000}"/>
    <cellStyle name="PSInt" xfId="8" xr:uid="{00000000-0005-0000-0000-000018000000}"/>
    <cellStyle name="PSSpacer" xfId="9" xr:uid="{00000000-0005-0000-0000-000019000000}"/>
  </cellStyles>
  <dxfs count="0"/>
  <tableStyles count="0" defaultTableStyle="TableStyleMedium9" defaultPivotStyle="PivotStyleLight16"/>
  <colors>
    <mruColors>
      <color rgb="FFFFFF99"/>
      <color rgb="FFFF9900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vandegrift/Local%20Settings/Temporary%20Internet%20Files/OLK2E/2011-02%20mc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LOTUSDAT/08GA/Decision%20Packages/Stage%203%20DP%20Submit%20to%20SHHR/ALTC%20-%20Form%20N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bas/HC/Virginia/08PACE/Workpapers/Data%20Source/Mem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LOTUSDAT/Cost%20Effectiveness/ALTC/P1&amp;P2%20Final%20doc's%20With%20Richmond/Reference%20Docs%20used%20for%20initial%20projection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BUDGET\Data%20Analysis\Population\Old%20Pop%20Worksheets\Retired%2012.%2023.Population%20Worksheet.xlsx" TargetMode="External"/><Relationship Id="rId1" Type="http://schemas.openxmlformats.org/officeDocument/2006/relationships/externalLinkPath" Target="file:///J:\BUDGET\Data%20Analysis\Population\Old%20Pop%20Worksheets\Retired%2012.%2023.Populatio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ID_BY_REGION (2)"/>
      <sheetName val="MC Flash"/>
      <sheetName val="FAMIS Flash"/>
      <sheetName val="MEDICAID_BY_REGION"/>
      <sheetName val="FAMIS_BY_REGION"/>
      <sheetName val="MEDICAID_BY_FIPS"/>
      <sheetName val="FAMIS_BY_FIPS"/>
      <sheetName val="Medallion II &amp; FAMIS MCO Totals"/>
      <sheetName val="MEDALLION_Children_BY_FIPS"/>
      <sheetName val="FFS_CHILDREN_BY_FIPS"/>
      <sheetName val="MEDALLION_II_Children_BY_FIPS"/>
      <sheetName val="Medicaid SSI Children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itionCalculator"/>
      <sheetName val="Instructions"/>
      <sheetName val="BenefitRates"/>
      <sheetName val="Lists"/>
    </sheetNames>
    <sheetDataSet>
      <sheetData sheetId="0" refreshError="1"/>
      <sheetData sheetId="1" refreshError="1"/>
      <sheetData sheetId="2">
        <row r="5">
          <cell r="F5" t="str">
            <v>Single Coverage</v>
          </cell>
        </row>
        <row r="6">
          <cell r="F6" t="str">
            <v>Employee + One</v>
          </cell>
        </row>
        <row r="7">
          <cell r="F7" t="str">
            <v>Family Coverage</v>
          </cell>
        </row>
        <row r="8">
          <cell r="F8" t="str">
            <v>Coverage Waived</v>
          </cell>
        </row>
      </sheetData>
      <sheetData sheetId="3">
        <row r="5">
          <cell r="D5" t="str">
            <v>Yes</v>
          </cell>
        </row>
        <row r="6">
          <cell r="D6" t="str">
            <v>No</v>
          </cell>
        </row>
        <row r="9">
          <cell r="D9" t="str">
            <v>VRS-Regular</v>
          </cell>
        </row>
        <row r="10">
          <cell r="D10" t="str">
            <v>VaLORS</v>
          </cell>
        </row>
        <row r="11">
          <cell r="D11" t="str">
            <v>SPORS</v>
          </cell>
        </row>
        <row r="12">
          <cell r="D12" t="str">
            <v>Judges</v>
          </cell>
        </row>
        <row r="13">
          <cell r="D13" t="str">
            <v>Defined Contrib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Mo"/>
      <sheetName val="MemMo For Trends"/>
      <sheetName val="Compare - Monthly Differ"/>
      <sheetName val="Compare - Annual Differ"/>
      <sheetName val="Compare - FY2005 Differ"/>
      <sheetName val="Compare1 - FY2005 Differ (Fix)"/>
      <sheetName val="Compare2 - FY2005 Differ (Fix)"/>
      <sheetName val="FY07 MemMo Data Source (Fix)"/>
      <sheetName val="FY08 MemMo Data Source"/>
      <sheetName val="elig_DESIG"/>
      <sheetName val="elig_MODxCHG"/>
      <sheetName val="elig_SPG"/>
      <sheetName val="elig_PGM"/>
      <sheetName val="elig_PROV"/>
      <sheetName val="MemMo E23For Tre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-Sal Direct Assump"/>
      <sheetName val="Ref-ALTC NP FORM"/>
      <sheetName val="Ref-ALTC Staffing"/>
    </sheetNames>
    <sheetDataSet>
      <sheetData sheetId="0" refreshError="1"/>
      <sheetData sheetId="1">
        <row r="4">
          <cell r="A4" t="str">
            <v>Prog Admin Spec II</v>
          </cell>
          <cell r="B4" t="str">
            <v>VRS-Regular</v>
          </cell>
          <cell r="C4" t="str">
            <v>Yes</v>
          </cell>
          <cell r="D4">
            <v>60922</v>
          </cell>
          <cell r="E4" t="str">
            <v>Family Coverage</v>
          </cell>
          <cell r="F4">
            <v>24</v>
          </cell>
          <cell r="G4">
            <v>24</v>
          </cell>
          <cell r="H4">
            <v>60922</v>
          </cell>
          <cell r="I4">
            <v>6793</v>
          </cell>
          <cell r="J4">
            <v>4661</v>
          </cell>
          <cell r="K4">
            <v>609</v>
          </cell>
          <cell r="L4">
            <v>12420</v>
          </cell>
          <cell r="M4">
            <v>731</v>
          </cell>
          <cell r="N4">
            <v>1218</v>
          </cell>
          <cell r="O4">
            <v>480</v>
          </cell>
          <cell r="P4">
            <v>87834</v>
          </cell>
          <cell r="Q4">
            <v>60922</v>
          </cell>
          <cell r="R4">
            <v>6793</v>
          </cell>
          <cell r="S4">
            <v>4661</v>
          </cell>
          <cell r="T4">
            <v>609</v>
          </cell>
          <cell r="U4">
            <v>12420</v>
          </cell>
          <cell r="V4">
            <v>731</v>
          </cell>
          <cell r="W4">
            <v>1218</v>
          </cell>
          <cell r="X4">
            <v>480</v>
          </cell>
          <cell r="Y4">
            <v>87834</v>
          </cell>
        </row>
        <row r="5">
          <cell r="A5" t="str">
            <v>Prog Admin Spec II</v>
          </cell>
          <cell r="B5" t="str">
            <v>VRS-Regular</v>
          </cell>
          <cell r="C5" t="str">
            <v>Yes</v>
          </cell>
          <cell r="D5">
            <v>60922</v>
          </cell>
          <cell r="E5" t="str">
            <v>Family Coverage</v>
          </cell>
          <cell r="F5">
            <v>24</v>
          </cell>
          <cell r="G5">
            <v>24</v>
          </cell>
          <cell r="H5">
            <v>60922</v>
          </cell>
          <cell r="I5">
            <v>6793</v>
          </cell>
          <cell r="J5">
            <v>4661</v>
          </cell>
          <cell r="K5">
            <v>609</v>
          </cell>
          <cell r="L5">
            <v>12420</v>
          </cell>
          <cell r="M5">
            <v>731</v>
          </cell>
          <cell r="N5">
            <v>1218</v>
          </cell>
          <cell r="O5">
            <v>480</v>
          </cell>
          <cell r="P5">
            <v>87834</v>
          </cell>
          <cell r="Q5">
            <v>60922</v>
          </cell>
          <cell r="R5">
            <v>6793</v>
          </cell>
          <cell r="S5">
            <v>4661</v>
          </cell>
          <cell r="T5">
            <v>609</v>
          </cell>
          <cell r="U5">
            <v>12420</v>
          </cell>
          <cell r="V5">
            <v>731</v>
          </cell>
          <cell r="W5">
            <v>1218</v>
          </cell>
          <cell r="X5">
            <v>480</v>
          </cell>
          <cell r="Y5">
            <v>87834</v>
          </cell>
        </row>
        <row r="6">
          <cell r="A6" t="str">
            <v>Prog Admin Spec II</v>
          </cell>
          <cell r="B6" t="str">
            <v>VRS-Regular</v>
          </cell>
          <cell r="C6" t="str">
            <v>Yes</v>
          </cell>
          <cell r="D6">
            <v>60922</v>
          </cell>
          <cell r="E6" t="str">
            <v>Family Coverage</v>
          </cell>
          <cell r="F6">
            <v>24</v>
          </cell>
          <cell r="G6">
            <v>24</v>
          </cell>
          <cell r="H6">
            <v>60922</v>
          </cell>
          <cell r="I6">
            <v>6793</v>
          </cell>
          <cell r="J6">
            <v>4661</v>
          </cell>
          <cell r="K6">
            <v>609</v>
          </cell>
          <cell r="L6">
            <v>12420</v>
          </cell>
          <cell r="M6">
            <v>731</v>
          </cell>
          <cell r="N6">
            <v>1218</v>
          </cell>
          <cell r="O6">
            <v>480</v>
          </cell>
          <cell r="P6">
            <v>87834</v>
          </cell>
          <cell r="Q6">
            <v>60922</v>
          </cell>
          <cell r="R6">
            <v>6793</v>
          </cell>
          <cell r="S6">
            <v>4661</v>
          </cell>
          <cell r="T6">
            <v>609</v>
          </cell>
          <cell r="U6">
            <v>12420</v>
          </cell>
          <cell r="V6">
            <v>731</v>
          </cell>
          <cell r="W6">
            <v>1218</v>
          </cell>
          <cell r="X6">
            <v>480</v>
          </cell>
          <cell r="Y6">
            <v>87834</v>
          </cell>
        </row>
        <row r="7">
          <cell r="A7" t="str">
            <v xml:space="preserve">Prog Admin Spec I </v>
          </cell>
          <cell r="B7" t="str">
            <v>VRS-Regular</v>
          </cell>
          <cell r="C7" t="str">
            <v>Yes</v>
          </cell>
          <cell r="D7">
            <v>43449</v>
          </cell>
          <cell r="E7" t="str">
            <v>Family Coverage</v>
          </cell>
          <cell r="F7">
            <v>24</v>
          </cell>
          <cell r="G7">
            <v>24</v>
          </cell>
          <cell r="H7">
            <v>43449</v>
          </cell>
          <cell r="I7">
            <v>4845</v>
          </cell>
          <cell r="J7">
            <v>3324</v>
          </cell>
          <cell r="K7">
            <v>434</v>
          </cell>
          <cell r="L7">
            <v>12420</v>
          </cell>
          <cell r="M7">
            <v>521</v>
          </cell>
          <cell r="N7">
            <v>869</v>
          </cell>
          <cell r="O7">
            <v>480</v>
          </cell>
          <cell r="P7">
            <v>66342</v>
          </cell>
          <cell r="Q7">
            <v>43449</v>
          </cell>
          <cell r="R7">
            <v>4845</v>
          </cell>
          <cell r="S7">
            <v>3324</v>
          </cell>
          <cell r="T7">
            <v>434</v>
          </cell>
          <cell r="U7">
            <v>12420</v>
          </cell>
          <cell r="V7">
            <v>521</v>
          </cell>
          <cell r="W7">
            <v>869</v>
          </cell>
          <cell r="X7">
            <v>480</v>
          </cell>
          <cell r="Y7">
            <v>66342</v>
          </cell>
        </row>
        <row r="8">
          <cell r="A8" t="str">
            <v>Prog Admin Spec I</v>
          </cell>
          <cell r="B8" t="str">
            <v>VRS-Regular</v>
          </cell>
          <cell r="C8" t="str">
            <v>Yes</v>
          </cell>
          <cell r="D8">
            <v>43449</v>
          </cell>
          <cell r="E8" t="str">
            <v>Family Coverage</v>
          </cell>
          <cell r="F8">
            <v>24</v>
          </cell>
          <cell r="G8">
            <v>24</v>
          </cell>
          <cell r="H8">
            <v>43449</v>
          </cell>
          <cell r="I8">
            <v>4845</v>
          </cell>
          <cell r="J8">
            <v>3324</v>
          </cell>
          <cell r="K8">
            <v>434</v>
          </cell>
          <cell r="L8">
            <v>12420</v>
          </cell>
          <cell r="M8">
            <v>521</v>
          </cell>
          <cell r="N8">
            <v>869</v>
          </cell>
          <cell r="O8">
            <v>480</v>
          </cell>
          <cell r="P8">
            <v>66342</v>
          </cell>
          <cell r="Q8">
            <v>43449</v>
          </cell>
          <cell r="R8">
            <v>4845</v>
          </cell>
          <cell r="S8">
            <v>3324</v>
          </cell>
          <cell r="T8">
            <v>434</v>
          </cell>
          <cell r="U8">
            <v>12420</v>
          </cell>
          <cell r="V8">
            <v>521</v>
          </cell>
          <cell r="W8">
            <v>869</v>
          </cell>
          <cell r="X8">
            <v>480</v>
          </cell>
          <cell r="Y8">
            <v>66342</v>
          </cell>
        </row>
        <row r="9">
          <cell r="A9" t="str">
            <v>Prog Admin Spec I</v>
          </cell>
          <cell r="B9" t="str">
            <v>VRS-Regular</v>
          </cell>
          <cell r="C9" t="str">
            <v>Yes</v>
          </cell>
          <cell r="D9">
            <v>43449</v>
          </cell>
          <cell r="E9" t="str">
            <v>Family Coverage</v>
          </cell>
          <cell r="F9">
            <v>24</v>
          </cell>
          <cell r="G9">
            <v>24</v>
          </cell>
          <cell r="H9">
            <v>43449</v>
          </cell>
          <cell r="I9">
            <v>4845</v>
          </cell>
          <cell r="J9">
            <v>3324</v>
          </cell>
          <cell r="K9">
            <v>434</v>
          </cell>
          <cell r="L9">
            <v>12420</v>
          </cell>
          <cell r="M9">
            <v>521</v>
          </cell>
          <cell r="N9">
            <v>869</v>
          </cell>
          <cell r="O9">
            <v>480</v>
          </cell>
          <cell r="P9">
            <v>66342</v>
          </cell>
          <cell r="Q9">
            <v>43449</v>
          </cell>
          <cell r="R9">
            <v>4845</v>
          </cell>
          <cell r="S9">
            <v>3324</v>
          </cell>
          <cell r="T9">
            <v>434</v>
          </cell>
          <cell r="U9">
            <v>12420</v>
          </cell>
          <cell r="V9">
            <v>521</v>
          </cell>
          <cell r="W9">
            <v>869</v>
          </cell>
          <cell r="X9">
            <v>480</v>
          </cell>
          <cell r="Y9">
            <v>66342</v>
          </cell>
        </row>
        <row r="10">
          <cell r="A10" t="str">
            <v>Admin Office Spec II</v>
          </cell>
          <cell r="B10" t="str">
            <v>VRS-Regular</v>
          </cell>
          <cell r="C10" t="str">
            <v>Yes</v>
          </cell>
          <cell r="D10">
            <v>31054</v>
          </cell>
          <cell r="E10" t="str">
            <v>Family Coverage</v>
          </cell>
          <cell r="F10">
            <v>24</v>
          </cell>
          <cell r="G10">
            <v>24</v>
          </cell>
          <cell r="H10">
            <v>31054</v>
          </cell>
          <cell r="I10">
            <v>3463</v>
          </cell>
          <cell r="J10">
            <v>2376</v>
          </cell>
          <cell r="K10">
            <v>311</v>
          </cell>
          <cell r="L10">
            <v>12420</v>
          </cell>
          <cell r="M10">
            <v>373</v>
          </cell>
          <cell r="N10">
            <v>621</v>
          </cell>
          <cell r="O10">
            <v>480</v>
          </cell>
          <cell r="P10">
            <v>51098</v>
          </cell>
          <cell r="Q10">
            <v>31054</v>
          </cell>
          <cell r="R10">
            <v>3463</v>
          </cell>
          <cell r="S10">
            <v>2376</v>
          </cell>
          <cell r="T10">
            <v>311</v>
          </cell>
          <cell r="U10">
            <v>12420</v>
          </cell>
          <cell r="V10">
            <v>373</v>
          </cell>
          <cell r="W10">
            <v>621</v>
          </cell>
          <cell r="X10">
            <v>480</v>
          </cell>
          <cell r="Y10">
            <v>51098</v>
          </cell>
        </row>
        <row r="11">
          <cell r="A11" t="str">
            <v>Policy Planning Spec II</v>
          </cell>
          <cell r="B11" t="str">
            <v>VRS-Regular</v>
          </cell>
          <cell r="C11" t="str">
            <v>Yes</v>
          </cell>
          <cell r="D11">
            <v>60922</v>
          </cell>
          <cell r="E11" t="str">
            <v>Family Coverage</v>
          </cell>
          <cell r="F11">
            <v>24</v>
          </cell>
          <cell r="G11">
            <v>24</v>
          </cell>
          <cell r="H11">
            <v>60922</v>
          </cell>
          <cell r="I11">
            <v>6793</v>
          </cell>
          <cell r="J11">
            <v>4661</v>
          </cell>
          <cell r="K11">
            <v>609</v>
          </cell>
          <cell r="L11">
            <v>12420</v>
          </cell>
          <cell r="M11">
            <v>731</v>
          </cell>
          <cell r="N11">
            <v>1218</v>
          </cell>
          <cell r="O11">
            <v>480</v>
          </cell>
          <cell r="P11">
            <v>87834</v>
          </cell>
          <cell r="Q11">
            <v>60922</v>
          </cell>
          <cell r="R11">
            <v>6793</v>
          </cell>
          <cell r="S11">
            <v>4661</v>
          </cell>
          <cell r="T11">
            <v>609</v>
          </cell>
          <cell r="U11">
            <v>12420</v>
          </cell>
          <cell r="V11">
            <v>731</v>
          </cell>
          <cell r="W11">
            <v>1218</v>
          </cell>
          <cell r="X11">
            <v>480</v>
          </cell>
          <cell r="Y11">
            <v>87834</v>
          </cell>
        </row>
        <row r="12">
          <cell r="A12" t="str">
            <v>Hlth Care Compl Spec II</v>
          </cell>
          <cell r="B12" t="str">
            <v>VRS-Regular</v>
          </cell>
          <cell r="C12" t="str">
            <v>Yes</v>
          </cell>
          <cell r="D12">
            <v>51816</v>
          </cell>
          <cell r="E12" t="str">
            <v>Family Coverage</v>
          </cell>
          <cell r="F12">
            <v>24</v>
          </cell>
          <cell r="G12">
            <v>24</v>
          </cell>
          <cell r="H12">
            <v>51816</v>
          </cell>
          <cell r="I12">
            <v>5777</v>
          </cell>
          <cell r="J12">
            <v>3964</v>
          </cell>
          <cell r="K12">
            <v>518</v>
          </cell>
          <cell r="L12">
            <v>12420</v>
          </cell>
          <cell r="M12">
            <v>622</v>
          </cell>
          <cell r="N12">
            <v>1036</v>
          </cell>
          <cell r="O12">
            <v>480</v>
          </cell>
          <cell r="P12">
            <v>76633</v>
          </cell>
          <cell r="Q12">
            <v>51816</v>
          </cell>
          <cell r="R12">
            <v>5777</v>
          </cell>
          <cell r="S12">
            <v>3964</v>
          </cell>
          <cell r="T12">
            <v>518</v>
          </cell>
          <cell r="U12">
            <v>12420</v>
          </cell>
          <cell r="V12">
            <v>622</v>
          </cell>
          <cell r="W12">
            <v>1036</v>
          </cell>
          <cell r="X12">
            <v>480</v>
          </cell>
          <cell r="Y12">
            <v>76633</v>
          </cell>
        </row>
        <row r="13">
          <cell r="A13" t="str">
            <v>Hlth Care Compl Spec II</v>
          </cell>
          <cell r="B13" t="str">
            <v>VRS-Regular</v>
          </cell>
          <cell r="C13" t="str">
            <v>Yes</v>
          </cell>
          <cell r="D13">
            <v>51816</v>
          </cell>
          <cell r="E13" t="str">
            <v>Family Coverage</v>
          </cell>
          <cell r="F13">
            <v>24</v>
          </cell>
          <cell r="G13">
            <v>24</v>
          </cell>
          <cell r="H13">
            <v>51816</v>
          </cell>
          <cell r="I13">
            <v>5777</v>
          </cell>
          <cell r="J13">
            <v>3964</v>
          </cell>
          <cell r="K13">
            <v>518</v>
          </cell>
          <cell r="L13">
            <v>12420</v>
          </cell>
          <cell r="M13">
            <v>622</v>
          </cell>
          <cell r="N13">
            <v>1036</v>
          </cell>
          <cell r="O13">
            <v>480</v>
          </cell>
          <cell r="P13">
            <v>76633</v>
          </cell>
          <cell r="Q13">
            <v>51816</v>
          </cell>
          <cell r="R13">
            <v>5777</v>
          </cell>
          <cell r="S13">
            <v>3964</v>
          </cell>
          <cell r="T13">
            <v>518</v>
          </cell>
          <cell r="U13">
            <v>12420</v>
          </cell>
          <cell r="V13">
            <v>622</v>
          </cell>
          <cell r="W13">
            <v>1036</v>
          </cell>
          <cell r="X13">
            <v>480</v>
          </cell>
          <cell r="Y13">
            <v>76633</v>
          </cell>
        </row>
        <row r="14">
          <cell r="B14" t="str">
            <v>VRS-Regular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ulation"/>
      <sheetName val="Monthly Report p1"/>
      <sheetName val="Monthly Report p2"/>
      <sheetName val="Monthly Report p2 (2)"/>
      <sheetName val="Long History"/>
      <sheetName val="Monthly Report history"/>
      <sheetName val="Report Tables"/>
      <sheetName val="Report Tables2"/>
      <sheetName val="SCHIP"/>
      <sheetName val="AllocResults"/>
      <sheetName val="MCO Enrollment"/>
      <sheetName val="Surveys"/>
      <sheetName val="ARRA"/>
      <sheetName val="Cost Allocation"/>
      <sheetName val="XIX XXI Trends"/>
      <sheetName val="Virginia DCI Enroll Data"/>
      <sheetName val="SPIA MCO_FFS"/>
      <sheetName val="MCO FFS"/>
      <sheetName val="VA Pops"/>
      <sheetName val="Sheet2"/>
      <sheetName val="Chart1"/>
      <sheetName val="Chart2"/>
      <sheetName val="oldp2"/>
      <sheetName val="GroupOrganization"/>
    </sheetNames>
    <sheetDataSet>
      <sheetData sheetId="0">
        <row r="251">
          <cell r="G251">
            <v>1128</v>
          </cell>
          <cell r="DQ251">
            <v>60207</v>
          </cell>
          <cell r="DR251">
            <v>124445</v>
          </cell>
          <cell r="DS251">
            <v>10823</v>
          </cell>
          <cell r="DT251">
            <v>33645</v>
          </cell>
        </row>
        <row r="252">
          <cell r="G252">
            <v>1122</v>
          </cell>
          <cell r="DQ252">
            <v>60232</v>
          </cell>
          <cell r="DR252">
            <v>124714</v>
          </cell>
          <cell r="DS252">
            <v>10859</v>
          </cell>
          <cell r="DT252">
            <v>33959</v>
          </cell>
        </row>
        <row r="253">
          <cell r="G253">
            <v>1128</v>
          </cell>
          <cell r="DQ253">
            <v>60269</v>
          </cell>
          <cell r="DR253">
            <v>125065</v>
          </cell>
          <cell r="DS253">
            <v>10839</v>
          </cell>
          <cell r="DT253">
            <v>34437</v>
          </cell>
        </row>
        <row r="254">
          <cell r="G254">
            <v>1119</v>
          </cell>
          <cell r="DQ254">
            <v>60291</v>
          </cell>
          <cell r="DR254">
            <v>125306</v>
          </cell>
          <cell r="DS254">
            <v>10893</v>
          </cell>
          <cell r="DT254">
            <v>34766</v>
          </cell>
        </row>
        <row r="255">
          <cell r="G255">
            <v>1152</v>
          </cell>
          <cell r="DQ255">
            <v>60317</v>
          </cell>
          <cell r="DR255">
            <v>125481</v>
          </cell>
          <cell r="DS255">
            <v>10887</v>
          </cell>
          <cell r="DT255">
            <v>35017</v>
          </cell>
        </row>
        <row r="256">
          <cell r="G256">
            <v>1201</v>
          </cell>
          <cell r="DQ256">
            <v>60235</v>
          </cell>
          <cell r="DR256">
            <v>126161</v>
          </cell>
          <cell r="DS256">
            <v>10914</v>
          </cell>
          <cell r="DT256">
            <v>35343</v>
          </cell>
        </row>
        <row r="257">
          <cell r="G257">
            <v>1169</v>
          </cell>
          <cell r="DQ257">
            <v>60229</v>
          </cell>
          <cell r="DR257">
            <v>126614</v>
          </cell>
          <cell r="DS257">
            <v>10938</v>
          </cell>
          <cell r="DT257">
            <v>35702</v>
          </cell>
        </row>
        <row r="258">
          <cell r="G258">
            <v>1165</v>
          </cell>
          <cell r="DQ258">
            <v>59998</v>
          </cell>
          <cell r="DR258">
            <v>126755</v>
          </cell>
          <cell r="DS258">
            <v>10975</v>
          </cell>
          <cell r="DT258">
            <v>28449</v>
          </cell>
        </row>
        <row r="259">
          <cell r="G259">
            <v>1161</v>
          </cell>
          <cell r="DQ259">
            <v>59827</v>
          </cell>
          <cell r="DR259">
            <v>127386</v>
          </cell>
          <cell r="DS259">
            <v>10999</v>
          </cell>
          <cell r="DT259">
            <v>31299</v>
          </cell>
        </row>
        <row r="260">
          <cell r="G260">
            <v>1127</v>
          </cell>
          <cell r="DQ260">
            <v>59803</v>
          </cell>
          <cell r="DR260">
            <v>127555</v>
          </cell>
          <cell r="DS260">
            <v>11016</v>
          </cell>
          <cell r="DT260">
            <v>33525</v>
          </cell>
        </row>
        <row r="261">
          <cell r="G261">
            <v>1118</v>
          </cell>
          <cell r="DQ261">
            <v>59785</v>
          </cell>
          <cell r="DR261">
            <v>127792</v>
          </cell>
          <cell r="DS261">
            <v>11021</v>
          </cell>
          <cell r="DT261">
            <v>34595</v>
          </cell>
        </row>
        <row r="262">
          <cell r="G262">
            <v>1124</v>
          </cell>
          <cell r="DQ262">
            <v>59955</v>
          </cell>
          <cell r="DR262">
            <v>128426</v>
          </cell>
          <cell r="DS262">
            <v>11000</v>
          </cell>
          <cell r="DT262">
            <v>35258</v>
          </cell>
        </row>
        <row r="263">
          <cell r="G263">
            <v>1094</v>
          </cell>
          <cell r="DQ263">
            <v>59970</v>
          </cell>
          <cell r="DR263">
            <v>128769</v>
          </cell>
          <cell r="DS263">
            <v>10963</v>
          </cell>
          <cell r="DT263">
            <v>35761</v>
          </cell>
        </row>
        <row r="264">
          <cell r="G264">
            <v>1130</v>
          </cell>
          <cell r="DQ264">
            <v>59867</v>
          </cell>
          <cell r="DR264">
            <v>129073</v>
          </cell>
          <cell r="DS264">
            <v>10994</v>
          </cell>
          <cell r="DT264">
            <v>36280</v>
          </cell>
        </row>
        <row r="265">
          <cell r="G265">
            <v>1149</v>
          </cell>
          <cell r="DQ265">
            <v>59742</v>
          </cell>
          <cell r="DR265">
            <v>129285</v>
          </cell>
          <cell r="DS265">
            <v>11004</v>
          </cell>
          <cell r="DT265">
            <v>36728</v>
          </cell>
        </row>
        <row r="266">
          <cell r="G266">
            <v>1157</v>
          </cell>
          <cell r="DQ266">
            <v>59750</v>
          </cell>
          <cell r="DR266">
            <v>129745</v>
          </cell>
          <cell r="DS266">
            <v>10905</v>
          </cell>
          <cell r="DT266">
            <v>36796</v>
          </cell>
        </row>
        <row r="267">
          <cell r="G267">
            <v>1195</v>
          </cell>
          <cell r="DQ267">
            <v>59920</v>
          </cell>
          <cell r="DR267">
            <v>130493</v>
          </cell>
          <cell r="DS267">
            <v>11048</v>
          </cell>
          <cell r="DT267">
            <v>37813</v>
          </cell>
        </row>
        <row r="268">
          <cell r="G268">
            <v>1193</v>
          </cell>
          <cell r="DQ268">
            <v>59892</v>
          </cell>
          <cell r="DR268">
            <v>131322</v>
          </cell>
          <cell r="DS268">
            <v>11009</v>
          </cell>
          <cell r="DT268">
            <v>38275</v>
          </cell>
        </row>
        <row r="269">
          <cell r="G269">
            <v>1165</v>
          </cell>
          <cell r="DQ269">
            <v>59744</v>
          </cell>
          <cell r="DR269">
            <v>131667</v>
          </cell>
          <cell r="DS269">
            <v>10999</v>
          </cell>
          <cell r="DT269">
            <v>38598</v>
          </cell>
        </row>
        <row r="270">
          <cell r="G270">
            <v>1165</v>
          </cell>
          <cell r="DQ270">
            <v>59709</v>
          </cell>
          <cell r="DR270">
            <v>132155</v>
          </cell>
          <cell r="DS270">
            <v>10958</v>
          </cell>
          <cell r="DT270">
            <v>30838</v>
          </cell>
        </row>
        <row r="271">
          <cell r="G271">
            <v>1189</v>
          </cell>
          <cell r="DQ271">
            <v>59440</v>
          </cell>
          <cell r="DR271">
            <v>132808</v>
          </cell>
          <cell r="DS271">
            <v>10935</v>
          </cell>
          <cell r="DT271">
            <v>36922</v>
          </cell>
        </row>
        <row r="272">
          <cell r="G272">
            <v>1149</v>
          </cell>
          <cell r="DQ272">
            <v>59225</v>
          </cell>
          <cell r="DR272">
            <v>132898</v>
          </cell>
          <cell r="DS272">
            <v>10945</v>
          </cell>
          <cell r="DT272">
            <v>37743</v>
          </cell>
        </row>
        <row r="273">
          <cell r="G273">
            <v>1170</v>
          </cell>
          <cell r="DQ273">
            <v>59197</v>
          </cell>
          <cell r="DR273">
            <v>133485</v>
          </cell>
          <cell r="DS273">
            <v>10974</v>
          </cell>
          <cell r="DT273">
            <v>38539</v>
          </cell>
        </row>
        <row r="274">
          <cell r="G274">
            <v>1204</v>
          </cell>
          <cell r="DQ274">
            <v>59331</v>
          </cell>
          <cell r="DR274">
            <v>134204</v>
          </cell>
          <cell r="DS274">
            <v>11024</v>
          </cell>
          <cell r="DT274">
            <v>39227</v>
          </cell>
        </row>
        <row r="275">
          <cell r="G275">
            <v>1231</v>
          </cell>
          <cell r="DQ275">
            <v>59472</v>
          </cell>
          <cell r="DR275">
            <v>134672</v>
          </cell>
          <cell r="DS275">
            <v>11063</v>
          </cell>
          <cell r="DT275">
            <v>39647</v>
          </cell>
        </row>
        <row r="276">
          <cell r="G276">
            <v>1196</v>
          </cell>
          <cell r="DQ276">
            <v>59476</v>
          </cell>
          <cell r="DR276">
            <v>134599</v>
          </cell>
          <cell r="DS276">
            <v>11052</v>
          </cell>
          <cell r="DT276">
            <v>40121</v>
          </cell>
        </row>
        <row r="277">
          <cell r="G277">
            <v>1196</v>
          </cell>
          <cell r="DQ277">
            <v>59404</v>
          </cell>
          <cell r="DR277">
            <v>135663</v>
          </cell>
          <cell r="DS277">
            <v>11107</v>
          </cell>
          <cell r="DT277">
            <v>40687</v>
          </cell>
        </row>
        <row r="278">
          <cell r="G278">
            <v>1257</v>
          </cell>
          <cell r="DQ278">
            <v>59342</v>
          </cell>
          <cell r="DR278">
            <v>136181</v>
          </cell>
          <cell r="DS278">
            <v>11099</v>
          </cell>
          <cell r="DT278">
            <v>41114</v>
          </cell>
        </row>
        <row r="279">
          <cell r="G279">
            <v>1264</v>
          </cell>
          <cell r="DQ279">
            <v>59512</v>
          </cell>
          <cell r="DR279">
            <v>137007</v>
          </cell>
          <cell r="DS279">
            <v>11067</v>
          </cell>
          <cell r="DT279">
            <v>41548</v>
          </cell>
        </row>
        <row r="280">
          <cell r="G280">
            <v>1289</v>
          </cell>
          <cell r="DQ280">
            <v>59492</v>
          </cell>
          <cell r="DR280">
            <v>137443</v>
          </cell>
          <cell r="DS280">
            <v>11130</v>
          </cell>
          <cell r="DT280">
            <v>41983</v>
          </cell>
        </row>
        <row r="281">
          <cell r="G281">
            <v>1292</v>
          </cell>
          <cell r="DQ281">
            <v>59513</v>
          </cell>
          <cell r="DR281">
            <v>138017</v>
          </cell>
          <cell r="DS281">
            <v>11158</v>
          </cell>
          <cell r="DT281">
            <v>42415</v>
          </cell>
        </row>
        <row r="282">
          <cell r="G282">
            <v>1267</v>
          </cell>
          <cell r="DQ282">
            <v>59297</v>
          </cell>
          <cell r="DR282">
            <v>138366</v>
          </cell>
          <cell r="DS282">
            <v>11133</v>
          </cell>
          <cell r="DT282">
            <v>33193</v>
          </cell>
        </row>
        <row r="283">
          <cell r="G283">
            <v>1249</v>
          </cell>
          <cell r="DQ283">
            <v>59177</v>
          </cell>
          <cell r="DR283">
            <v>139011</v>
          </cell>
          <cell r="DS283">
            <v>11170</v>
          </cell>
          <cell r="DT283">
            <v>40008</v>
          </cell>
        </row>
        <row r="284">
          <cell r="G284">
            <v>1259</v>
          </cell>
          <cell r="DQ284">
            <v>58794</v>
          </cell>
          <cell r="DR284">
            <v>139088</v>
          </cell>
          <cell r="DS284">
            <v>11187</v>
          </cell>
          <cell r="DT284">
            <v>41658</v>
          </cell>
        </row>
        <row r="285">
          <cell r="G285">
            <v>1240</v>
          </cell>
          <cell r="DQ285">
            <v>58655</v>
          </cell>
          <cell r="DR285">
            <v>140148</v>
          </cell>
          <cell r="DS285">
            <v>11212</v>
          </cell>
          <cell r="DT285">
            <v>43008</v>
          </cell>
        </row>
        <row r="286">
          <cell r="G286">
            <v>1257</v>
          </cell>
          <cell r="DQ286">
            <v>58753</v>
          </cell>
          <cell r="DR286">
            <v>139732</v>
          </cell>
          <cell r="DS286">
            <v>11228</v>
          </cell>
          <cell r="DT286">
            <v>42631</v>
          </cell>
        </row>
        <row r="287">
          <cell r="G287">
            <v>1247</v>
          </cell>
          <cell r="DQ287">
            <v>58576</v>
          </cell>
          <cell r="DR287">
            <v>140574</v>
          </cell>
          <cell r="DS287">
            <v>11219</v>
          </cell>
          <cell r="DT287">
            <v>43574</v>
          </cell>
        </row>
        <row r="288">
          <cell r="G288">
            <v>1248</v>
          </cell>
          <cell r="DQ288">
            <v>58470</v>
          </cell>
          <cell r="DR288">
            <v>140638</v>
          </cell>
          <cell r="DS288">
            <v>11240</v>
          </cell>
          <cell r="DT288">
            <v>43983</v>
          </cell>
        </row>
        <row r="289">
          <cell r="G289">
            <v>1228</v>
          </cell>
          <cell r="DQ289">
            <v>58587</v>
          </cell>
          <cell r="DR289">
            <v>141170</v>
          </cell>
          <cell r="DS289">
            <v>11286</v>
          </cell>
          <cell r="DT289">
            <v>44381</v>
          </cell>
        </row>
        <row r="290">
          <cell r="G290">
            <v>1254</v>
          </cell>
          <cell r="DQ290">
            <v>58654</v>
          </cell>
          <cell r="DR290">
            <v>141798</v>
          </cell>
          <cell r="DS290">
            <v>11312</v>
          </cell>
          <cell r="DT290">
            <v>44852</v>
          </cell>
        </row>
        <row r="291">
          <cell r="G291">
            <v>1250</v>
          </cell>
          <cell r="DQ291">
            <v>58771</v>
          </cell>
          <cell r="DR291">
            <v>142072</v>
          </cell>
          <cell r="DS291">
            <v>11327</v>
          </cell>
          <cell r="DT291">
            <v>45201</v>
          </cell>
        </row>
        <row r="292">
          <cell r="G292">
            <v>1250</v>
          </cell>
          <cell r="DQ292">
            <v>58626</v>
          </cell>
          <cell r="DR292">
            <v>142554</v>
          </cell>
          <cell r="DS292">
            <v>11370</v>
          </cell>
          <cell r="DT292">
            <v>45574</v>
          </cell>
        </row>
        <row r="293">
          <cell r="G293">
            <v>1274</v>
          </cell>
          <cell r="DQ293">
            <v>58645</v>
          </cell>
          <cell r="DR293">
            <v>143046</v>
          </cell>
          <cell r="DS293">
            <v>11457</v>
          </cell>
          <cell r="DT293">
            <v>45980</v>
          </cell>
        </row>
        <row r="294">
          <cell r="G294">
            <v>1329</v>
          </cell>
          <cell r="DQ294">
            <v>58505</v>
          </cell>
          <cell r="DR294">
            <v>143053</v>
          </cell>
          <cell r="DS294">
            <v>11474</v>
          </cell>
          <cell r="DT294">
            <v>35711</v>
          </cell>
        </row>
        <row r="295">
          <cell r="G295">
            <v>1380</v>
          </cell>
          <cell r="DQ295">
            <v>58400</v>
          </cell>
          <cell r="DR295">
            <v>143766</v>
          </cell>
          <cell r="DS295">
            <v>11509</v>
          </cell>
          <cell r="DT295">
            <v>43848</v>
          </cell>
        </row>
        <row r="296">
          <cell r="G296">
            <v>1398</v>
          </cell>
          <cell r="DQ296">
            <v>58423</v>
          </cell>
          <cell r="DR296">
            <v>143854</v>
          </cell>
          <cell r="DS296">
            <v>11525</v>
          </cell>
          <cell r="DT296">
            <v>45236</v>
          </cell>
        </row>
        <row r="297">
          <cell r="G297">
            <v>1436</v>
          </cell>
          <cell r="DQ297">
            <v>58558</v>
          </cell>
          <cell r="DR297">
            <v>144017</v>
          </cell>
          <cell r="DS297">
            <v>11546</v>
          </cell>
          <cell r="DT297">
            <v>45945</v>
          </cell>
        </row>
        <row r="298">
          <cell r="G298">
            <v>1471</v>
          </cell>
          <cell r="DQ298">
            <v>58595</v>
          </cell>
          <cell r="DR298">
            <v>144199</v>
          </cell>
          <cell r="DS298">
            <v>11594</v>
          </cell>
          <cell r="DT298">
            <v>46538</v>
          </cell>
        </row>
        <row r="299">
          <cell r="G299">
            <v>1477</v>
          </cell>
          <cell r="DQ299">
            <v>58221</v>
          </cell>
          <cell r="DR299">
            <v>144366</v>
          </cell>
          <cell r="DS299">
            <v>11604</v>
          </cell>
          <cell r="DT299">
            <v>46890</v>
          </cell>
        </row>
        <row r="300">
          <cell r="G300">
            <v>1483</v>
          </cell>
          <cell r="DQ300">
            <v>58207</v>
          </cell>
          <cell r="DR300">
            <v>144270</v>
          </cell>
          <cell r="DS300">
            <v>11623</v>
          </cell>
          <cell r="DT300">
            <v>47272</v>
          </cell>
        </row>
        <row r="301">
          <cell r="G301">
            <v>1478</v>
          </cell>
          <cell r="DQ301">
            <v>58222</v>
          </cell>
          <cell r="DR301">
            <v>144684</v>
          </cell>
          <cell r="DS301">
            <v>11537</v>
          </cell>
          <cell r="DT301">
            <v>47716</v>
          </cell>
        </row>
        <row r="302">
          <cell r="G302">
            <v>1492</v>
          </cell>
          <cell r="DQ302">
            <v>58253</v>
          </cell>
          <cell r="DR302">
            <v>145018</v>
          </cell>
          <cell r="DS302">
            <v>11588</v>
          </cell>
          <cell r="DT302">
            <v>48192</v>
          </cell>
        </row>
        <row r="303">
          <cell r="G303">
            <v>1488</v>
          </cell>
          <cell r="DQ303">
            <v>58203</v>
          </cell>
          <cell r="DR303">
            <v>145262</v>
          </cell>
          <cell r="DS303">
            <v>11568</v>
          </cell>
          <cell r="DT303">
            <v>48509</v>
          </cell>
        </row>
        <row r="304">
          <cell r="G304">
            <v>1501</v>
          </cell>
          <cell r="DQ304">
            <v>58212</v>
          </cell>
          <cell r="DR304">
            <v>145838</v>
          </cell>
          <cell r="DS304">
            <v>11618</v>
          </cell>
          <cell r="DT304">
            <v>48899</v>
          </cell>
        </row>
        <row r="305">
          <cell r="G305">
            <v>1471</v>
          </cell>
          <cell r="DQ305">
            <v>58148</v>
          </cell>
          <cell r="DR305">
            <v>145886</v>
          </cell>
          <cell r="DS305">
            <v>11661</v>
          </cell>
          <cell r="DT305">
            <v>49293</v>
          </cell>
        </row>
        <row r="306">
          <cell r="G306">
            <v>1468</v>
          </cell>
          <cell r="DQ306">
            <v>57813</v>
          </cell>
          <cell r="DR306">
            <v>145951</v>
          </cell>
          <cell r="DS306">
            <v>11633</v>
          </cell>
          <cell r="DT306">
            <v>37868</v>
          </cell>
        </row>
        <row r="307">
          <cell r="G307">
            <v>1476</v>
          </cell>
          <cell r="DQ307">
            <v>57600</v>
          </cell>
          <cell r="DR307">
            <v>146221</v>
          </cell>
          <cell r="DS307">
            <v>11631</v>
          </cell>
          <cell r="DT307">
            <v>46391</v>
          </cell>
        </row>
        <row r="308">
          <cell r="G308">
            <v>1518</v>
          </cell>
          <cell r="DQ308">
            <v>57548</v>
          </cell>
          <cell r="DR308">
            <v>146571</v>
          </cell>
          <cell r="DS308">
            <v>11679</v>
          </cell>
          <cell r="DT308">
            <v>47669</v>
          </cell>
        </row>
        <row r="309">
          <cell r="G309">
            <v>1544</v>
          </cell>
          <cell r="DQ309">
            <v>57779</v>
          </cell>
          <cell r="DR309">
            <v>147142</v>
          </cell>
          <cell r="DS309">
            <v>11727</v>
          </cell>
          <cell r="DT309">
            <v>48536</v>
          </cell>
        </row>
        <row r="310">
          <cell r="G310">
            <v>1578</v>
          </cell>
          <cell r="DQ310">
            <v>57813</v>
          </cell>
          <cell r="DR310">
            <v>147191</v>
          </cell>
          <cell r="DS310">
            <v>11742</v>
          </cell>
          <cell r="DT310">
            <v>48872</v>
          </cell>
        </row>
        <row r="311">
          <cell r="G311">
            <v>1616</v>
          </cell>
          <cell r="DQ311">
            <v>57588</v>
          </cell>
          <cell r="DR311">
            <v>147456</v>
          </cell>
          <cell r="DS311">
            <v>11692</v>
          </cell>
          <cell r="DT311">
            <v>49081</v>
          </cell>
        </row>
        <row r="312">
          <cell r="G312">
            <v>1553</v>
          </cell>
          <cell r="DQ312">
            <v>57497</v>
          </cell>
          <cell r="DR312">
            <v>147140</v>
          </cell>
          <cell r="DS312">
            <v>11678</v>
          </cell>
          <cell r="DT312">
            <v>49171</v>
          </cell>
        </row>
        <row r="313">
          <cell r="G313">
            <v>1560</v>
          </cell>
          <cell r="DQ313">
            <v>57536</v>
          </cell>
          <cell r="DR313">
            <v>147582</v>
          </cell>
          <cell r="DS313">
            <v>11668</v>
          </cell>
          <cell r="DT313">
            <v>49281</v>
          </cell>
        </row>
        <row r="314">
          <cell r="G314">
            <v>1549</v>
          </cell>
          <cell r="DQ314">
            <v>57496</v>
          </cell>
          <cell r="DR314">
            <v>147892</v>
          </cell>
          <cell r="DS314">
            <v>11674</v>
          </cell>
          <cell r="DT314">
            <v>49472</v>
          </cell>
        </row>
        <row r="315">
          <cell r="G315">
            <v>1564</v>
          </cell>
          <cell r="DQ315">
            <v>57655</v>
          </cell>
          <cell r="DR315">
            <v>148160</v>
          </cell>
          <cell r="DS315">
            <v>11659</v>
          </cell>
          <cell r="DT315">
            <v>49615</v>
          </cell>
        </row>
        <row r="316">
          <cell r="G316">
            <v>1508</v>
          </cell>
          <cell r="DQ316">
            <v>57901</v>
          </cell>
          <cell r="DR316">
            <v>148517</v>
          </cell>
          <cell r="DS316">
            <v>11735</v>
          </cell>
          <cell r="DT316">
            <v>49929</v>
          </cell>
        </row>
        <row r="317">
          <cell r="G317">
            <v>1421</v>
          </cell>
          <cell r="DQ317">
            <v>57859</v>
          </cell>
          <cell r="DR317">
            <v>148793</v>
          </cell>
          <cell r="DS317">
            <v>11755</v>
          </cell>
          <cell r="DT317">
            <v>50051</v>
          </cell>
        </row>
        <row r="318">
          <cell r="G318">
            <v>1351</v>
          </cell>
          <cell r="DQ318">
            <v>57430</v>
          </cell>
          <cell r="DR318">
            <v>148706</v>
          </cell>
          <cell r="DS318">
            <v>11755</v>
          </cell>
          <cell r="DT318">
            <v>37992</v>
          </cell>
        </row>
        <row r="319">
          <cell r="G319">
            <v>1236</v>
          </cell>
          <cell r="DQ319">
            <v>57449</v>
          </cell>
          <cell r="DR319">
            <v>149444</v>
          </cell>
          <cell r="DS319">
            <v>11719</v>
          </cell>
          <cell r="DT319">
            <v>46773</v>
          </cell>
        </row>
        <row r="320">
          <cell r="G320">
            <v>1014</v>
          </cell>
          <cell r="DQ320">
            <v>57328</v>
          </cell>
          <cell r="DR320">
            <v>150161</v>
          </cell>
          <cell r="DS320">
            <v>11637</v>
          </cell>
          <cell r="DT320">
            <v>47711</v>
          </cell>
        </row>
        <row r="321">
          <cell r="G321">
            <v>814</v>
          </cell>
          <cell r="DQ321">
            <v>57142</v>
          </cell>
          <cell r="DR321">
            <v>150238</v>
          </cell>
          <cell r="DS321">
            <v>11617</v>
          </cell>
          <cell r="DT321">
            <v>48294</v>
          </cell>
        </row>
        <row r="322">
          <cell r="G322">
            <v>634</v>
          </cell>
          <cell r="DQ322">
            <v>57149</v>
          </cell>
          <cell r="DR322">
            <v>150590</v>
          </cell>
          <cell r="DS322">
            <v>11642</v>
          </cell>
          <cell r="DT322">
            <v>48694</v>
          </cell>
        </row>
        <row r="323">
          <cell r="G323">
            <v>452</v>
          </cell>
          <cell r="DQ323">
            <v>57295</v>
          </cell>
          <cell r="DR323">
            <v>151121</v>
          </cell>
          <cell r="DS323">
            <v>11631</v>
          </cell>
          <cell r="DT323">
            <v>48961</v>
          </cell>
        </row>
        <row r="324">
          <cell r="G324">
            <v>287</v>
          </cell>
          <cell r="DQ324">
            <v>57533</v>
          </cell>
          <cell r="DR324">
            <v>151045</v>
          </cell>
          <cell r="DS324">
            <v>11644</v>
          </cell>
          <cell r="DT324">
            <v>49467</v>
          </cell>
        </row>
        <row r="325">
          <cell r="G325">
            <v>170</v>
          </cell>
          <cell r="DQ325">
            <v>57298</v>
          </cell>
          <cell r="DR325">
            <v>151297</v>
          </cell>
          <cell r="DS325">
            <v>11627</v>
          </cell>
          <cell r="DT325">
            <v>49778</v>
          </cell>
        </row>
        <row r="326">
          <cell r="G326">
            <v>83</v>
          </cell>
          <cell r="DQ326">
            <v>57326</v>
          </cell>
          <cell r="DR326">
            <v>151214</v>
          </cell>
          <cell r="DS326">
            <v>11570</v>
          </cell>
          <cell r="DT326">
            <v>49899</v>
          </cell>
        </row>
        <row r="327">
          <cell r="G327">
            <v>23</v>
          </cell>
          <cell r="DQ327">
            <v>57533</v>
          </cell>
          <cell r="DR327">
            <v>151698</v>
          </cell>
          <cell r="DS327">
            <v>11579</v>
          </cell>
          <cell r="DT327">
            <v>49982</v>
          </cell>
        </row>
        <row r="328">
          <cell r="G328">
            <v>7</v>
          </cell>
          <cell r="DQ328">
            <v>57662</v>
          </cell>
          <cell r="DR328">
            <v>152344</v>
          </cell>
          <cell r="DS328">
            <v>11558</v>
          </cell>
          <cell r="DT328">
            <v>50201</v>
          </cell>
        </row>
        <row r="329">
          <cell r="G329">
            <v>3</v>
          </cell>
          <cell r="DQ329">
            <v>57591</v>
          </cell>
          <cell r="DR329">
            <v>152460</v>
          </cell>
          <cell r="DS329">
            <v>11547</v>
          </cell>
          <cell r="DT329">
            <v>50149</v>
          </cell>
        </row>
        <row r="330">
          <cell r="G330">
            <v>173</v>
          </cell>
          <cell r="DQ330">
            <v>57430</v>
          </cell>
          <cell r="DR330">
            <v>152644</v>
          </cell>
          <cell r="DS330">
            <v>11536</v>
          </cell>
          <cell r="DT330">
            <v>38593</v>
          </cell>
        </row>
        <row r="331">
          <cell r="G331">
            <v>326</v>
          </cell>
          <cell r="DQ331">
            <v>57375</v>
          </cell>
          <cell r="DR331">
            <v>153068</v>
          </cell>
          <cell r="DS331">
            <v>11578</v>
          </cell>
          <cell r="DT331">
            <v>47181</v>
          </cell>
        </row>
        <row r="332">
          <cell r="G332">
            <v>493</v>
          </cell>
          <cell r="DQ332">
            <v>57234</v>
          </cell>
          <cell r="DR332">
            <v>153285</v>
          </cell>
          <cell r="DS332">
            <v>11562</v>
          </cell>
          <cell r="DT332">
            <v>48194</v>
          </cell>
        </row>
        <row r="333">
          <cell r="G333">
            <v>658</v>
          </cell>
          <cell r="DQ333">
            <v>57473</v>
          </cell>
          <cell r="DR333">
            <v>153948</v>
          </cell>
          <cell r="DS333">
            <v>11574</v>
          </cell>
          <cell r="DT333">
            <v>48855</v>
          </cell>
        </row>
        <row r="334">
          <cell r="G334">
            <v>807</v>
          </cell>
          <cell r="DQ334">
            <v>57357</v>
          </cell>
          <cell r="DR334">
            <v>154168</v>
          </cell>
          <cell r="DS334">
            <v>11572</v>
          </cell>
          <cell r="DT334">
            <v>49337</v>
          </cell>
        </row>
        <row r="335">
          <cell r="G335">
            <v>885</v>
          </cell>
          <cell r="DQ335">
            <v>57174</v>
          </cell>
          <cell r="DR335">
            <v>154226</v>
          </cell>
          <cell r="DS335">
            <v>11540</v>
          </cell>
          <cell r="DT335">
            <v>49511</v>
          </cell>
        </row>
        <row r="336">
          <cell r="G336">
            <v>937</v>
          </cell>
          <cell r="DQ336">
            <v>57374</v>
          </cell>
          <cell r="DR336">
            <v>154154</v>
          </cell>
          <cell r="DS336">
            <v>11517</v>
          </cell>
          <cell r="DT336">
            <v>49811</v>
          </cell>
        </row>
        <row r="337">
          <cell r="G337">
            <v>1037</v>
          </cell>
          <cell r="DQ337">
            <v>57446</v>
          </cell>
          <cell r="DR337">
            <v>153802</v>
          </cell>
          <cell r="DS337">
            <v>11522</v>
          </cell>
          <cell r="DT337">
            <v>49975</v>
          </cell>
        </row>
        <row r="338">
          <cell r="G338">
            <v>1121</v>
          </cell>
          <cell r="DQ338">
            <v>57524</v>
          </cell>
          <cell r="DR338">
            <v>154314</v>
          </cell>
          <cell r="DS338">
            <v>11521</v>
          </cell>
          <cell r="DT338">
            <v>50016</v>
          </cell>
        </row>
        <row r="339">
          <cell r="G339">
            <v>1083</v>
          </cell>
          <cell r="DQ339">
            <v>57577</v>
          </cell>
          <cell r="DR339">
            <v>154384</v>
          </cell>
          <cell r="DS339">
            <v>11499</v>
          </cell>
          <cell r="DT339">
            <v>50074</v>
          </cell>
        </row>
        <row r="340">
          <cell r="G340">
            <v>1070</v>
          </cell>
          <cell r="DQ340">
            <v>57941</v>
          </cell>
          <cell r="DR340">
            <v>154989</v>
          </cell>
          <cell r="DS340">
            <v>11555</v>
          </cell>
          <cell r="DT340">
            <v>50394</v>
          </cell>
        </row>
        <row r="341">
          <cell r="G341">
            <v>1042</v>
          </cell>
          <cell r="DQ341">
            <v>58118</v>
          </cell>
          <cell r="DR341">
            <v>155202</v>
          </cell>
          <cell r="DS341">
            <v>11551</v>
          </cell>
          <cell r="DT341">
            <v>50590</v>
          </cell>
        </row>
        <row r="342">
          <cell r="G342">
            <v>1053</v>
          </cell>
          <cell r="DQ342">
            <v>58332</v>
          </cell>
          <cell r="DR342">
            <v>155817</v>
          </cell>
          <cell r="DS342">
            <v>11583</v>
          </cell>
          <cell r="DT342">
            <v>48446</v>
          </cell>
        </row>
        <row r="343">
          <cell r="G343">
            <v>1040</v>
          </cell>
          <cell r="DQ343">
            <v>58646</v>
          </cell>
          <cell r="DR343">
            <v>156093</v>
          </cell>
          <cell r="DS343">
            <v>11615</v>
          </cell>
          <cell r="DT343">
            <v>49272</v>
          </cell>
        </row>
        <row r="344">
          <cell r="G344">
            <v>1070</v>
          </cell>
          <cell r="DQ344">
            <v>59045</v>
          </cell>
          <cell r="DR344">
            <v>156385</v>
          </cell>
          <cell r="DS344">
            <v>11601</v>
          </cell>
          <cell r="DT344">
            <v>49630</v>
          </cell>
        </row>
        <row r="345">
          <cell r="G345">
            <v>1098</v>
          </cell>
          <cell r="DQ345">
            <v>59738</v>
          </cell>
          <cell r="DR345">
            <v>156690</v>
          </cell>
          <cell r="DS345">
            <v>11726</v>
          </cell>
          <cell r="DT345">
            <v>49976</v>
          </cell>
        </row>
        <row r="346">
          <cell r="G346">
            <v>1077</v>
          </cell>
          <cell r="DQ346">
            <v>60215</v>
          </cell>
          <cell r="DR346">
            <v>156303</v>
          </cell>
          <cell r="DS346">
            <v>11791</v>
          </cell>
          <cell r="DT346">
            <v>50069</v>
          </cell>
        </row>
        <row r="347">
          <cell r="G347">
            <v>1093</v>
          </cell>
          <cell r="DQ347">
            <v>60560</v>
          </cell>
          <cell r="DR347">
            <v>156386</v>
          </cell>
          <cell r="DS347">
            <v>11866</v>
          </cell>
          <cell r="DT347">
            <v>49940</v>
          </cell>
        </row>
        <row r="348">
          <cell r="G348">
            <v>1086</v>
          </cell>
          <cell r="DQ348">
            <v>61339</v>
          </cell>
          <cell r="DR348">
            <v>156402</v>
          </cell>
          <cell r="DS348">
            <v>11986</v>
          </cell>
          <cell r="DT348">
            <v>49981</v>
          </cell>
        </row>
        <row r="349">
          <cell r="G349">
            <v>1041</v>
          </cell>
          <cell r="DQ349">
            <v>61841</v>
          </cell>
          <cell r="DR349">
            <v>155156</v>
          </cell>
          <cell r="DS349">
            <v>12102</v>
          </cell>
          <cell r="DT349">
            <v>49688</v>
          </cell>
        </row>
        <row r="350">
          <cell r="G350">
            <v>1058</v>
          </cell>
          <cell r="DQ350">
            <v>62678</v>
          </cell>
          <cell r="DR350">
            <v>153754</v>
          </cell>
          <cell r="DS350">
            <v>12195</v>
          </cell>
          <cell r="DT350">
            <v>49430</v>
          </cell>
        </row>
        <row r="351">
          <cell r="G351">
            <v>1026</v>
          </cell>
          <cell r="DQ351">
            <v>63655</v>
          </cell>
          <cell r="DR351">
            <v>153464</v>
          </cell>
          <cell r="DS351">
            <v>12230</v>
          </cell>
          <cell r="DT351">
            <v>49114</v>
          </cell>
        </row>
        <row r="352">
          <cell r="G352">
            <v>995</v>
          </cell>
          <cell r="DQ352">
            <v>64702</v>
          </cell>
          <cell r="DR352">
            <v>152786</v>
          </cell>
          <cell r="DS352">
            <v>12337</v>
          </cell>
          <cell r="DT352">
            <v>48958</v>
          </cell>
        </row>
        <row r="353">
          <cell r="G353">
            <v>960</v>
          </cell>
          <cell r="DQ353">
            <v>65635</v>
          </cell>
          <cell r="DR353">
            <v>152255</v>
          </cell>
          <cell r="DS353">
            <v>12473</v>
          </cell>
          <cell r="DT353">
            <v>48760</v>
          </cell>
        </row>
        <row r="354">
          <cell r="G354">
            <v>1041</v>
          </cell>
          <cell r="DQ354">
            <v>66872</v>
          </cell>
          <cell r="DR354">
            <v>151050</v>
          </cell>
          <cell r="DS354">
            <v>12692</v>
          </cell>
          <cell r="DT354">
            <v>47364</v>
          </cell>
        </row>
        <row r="355">
          <cell r="G355">
            <v>1088</v>
          </cell>
          <cell r="DQ355">
            <v>67671</v>
          </cell>
          <cell r="DR355">
            <v>151285</v>
          </cell>
          <cell r="DS355">
            <v>12753</v>
          </cell>
          <cell r="DT355">
            <v>47335</v>
          </cell>
        </row>
        <row r="356">
          <cell r="G356">
            <v>1102</v>
          </cell>
          <cell r="DQ356">
            <v>68007</v>
          </cell>
          <cell r="DR356">
            <v>150441</v>
          </cell>
          <cell r="DS356">
            <v>12868</v>
          </cell>
          <cell r="DT356">
            <v>47259</v>
          </cell>
        </row>
        <row r="357">
          <cell r="G357">
            <v>1122</v>
          </cell>
          <cell r="DQ357">
            <v>69063</v>
          </cell>
          <cell r="DR357">
            <v>150530</v>
          </cell>
          <cell r="DS357">
            <v>13081</v>
          </cell>
          <cell r="DT357">
            <v>47479</v>
          </cell>
        </row>
        <row r="358">
          <cell r="G358">
            <v>1139</v>
          </cell>
          <cell r="DQ358">
            <v>69876</v>
          </cell>
          <cell r="DR358">
            <v>149817</v>
          </cell>
          <cell r="DS358">
            <v>13198</v>
          </cell>
          <cell r="DT358">
            <v>47256</v>
          </cell>
        </row>
        <row r="359">
          <cell r="G359">
            <v>1115</v>
          </cell>
          <cell r="DQ359">
            <v>70854</v>
          </cell>
          <cell r="DR359">
            <v>149538</v>
          </cell>
          <cell r="DS359">
            <v>13334</v>
          </cell>
          <cell r="DT359">
            <v>47240</v>
          </cell>
        </row>
        <row r="360">
          <cell r="G360">
            <v>1160</v>
          </cell>
          <cell r="DQ360">
            <v>71600</v>
          </cell>
          <cell r="DR360">
            <v>149375</v>
          </cell>
          <cell r="DS360">
            <v>13478</v>
          </cell>
          <cell r="DT360">
            <v>47152</v>
          </cell>
        </row>
        <row r="361">
          <cell r="G361">
            <v>1154</v>
          </cell>
          <cell r="DQ361">
            <v>71993</v>
          </cell>
          <cell r="DR361">
            <v>149743</v>
          </cell>
          <cell r="DS361">
            <v>13536</v>
          </cell>
          <cell r="DT361">
            <v>47327</v>
          </cell>
        </row>
        <row r="362">
          <cell r="G362">
            <v>1146</v>
          </cell>
          <cell r="DQ362">
            <v>72181</v>
          </cell>
          <cell r="DR362">
            <v>150132</v>
          </cell>
          <cell r="DS362">
            <v>13620</v>
          </cell>
          <cell r="DT362">
            <v>47466</v>
          </cell>
        </row>
        <row r="363">
          <cell r="G363">
            <v>1097</v>
          </cell>
          <cell r="DQ363">
            <v>72327</v>
          </cell>
          <cell r="DR363">
            <v>150305</v>
          </cell>
          <cell r="DS363">
            <v>13652</v>
          </cell>
          <cell r="DT363">
            <v>47259</v>
          </cell>
        </row>
        <row r="364">
          <cell r="G364">
            <v>1085</v>
          </cell>
          <cell r="DQ364">
            <v>72657</v>
          </cell>
          <cell r="DR364">
            <v>151096</v>
          </cell>
          <cell r="DS364">
            <v>13671</v>
          </cell>
          <cell r="DT364">
            <v>47275</v>
          </cell>
        </row>
        <row r="365">
          <cell r="G365">
            <v>1114</v>
          </cell>
          <cell r="DQ365">
            <v>72773</v>
          </cell>
          <cell r="DR365">
            <v>151445</v>
          </cell>
          <cell r="DS365">
            <v>13699</v>
          </cell>
          <cell r="DT365">
            <v>47360</v>
          </cell>
        </row>
        <row r="366">
          <cell r="G366">
            <v>1150</v>
          </cell>
          <cell r="DQ366">
            <v>73167</v>
          </cell>
          <cell r="DR366">
            <v>150650</v>
          </cell>
          <cell r="DS366">
            <v>13689</v>
          </cell>
          <cell r="DT366">
            <v>46521</v>
          </cell>
        </row>
        <row r="367">
          <cell r="G367">
            <v>1208</v>
          </cell>
          <cell r="DQ367">
            <v>72890</v>
          </cell>
          <cell r="DR367">
            <v>151139</v>
          </cell>
          <cell r="DS367">
            <v>13648</v>
          </cell>
          <cell r="DT367">
            <v>46623</v>
          </cell>
        </row>
        <row r="368">
          <cell r="G368">
            <v>1206</v>
          </cell>
          <cell r="DQ368">
            <v>72743</v>
          </cell>
          <cell r="DR368">
            <v>151103</v>
          </cell>
          <cell r="DS368">
            <v>13712</v>
          </cell>
          <cell r="DT368">
            <v>46837</v>
          </cell>
        </row>
        <row r="369">
          <cell r="G369">
            <v>1170</v>
          </cell>
          <cell r="DQ369">
            <v>72782</v>
          </cell>
          <cell r="DR369">
            <v>151576</v>
          </cell>
          <cell r="DS369">
            <v>13833</v>
          </cell>
          <cell r="DT369">
            <v>47151</v>
          </cell>
        </row>
        <row r="370">
          <cell r="G370">
            <v>1162</v>
          </cell>
          <cell r="DQ370">
            <v>72961</v>
          </cell>
          <cell r="DR370">
            <v>151784</v>
          </cell>
          <cell r="DS370">
            <v>13827</v>
          </cell>
          <cell r="DT370">
            <v>47502</v>
          </cell>
        </row>
        <row r="371">
          <cell r="G371">
            <v>1166</v>
          </cell>
        </row>
        <row r="372">
          <cell r="G372">
            <v>1157</v>
          </cell>
        </row>
        <row r="373">
          <cell r="G373">
            <v>1140</v>
          </cell>
        </row>
        <row r="374">
          <cell r="G374">
            <v>1139</v>
          </cell>
        </row>
        <row r="375">
          <cell r="G375">
            <v>1124</v>
          </cell>
        </row>
        <row r="376">
          <cell r="G376">
            <v>1115</v>
          </cell>
        </row>
        <row r="377">
          <cell r="G377">
            <v>1171</v>
          </cell>
        </row>
        <row r="378">
          <cell r="G378">
            <v>1267</v>
          </cell>
        </row>
        <row r="379">
          <cell r="G379">
            <v>1305</v>
          </cell>
        </row>
        <row r="380">
          <cell r="G380">
            <v>1269</v>
          </cell>
        </row>
        <row r="381">
          <cell r="G381">
            <v>1278</v>
          </cell>
        </row>
        <row r="382">
          <cell r="G382">
            <v>1293</v>
          </cell>
        </row>
        <row r="383">
          <cell r="G383">
            <v>1368</v>
          </cell>
        </row>
        <row r="384">
          <cell r="G384">
            <v>1413</v>
          </cell>
        </row>
        <row r="385">
          <cell r="G385">
            <v>1426</v>
          </cell>
        </row>
        <row r="386">
          <cell r="G386">
            <v>1456</v>
          </cell>
        </row>
        <row r="387">
          <cell r="G387">
            <v>1467</v>
          </cell>
        </row>
        <row r="388">
          <cell r="G388">
            <v>1466</v>
          </cell>
        </row>
        <row r="389">
          <cell r="G389">
            <v>1591</v>
          </cell>
        </row>
        <row r="390">
          <cell r="G390">
            <v>1719</v>
          </cell>
        </row>
        <row r="391">
          <cell r="G391">
            <v>1687</v>
          </cell>
        </row>
        <row r="392">
          <cell r="G392">
            <v>1563</v>
          </cell>
        </row>
        <row r="393">
          <cell r="G393">
            <v>1642</v>
          </cell>
        </row>
        <row r="394">
          <cell r="G394">
            <v>1772</v>
          </cell>
        </row>
        <row r="395">
          <cell r="G395">
            <v>1841</v>
          </cell>
        </row>
        <row r="396">
          <cell r="G396">
            <v>1936</v>
          </cell>
        </row>
        <row r="397">
          <cell r="G397">
            <v>1739</v>
          </cell>
        </row>
        <row r="398">
          <cell r="G398">
            <v>1567</v>
          </cell>
        </row>
        <row r="399">
          <cell r="G399">
            <v>1505</v>
          </cell>
        </row>
        <row r="400">
          <cell r="G400">
            <v>1495</v>
          </cell>
        </row>
        <row r="401">
          <cell r="G401">
            <v>1529</v>
          </cell>
        </row>
        <row r="402">
          <cell r="G402">
            <v>1572</v>
          </cell>
        </row>
        <row r="403">
          <cell r="G403">
            <v>1629</v>
          </cell>
        </row>
        <row r="404">
          <cell r="G404">
            <v>1624</v>
          </cell>
        </row>
        <row r="405">
          <cell r="G405">
            <v>1636</v>
          </cell>
        </row>
        <row r="406">
          <cell r="G406">
            <v>1682</v>
          </cell>
        </row>
        <row r="407">
          <cell r="G407">
            <v>1701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EE438"/>
  <sheetViews>
    <sheetView zoomScaleNormal="100" workbookViewId="0">
      <pane xSplit="1" ySplit="3" topLeftCell="BP421" activePane="bottomRight" state="frozen"/>
      <selection activeCell="F136" sqref="F136"/>
      <selection pane="topRight" activeCell="F136" sqref="F136"/>
      <selection pane="bottomLeft" activeCell="F136" sqref="F136"/>
      <selection pane="bottomRight" activeCell="CW442" sqref="CW442"/>
    </sheetView>
  </sheetViews>
  <sheetFormatPr defaultColWidth="14.6640625" defaultRowHeight="13.2" x14ac:dyDescent="0.25"/>
  <cols>
    <col min="1" max="1" width="12.6640625" customWidth="1"/>
    <col min="16" max="16" width="19.5546875" customWidth="1"/>
    <col min="17" max="17" width="18.88671875" customWidth="1"/>
    <col min="18" max="18" width="19.33203125" customWidth="1"/>
    <col min="26" max="26" width="14.6640625" style="77"/>
    <col min="50" max="53" width="14.6640625" style="77"/>
    <col min="75" max="75" width="20" customWidth="1"/>
    <col min="109" max="109" width="16.6640625" customWidth="1"/>
    <col min="110" max="113" width="14.6640625" customWidth="1"/>
    <col min="114" max="114" width="13.33203125" customWidth="1"/>
    <col min="115" max="115" width="17.5546875" customWidth="1"/>
    <col min="116" max="116" width="18.33203125" customWidth="1"/>
    <col min="117" max="117" width="14.6640625" customWidth="1"/>
    <col min="118" max="118" width="17" customWidth="1"/>
    <col min="119" max="119" width="16.33203125" customWidth="1"/>
    <col min="120" max="120" width="17.33203125" customWidth="1"/>
    <col min="121" max="121" width="14.6640625" customWidth="1"/>
    <col min="122" max="122" width="12" customWidth="1"/>
    <col min="123" max="125" width="14.6640625" customWidth="1"/>
    <col min="126" max="126" width="19.6640625" customWidth="1"/>
    <col min="127" max="127" width="18.109375" customWidth="1"/>
    <col min="128" max="128" width="14.6640625" customWidth="1"/>
    <col min="129" max="129" width="11.44140625" customWidth="1"/>
    <col min="130" max="130" width="19.6640625" customWidth="1"/>
    <col min="131" max="131" width="17.33203125" customWidth="1"/>
    <col min="132" max="132" width="14.6640625" customWidth="1"/>
  </cols>
  <sheetData>
    <row r="1" spans="1:135" ht="126.6" customHeight="1" x14ac:dyDescent="0.25">
      <c r="B1" s="111" t="s">
        <v>340</v>
      </c>
      <c r="C1" s="111" t="s">
        <v>341</v>
      </c>
      <c r="D1" s="111" t="s">
        <v>342</v>
      </c>
      <c r="E1" s="111" t="s">
        <v>343</v>
      </c>
      <c r="F1" s="101" t="s">
        <v>228</v>
      </c>
      <c r="G1" s="101" t="s">
        <v>229</v>
      </c>
      <c r="H1" s="101" t="s">
        <v>230</v>
      </c>
      <c r="I1" s="101" t="s">
        <v>231</v>
      </c>
      <c r="J1" s="101" t="s">
        <v>232</v>
      </c>
      <c r="K1" s="101" t="s">
        <v>233</v>
      </c>
      <c r="L1" s="97" t="s">
        <v>234</v>
      </c>
      <c r="M1" s="97" t="s">
        <v>235</v>
      </c>
      <c r="N1" s="101" t="s">
        <v>237</v>
      </c>
      <c r="O1" s="97" t="s">
        <v>236</v>
      </c>
      <c r="P1" s="97" t="s">
        <v>315</v>
      </c>
      <c r="Q1" s="97" t="s">
        <v>238</v>
      </c>
      <c r="R1" s="97" t="s">
        <v>317</v>
      </c>
      <c r="S1" s="100" t="s">
        <v>239</v>
      </c>
      <c r="T1" s="97" t="s">
        <v>240</v>
      </c>
      <c r="U1" s="97" t="s">
        <v>241</v>
      </c>
      <c r="V1" s="97" t="s">
        <v>242</v>
      </c>
      <c r="W1" s="97" t="s">
        <v>243</v>
      </c>
      <c r="X1" s="97" t="s">
        <v>244</v>
      </c>
      <c r="Y1" s="97" t="s">
        <v>245</v>
      </c>
      <c r="Z1" s="100" t="s">
        <v>246</v>
      </c>
      <c r="AA1" s="97" t="s">
        <v>247</v>
      </c>
      <c r="AB1" s="97" t="s">
        <v>248</v>
      </c>
      <c r="AC1" s="97" t="s">
        <v>249</v>
      </c>
      <c r="AD1" s="97" t="s">
        <v>250</v>
      </c>
      <c r="AE1" s="97" t="s">
        <v>251</v>
      </c>
      <c r="AF1" s="98" t="s">
        <v>252</v>
      </c>
      <c r="AG1" s="97" t="s">
        <v>253</v>
      </c>
      <c r="AH1" s="97" t="s">
        <v>254</v>
      </c>
      <c r="AI1" s="97" t="s">
        <v>255</v>
      </c>
      <c r="AJ1" s="97" t="s">
        <v>256</v>
      </c>
      <c r="AK1" s="97" t="s">
        <v>257</v>
      </c>
      <c r="AL1" s="97" t="s">
        <v>258</v>
      </c>
      <c r="AM1" s="100" t="s">
        <v>260</v>
      </c>
      <c r="AN1" s="97" t="s">
        <v>259</v>
      </c>
      <c r="AO1" s="100" t="s">
        <v>261</v>
      </c>
      <c r="AP1" s="100" t="s">
        <v>262</v>
      </c>
      <c r="AQ1" s="112" t="s">
        <v>344</v>
      </c>
      <c r="AR1" s="97" t="s">
        <v>263</v>
      </c>
      <c r="AS1" s="97" t="s">
        <v>264</v>
      </c>
      <c r="AT1" s="97" t="s">
        <v>268</v>
      </c>
      <c r="AU1" s="97" t="s">
        <v>265</v>
      </c>
      <c r="AV1" s="97" t="s">
        <v>267</v>
      </c>
      <c r="AW1" s="100" t="s">
        <v>266</v>
      </c>
      <c r="AX1" s="97" t="s">
        <v>269</v>
      </c>
      <c r="AY1" s="97" t="s">
        <v>270</v>
      </c>
      <c r="AZ1" s="97" t="s">
        <v>271</v>
      </c>
      <c r="BA1" s="97" t="s">
        <v>272</v>
      </c>
      <c r="BB1" s="97" t="s">
        <v>273</v>
      </c>
      <c r="BC1" s="97" t="s">
        <v>274</v>
      </c>
      <c r="BD1" s="115" t="s">
        <v>345</v>
      </c>
      <c r="BE1" s="113" t="s">
        <v>346</v>
      </c>
      <c r="BF1" s="97" t="s">
        <v>275</v>
      </c>
      <c r="BG1" s="113" t="s">
        <v>347</v>
      </c>
      <c r="BH1" s="113" t="s">
        <v>347</v>
      </c>
      <c r="BI1" s="114" t="s">
        <v>348</v>
      </c>
      <c r="BJ1" s="97" t="s">
        <v>322</v>
      </c>
      <c r="BK1" s="97" t="s">
        <v>276</v>
      </c>
      <c r="BL1" s="97" t="s">
        <v>277</v>
      </c>
      <c r="BM1" s="97" t="s">
        <v>320</v>
      </c>
      <c r="BN1" s="97" t="s">
        <v>321</v>
      </c>
      <c r="BO1" s="100" t="s">
        <v>278</v>
      </c>
      <c r="BP1" s="97" t="s">
        <v>318</v>
      </c>
      <c r="BQ1" s="97" t="s">
        <v>319</v>
      </c>
      <c r="BR1" s="97" t="s">
        <v>279</v>
      </c>
      <c r="BS1" s="97" t="s">
        <v>282</v>
      </c>
      <c r="BT1" s="97" t="s">
        <v>281</v>
      </c>
      <c r="BU1" s="100" t="s">
        <v>280</v>
      </c>
      <c r="BV1" s="97" t="s">
        <v>283</v>
      </c>
      <c r="BW1" s="97" t="s">
        <v>284</v>
      </c>
      <c r="BX1" s="114" t="s">
        <v>349</v>
      </c>
      <c r="BY1" s="97" t="s">
        <v>285</v>
      </c>
      <c r="BZ1" s="114" t="s">
        <v>350</v>
      </c>
      <c r="CA1" s="97" t="s">
        <v>286</v>
      </c>
      <c r="CB1" s="97" t="s">
        <v>287</v>
      </c>
      <c r="CC1" s="97" t="s">
        <v>288</v>
      </c>
      <c r="CD1" s="97" t="s">
        <v>289</v>
      </c>
      <c r="CE1" s="97" t="s">
        <v>290</v>
      </c>
      <c r="CF1" s="102" t="s">
        <v>291</v>
      </c>
      <c r="CG1" s="114" t="s">
        <v>351</v>
      </c>
      <c r="CH1" s="97" t="s">
        <v>292</v>
      </c>
      <c r="CI1" s="97" t="s">
        <v>293</v>
      </c>
      <c r="CJ1" s="97" t="s">
        <v>294</v>
      </c>
      <c r="CK1" s="97" t="s">
        <v>296</v>
      </c>
      <c r="CL1" s="97" t="s">
        <v>297</v>
      </c>
      <c r="CM1" s="97" t="s">
        <v>298</v>
      </c>
      <c r="CN1" s="97" t="s">
        <v>299</v>
      </c>
      <c r="CO1" s="100" t="s">
        <v>300</v>
      </c>
      <c r="CP1" s="100" t="s">
        <v>301</v>
      </c>
      <c r="CQ1" s="100" t="s">
        <v>303</v>
      </c>
      <c r="CR1" s="100" t="s">
        <v>302</v>
      </c>
      <c r="CS1" s="101" t="s">
        <v>304</v>
      </c>
      <c r="CT1" s="101" t="s">
        <v>305</v>
      </c>
      <c r="CU1" s="100" t="s">
        <v>306</v>
      </c>
      <c r="CV1" s="100" t="s">
        <v>307</v>
      </c>
      <c r="CW1" s="100" t="s">
        <v>308</v>
      </c>
      <c r="CX1" s="100" t="s">
        <v>309</v>
      </c>
      <c r="CY1" s="107" t="s">
        <v>310</v>
      </c>
      <c r="CZ1" s="107" t="s">
        <v>311</v>
      </c>
      <c r="DA1" s="107" t="s">
        <v>312</v>
      </c>
      <c r="DB1" s="110" t="s">
        <v>313</v>
      </c>
      <c r="DC1" s="110" t="s">
        <v>324</v>
      </c>
      <c r="DD1" s="110" t="s">
        <v>314</v>
      </c>
      <c r="DE1" s="99"/>
      <c r="DG1" s="169" t="s">
        <v>81</v>
      </c>
      <c r="DH1" s="169"/>
      <c r="DI1" s="169"/>
      <c r="DK1" s="169" t="s">
        <v>90</v>
      </c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Z1" s="150" t="s">
        <v>373</v>
      </c>
      <c r="EA1" s="12" t="s">
        <v>83</v>
      </c>
      <c r="EC1" s="70" t="s">
        <v>99</v>
      </c>
    </row>
    <row r="2" spans="1:135" ht="52.8" x14ac:dyDescent="0.25">
      <c r="B2" s="23" t="s">
        <v>352</v>
      </c>
      <c r="C2" s="23" t="s">
        <v>353</v>
      </c>
      <c r="D2" s="23" t="s">
        <v>353</v>
      </c>
      <c r="E2" s="23" t="s">
        <v>353</v>
      </c>
      <c r="F2" t="s">
        <v>127</v>
      </c>
      <c r="G2" t="s">
        <v>128</v>
      </c>
      <c r="H2" t="s">
        <v>128</v>
      </c>
      <c r="I2" t="s">
        <v>128</v>
      </c>
      <c r="J2" t="s">
        <v>128</v>
      </c>
      <c r="K2" t="s">
        <v>128</v>
      </c>
      <c r="L2" t="s">
        <v>129</v>
      </c>
      <c r="M2" t="s">
        <v>129</v>
      </c>
      <c r="N2" t="s">
        <v>128</v>
      </c>
      <c r="O2" t="s">
        <v>129</v>
      </c>
      <c r="P2" t="s">
        <v>316</v>
      </c>
      <c r="Q2" t="s">
        <v>129</v>
      </c>
      <c r="R2" t="s">
        <v>316</v>
      </c>
      <c r="S2" t="s">
        <v>130</v>
      </c>
      <c r="T2" t="s">
        <v>129</v>
      </c>
      <c r="U2" t="s">
        <v>129</v>
      </c>
      <c r="V2" t="s">
        <v>129</v>
      </c>
      <c r="W2" t="s">
        <v>129</v>
      </c>
      <c r="X2" t="s">
        <v>131</v>
      </c>
      <c r="Y2" t="s">
        <v>131</v>
      </c>
      <c r="Z2" s="77" t="s">
        <v>82</v>
      </c>
      <c r="AA2" t="s">
        <v>131</v>
      </c>
      <c r="AB2" t="s">
        <v>131</v>
      </c>
      <c r="AC2" t="s">
        <v>131</v>
      </c>
      <c r="AD2" t="s">
        <v>131</v>
      </c>
      <c r="AE2" t="s">
        <v>131</v>
      </c>
      <c r="AF2" t="s">
        <v>132</v>
      </c>
      <c r="AG2" t="s">
        <v>131</v>
      </c>
      <c r="AH2" t="s">
        <v>131</v>
      </c>
      <c r="AI2" t="s">
        <v>131</v>
      </c>
      <c r="AJ2" t="s">
        <v>131</v>
      </c>
      <c r="AK2" t="s">
        <v>131</v>
      </c>
      <c r="AL2" t="s">
        <v>131</v>
      </c>
      <c r="AM2" t="s">
        <v>133</v>
      </c>
      <c r="AN2" t="s">
        <v>131</v>
      </c>
      <c r="AO2" t="s">
        <v>133</v>
      </c>
      <c r="AP2" t="s">
        <v>133</v>
      </c>
      <c r="AQ2" t="s">
        <v>133</v>
      </c>
      <c r="AR2" t="s">
        <v>131</v>
      </c>
      <c r="AS2" t="s">
        <v>131</v>
      </c>
      <c r="AT2" s="96" t="s">
        <v>131</v>
      </c>
      <c r="AU2" t="s">
        <v>131</v>
      </c>
      <c r="AV2" s="96" t="s">
        <v>131</v>
      </c>
      <c r="AW2" t="s">
        <v>132</v>
      </c>
      <c r="AX2" s="77" t="s">
        <v>134</v>
      </c>
      <c r="AY2" s="77" t="s">
        <v>135</v>
      </c>
      <c r="AZ2" s="77" t="s">
        <v>131</v>
      </c>
      <c r="BA2" s="77" t="s">
        <v>131</v>
      </c>
      <c r="BB2" t="s">
        <v>131</v>
      </c>
      <c r="BC2" t="s">
        <v>135</v>
      </c>
      <c r="BD2" t="s">
        <v>135</v>
      </c>
      <c r="BE2" s="23" t="s">
        <v>134</v>
      </c>
      <c r="BF2" t="s">
        <v>93</v>
      </c>
      <c r="BG2" t="s">
        <v>135</v>
      </c>
      <c r="BH2" s="23" t="s">
        <v>134</v>
      </c>
      <c r="BI2" s="23" t="s">
        <v>93</v>
      </c>
      <c r="BJ2" t="s">
        <v>134</v>
      </c>
      <c r="BK2" t="s">
        <v>93</v>
      </c>
      <c r="BL2" t="s">
        <v>93</v>
      </c>
      <c r="BM2" t="s">
        <v>136</v>
      </c>
      <c r="BN2" t="s">
        <v>136</v>
      </c>
      <c r="BO2" t="s">
        <v>137</v>
      </c>
      <c r="BP2" t="s">
        <v>354</v>
      </c>
      <c r="BQ2" t="s">
        <v>134</v>
      </c>
      <c r="BR2" t="s">
        <v>134</v>
      </c>
      <c r="BS2" t="s">
        <v>354</v>
      </c>
      <c r="BT2" t="s">
        <v>134</v>
      </c>
      <c r="BU2" t="s">
        <v>137</v>
      </c>
      <c r="BV2" t="s">
        <v>134</v>
      </c>
      <c r="BW2" t="s">
        <v>93</v>
      </c>
      <c r="BY2" s="23" t="s">
        <v>134</v>
      </c>
      <c r="BZ2" s="23" t="s">
        <v>354</v>
      </c>
      <c r="CA2" s="23" t="s">
        <v>134</v>
      </c>
      <c r="CB2" s="23" t="s">
        <v>82</v>
      </c>
      <c r="CC2" s="23" t="s">
        <v>134</v>
      </c>
      <c r="CD2" s="23" t="s">
        <v>134</v>
      </c>
      <c r="CE2" s="23" t="s">
        <v>134</v>
      </c>
      <c r="CF2" s="23" t="s">
        <v>224</v>
      </c>
      <c r="CG2" s="23" t="s">
        <v>355</v>
      </c>
      <c r="CH2" t="s">
        <v>82</v>
      </c>
      <c r="CI2" s="23" t="s">
        <v>134</v>
      </c>
      <c r="CJ2" s="23" t="s">
        <v>134</v>
      </c>
      <c r="CK2" s="23" t="s">
        <v>295</v>
      </c>
      <c r="CL2" t="s">
        <v>295</v>
      </c>
      <c r="CM2" t="s">
        <v>295</v>
      </c>
      <c r="CN2" t="s">
        <v>295</v>
      </c>
      <c r="CO2" t="s">
        <v>295</v>
      </c>
      <c r="CP2" t="s">
        <v>295</v>
      </c>
      <c r="CQ2" s="23" t="s">
        <v>354</v>
      </c>
      <c r="CR2" s="23" t="s">
        <v>134</v>
      </c>
      <c r="CS2" t="s">
        <v>227</v>
      </c>
      <c r="CT2" t="s">
        <v>227</v>
      </c>
      <c r="CU2" t="s">
        <v>295</v>
      </c>
      <c r="CV2" t="s">
        <v>295</v>
      </c>
      <c r="CW2" s="23" t="s">
        <v>354</v>
      </c>
      <c r="CX2" s="23" t="s">
        <v>134</v>
      </c>
      <c r="CY2" t="s">
        <v>100</v>
      </c>
      <c r="CZ2" t="s">
        <v>100</v>
      </c>
      <c r="DA2" t="s">
        <v>100</v>
      </c>
      <c r="DB2" s="23"/>
      <c r="DD2" s="23"/>
      <c r="DG2" s="46" t="s">
        <v>151</v>
      </c>
      <c r="DH2" s="46" t="s">
        <v>80</v>
      </c>
      <c r="DI2" s="2" t="s">
        <v>0</v>
      </c>
      <c r="DK2" s="2" t="s">
        <v>84</v>
      </c>
      <c r="DL2" s="2" t="s">
        <v>85</v>
      </c>
      <c r="DM2" s="2" t="s">
        <v>107</v>
      </c>
      <c r="DN2" s="2" t="s">
        <v>106</v>
      </c>
      <c r="DO2" s="46" t="s">
        <v>86</v>
      </c>
      <c r="DP2" s="61" t="s">
        <v>87</v>
      </c>
      <c r="DQ2" s="74" t="s">
        <v>356</v>
      </c>
      <c r="DR2" s="46" t="s">
        <v>88</v>
      </c>
      <c r="DS2" s="46" t="s">
        <v>372</v>
      </c>
      <c r="DT2" s="46" t="s">
        <v>89</v>
      </c>
      <c r="DU2" s="46" t="s">
        <v>153</v>
      </c>
      <c r="DV2" s="62" t="s">
        <v>152</v>
      </c>
      <c r="DW2" s="46" t="s">
        <v>219</v>
      </c>
      <c r="DX2" s="7" t="s">
        <v>94</v>
      </c>
      <c r="DZ2" s="7" t="s">
        <v>94</v>
      </c>
      <c r="EA2" s="7" t="s">
        <v>94</v>
      </c>
      <c r="EC2" s="7" t="s">
        <v>94</v>
      </c>
    </row>
    <row r="3" spans="1:135" ht="42" x14ac:dyDescent="0.5">
      <c r="A3" s="103" t="s">
        <v>323</v>
      </c>
      <c r="B3" s="104" t="s">
        <v>1</v>
      </c>
      <c r="C3" s="104" t="s">
        <v>2</v>
      </c>
      <c r="D3" s="104" t="s">
        <v>3</v>
      </c>
      <c r="E3" s="104" t="s">
        <v>4</v>
      </c>
      <c r="F3" s="104" t="s">
        <v>5</v>
      </c>
      <c r="G3" s="104" t="s">
        <v>6</v>
      </c>
      <c r="H3" s="104" t="s">
        <v>7</v>
      </c>
      <c r="I3" s="104" t="s">
        <v>8</v>
      </c>
      <c r="J3" s="104" t="s">
        <v>9</v>
      </c>
      <c r="K3" s="105" t="s">
        <v>112</v>
      </c>
      <c r="L3" s="105" t="s">
        <v>10</v>
      </c>
      <c r="M3" s="105" t="s">
        <v>11</v>
      </c>
      <c r="N3" s="106" t="s">
        <v>139</v>
      </c>
      <c r="O3" s="104" t="s">
        <v>12</v>
      </c>
      <c r="P3" s="104" t="s">
        <v>13</v>
      </c>
      <c r="Q3" s="104" t="s">
        <v>14</v>
      </c>
      <c r="R3" s="104" t="s">
        <v>15</v>
      </c>
      <c r="S3" s="104" t="s">
        <v>16</v>
      </c>
      <c r="T3" s="104" t="s">
        <v>108</v>
      </c>
      <c r="U3" s="104" t="s">
        <v>109</v>
      </c>
      <c r="V3" s="104" t="s">
        <v>17</v>
      </c>
      <c r="W3" s="104" t="s">
        <v>18</v>
      </c>
      <c r="X3" s="104" t="s">
        <v>19</v>
      </c>
      <c r="Y3" s="104" t="s">
        <v>20</v>
      </c>
      <c r="Z3" s="108" t="s">
        <v>117</v>
      </c>
      <c r="AA3" s="104" t="s">
        <v>21</v>
      </c>
      <c r="AB3" s="104" t="s">
        <v>22</v>
      </c>
      <c r="AC3" s="104" t="s">
        <v>23</v>
      </c>
      <c r="AD3" s="104" t="s">
        <v>24</v>
      </c>
      <c r="AE3" s="104" t="s">
        <v>25</v>
      </c>
      <c r="AF3" s="104" t="s">
        <v>26</v>
      </c>
      <c r="AG3" s="104" t="s">
        <v>110</v>
      </c>
      <c r="AH3" s="104" t="s">
        <v>111</v>
      </c>
      <c r="AI3" s="104" t="s">
        <v>27</v>
      </c>
      <c r="AJ3" s="104" t="s">
        <v>28</v>
      </c>
      <c r="AK3" s="104" t="s">
        <v>29</v>
      </c>
      <c r="AL3" s="104" t="s">
        <v>30</v>
      </c>
      <c r="AM3" s="104" t="s">
        <v>31</v>
      </c>
      <c r="AN3" s="104" t="s">
        <v>32</v>
      </c>
      <c r="AO3" s="104" t="s">
        <v>33</v>
      </c>
      <c r="AP3" s="104" t="s">
        <v>34</v>
      </c>
      <c r="AQ3" s="104" t="s">
        <v>35</v>
      </c>
      <c r="AR3" s="104" t="s">
        <v>36</v>
      </c>
      <c r="AS3" s="104" t="s">
        <v>37</v>
      </c>
      <c r="AT3" s="104" t="s">
        <v>38</v>
      </c>
      <c r="AU3" s="104" t="s">
        <v>39</v>
      </c>
      <c r="AV3" s="104" t="s">
        <v>40</v>
      </c>
      <c r="AW3" s="104" t="s">
        <v>41</v>
      </c>
      <c r="AX3" s="104" t="s">
        <v>118</v>
      </c>
      <c r="AY3" s="104" t="s">
        <v>119</v>
      </c>
      <c r="AZ3" s="104" t="s">
        <v>42</v>
      </c>
      <c r="BA3" s="104" t="s">
        <v>120</v>
      </c>
      <c r="BB3" s="104" t="s">
        <v>43</v>
      </c>
      <c r="BC3" s="106" t="s">
        <v>121</v>
      </c>
      <c r="BD3" s="104" t="s">
        <v>44</v>
      </c>
      <c r="BE3" s="104" t="s">
        <v>45</v>
      </c>
      <c r="BF3" s="104" t="s">
        <v>46</v>
      </c>
      <c r="BG3" s="104" t="s">
        <v>47</v>
      </c>
      <c r="BH3" s="104" t="s">
        <v>48</v>
      </c>
      <c r="BI3" s="104" t="s">
        <v>49</v>
      </c>
      <c r="BJ3" s="104" t="s">
        <v>50</v>
      </c>
      <c r="BK3" s="104" t="s">
        <v>51</v>
      </c>
      <c r="BL3" s="106" t="s">
        <v>122</v>
      </c>
      <c r="BM3" s="104" t="s">
        <v>52</v>
      </c>
      <c r="BN3" s="104" t="s">
        <v>53</v>
      </c>
      <c r="BO3" s="104" t="s">
        <v>54</v>
      </c>
      <c r="BP3" s="104" t="s">
        <v>55</v>
      </c>
      <c r="BQ3" s="104" t="s">
        <v>56</v>
      </c>
      <c r="BR3" s="104" t="s">
        <v>57</v>
      </c>
      <c r="BS3" s="104" t="s">
        <v>58</v>
      </c>
      <c r="BT3" s="104" t="s">
        <v>59</v>
      </c>
      <c r="BU3" s="106" t="s">
        <v>124</v>
      </c>
      <c r="BV3" s="104" t="s">
        <v>60</v>
      </c>
      <c r="BW3" s="104" t="s">
        <v>61</v>
      </c>
      <c r="BX3" s="109" t="s">
        <v>140</v>
      </c>
      <c r="BY3" s="104" t="s">
        <v>62</v>
      </c>
      <c r="BZ3" s="104" t="s">
        <v>63</v>
      </c>
      <c r="CA3" s="104" t="s">
        <v>64</v>
      </c>
      <c r="CB3" s="104" t="s">
        <v>65</v>
      </c>
      <c r="CC3" s="104" t="s">
        <v>66</v>
      </c>
      <c r="CD3" s="104" t="s">
        <v>67</v>
      </c>
      <c r="CE3" s="104" t="s">
        <v>68</v>
      </c>
      <c r="CF3" s="104" t="s">
        <v>69</v>
      </c>
      <c r="CG3" s="104" t="s">
        <v>70</v>
      </c>
      <c r="CH3" s="104" t="s">
        <v>71</v>
      </c>
      <c r="CI3" s="104" t="s">
        <v>72</v>
      </c>
      <c r="CJ3" s="104" t="s">
        <v>73</v>
      </c>
      <c r="CK3" s="106" t="s">
        <v>145</v>
      </c>
      <c r="CL3" s="106" t="s">
        <v>146</v>
      </c>
      <c r="CM3" s="106" t="s">
        <v>147</v>
      </c>
      <c r="CN3" s="106" t="s">
        <v>148</v>
      </c>
      <c r="CO3" s="106" t="s">
        <v>149</v>
      </c>
      <c r="CP3" s="106" t="s">
        <v>150</v>
      </c>
      <c r="CQ3" s="106" t="s">
        <v>142</v>
      </c>
      <c r="CR3" s="106" t="s">
        <v>141</v>
      </c>
      <c r="CS3" s="106" t="s">
        <v>196</v>
      </c>
      <c r="CT3" s="106" t="s">
        <v>197</v>
      </c>
      <c r="CU3" s="106" t="s">
        <v>198</v>
      </c>
      <c r="CV3" s="106" t="s">
        <v>199</v>
      </c>
      <c r="CW3" s="106" t="s">
        <v>200</v>
      </c>
      <c r="CX3" s="106" t="s">
        <v>201</v>
      </c>
      <c r="CY3" s="104" t="s">
        <v>74</v>
      </c>
      <c r="CZ3" s="104" t="s">
        <v>75</v>
      </c>
      <c r="DA3" s="104" t="s">
        <v>76</v>
      </c>
      <c r="DB3" s="104" t="s">
        <v>77</v>
      </c>
      <c r="DC3" s="104" t="s">
        <v>78</v>
      </c>
      <c r="DD3" s="104" t="s">
        <v>79</v>
      </c>
      <c r="DE3" s="151" t="s">
        <v>374</v>
      </c>
      <c r="DG3" s="3"/>
      <c r="DH3" s="3"/>
      <c r="DI3" s="3"/>
      <c r="DK3" s="9" t="s">
        <v>92</v>
      </c>
      <c r="DL3" s="8" t="s">
        <v>91</v>
      </c>
      <c r="DM3" s="8"/>
      <c r="DN3" s="8"/>
      <c r="DP3" s="26"/>
      <c r="DQ3" s="148" t="s">
        <v>371</v>
      </c>
      <c r="DR3" s="26" t="s">
        <v>123</v>
      </c>
      <c r="DS3" s="26" t="s">
        <v>125</v>
      </c>
      <c r="DT3" s="26" t="s">
        <v>126</v>
      </c>
      <c r="DU3" s="26" t="s">
        <v>220</v>
      </c>
      <c r="DV3" s="149" t="s">
        <v>361</v>
      </c>
      <c r="DW3" s="26" t="s">
        <v>360</v>
      </c>
      <c r="DX3" s="4"/>
    </row>
    <row r="4" spans="1:135" x14ac:dyDescent="0.25">
      <c r="A4" s="124">
        <v>32325</v>
      </c>
      <c r="B4" s="125">
        <v>0</v>
      </c>
      <c r="C4" s="125">
        <v>0</v>
      </c>
      <c r="D4" s="125">
        <v>0</v>
      </c>
      <c r="E4" s="125" t="s">
        <v>370</v>
      </c>
      <c r="F4" s="125" t="s">
        <v>370</v>
      </c>
      <c r="G4" s="125">
        <v>0</v>
      </c>
      <c r="H4" s="125">
        <v>0</v>
      </c>
      <c r="I4" s="125">
        <v>0</v>
      </c>
      <c r="J4" s="125">
        <v>0</v>
      </c>
      <c r="K4" s="125"/>
      <c r="L4" s="125">
        <v>32107</v>
      </c>
      <c r="M4" s="125">
        <v>2733</v>
      </c>
      <c r="N4" s="125"/>
      <c r="O4" s="125">
        <v>0</v>
      </c>
      <c r="P4" s="125">
        <v>0</v>
      </c>
      <c r="Q4" s="125">
        <v>1139</v>
      </c>
      <c r="R4" s="125">
        <v>1035</v>
      </c>
      <c r="S4" s="125">
        <v>0</v>
      </c>
      <c r="T4" s="125"/>
      <c r="U4" s="125"/>
      <c r="V4" s="125">
        <v>13352</v>
      </c>
      <c r="W4" s="125">
        <v>0</v>
      </c>
      <c r="X4" s="125">
        <v>942</v>
      </c>
      <c r="Y4" s="125">
        <v>57</v>
      </c>
      <c r="Z4" s="126"/>
      <c r="AA4" s="125">
        <v>0</v>
      </c>
      <c r="AB4" s="125">
        <v>0</v>
      </c>
      <c r="AC4" s="125">
        <v>0</v>
      </c>
      <c r="AD4" s="125">
        <v>24</v>
      </c>
      <c r="AE4" s="125">
        <v>6</v>
      </c>
      <c r="AF4" s="125">
        <v>0</v>
      </c>
      <c r="AG4" s="125"/>
      <c r="AH4" s="125"/>
      <c r="AI4" s="125">
        <v>82</v>
      </c>
      <c r="AJ4" s="125">
        <v>0</v>
      </c>
      <c r="AK4" s="125">
        <v>39717</v>
      </c>
      <c r="AL4" s="125">
        <v>2484</v>
      </c>
      <c r="AM4" s="125">
        <v>0</v>
      </c>
      <c r="AN4" s="125">
        <v>0</v>
      </c>
      <c r="AO4" s="125">
        <v>0</v>
      </c>
      <c r="AP4" s="125">
        <v>0</v>
      </c>
      <c r="AQ4" s="125">
        <v>0</v>
      </c>
      <c r="AR4" s="125">
        <v>0</v>
      </c>
      <c r="AS4" s="125" t="s">
        <v>370</v>
      </c>
      <c r="AT4" s="125">
        <v>0</v>
      </c>
      <c r="AU4" s="125">
        <v>524</v>
      </c>
      <c r="AV4" s="125">
        <v>1560</v>
      </c>
      <c r="AW4" s="125">
        <v>0</v>
      </c>
      <c r="AX4" s="126"/>
      <c r="AY4" s="126"/>
      <c r="AZ4" s="126">
        <v>0</v>
      </c>
      <c r="BA4" s="126"/>
      <c r="BB4" s="125">
        <v>2392</v>
      </c>
      <c r="BC4" s="125"/>
      <c r="BD4" s="125">
        <v>44866</v>
      </c>
      <c r="BE4" s="125">
        <v>93203</v>
      </c>
      <c r="BF4" s="125">
        <v>100</v>
      </c>
      <c r="BG4" s="125">
        <v>0</v>
      </c>
      <c r="BH4" s="125">
        <v>0</v>
      </c>
      <c r="BI4" s="125">
        <v>2206</v>
      </c>
      <c r="BJ4" s="125">
        <v>147</v>
      </c>
      <c r="BK4" s="125">
        <v>2550</v>
      </c>
      <c r="BL4" s="125"/>
      <c r="BM4" s="125">
        <v>684</v>
      </c>
      <c r="BN4" s="125">
        <v>598</v>
      </c>
      <c r="BO4" s="125">
        <v>0</v>
      </c>
      <c r="BP4" s="125">
        <v>3046</v>
      </c>
      <c r="BQ4" s="125">
        <v>7086</v>
      </c>
      <c r="BR4" s="125">
        <v>30</v>
      </c>
      <c r="BS4" s="125">
        <v>0</v>
      </c>
      <c r="BT4" s="125">
        <v>0</v>
      </c>
      <c r="BU4" s="125"/>
      <c r="BV4" s="125">
        <v>23</v>
      </c>
      <c r="BW4" s="125">
        <v>370</v>
      </c>
      <c r="BX4" s="125"/>
      <c r="BY4" s="125">
        <v>5072</v>
      </c>
      <c r="BZ4" s="125">
        <v>0</v>
      </c>
      <c r="CA4" s="125">
        <v>0</v>
      </c>
      <c r="CB4" s="125">
        <v>2275</v>
      </c>
      <c r="CC4" s="125">
        <v>1</v>
      </c>
      <c r="CD4" s="125">
        <v>2013</v>
      </c>
      <c r="CE4" s="125">
        <v>1139</v>
      </c>
      <c r="CF4" s="125">
        <v>0</v>
      </c>
      <c r="CG4" s="125">
        <v>3</v>
      </c>
      <c r="CH4" s="125">
        <v>533</v>
      </c>
      <c r="CI4" s="125">
        <v>796</v>
      </c>
      <c r="CJ4" s="125">
        <v>147</v>
      </c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 t="s">
        <v>370</v>
      </c>
      <c r="CZ4" s="125" t="s">
        <v>370</v>
      </c>
      <c r="DA4" s="125" t="s">
        <v>370</v>
      </c>
      <c r="DB4" s="125">
        <v>0</v>
      </c>
      <c r="DC4" s="125">
        <v>0</v>
      </c>
      <c r="DD4" s="125">
        <v>0</v>
      </c>
      <c r="DE4">
        <f t="shared" ref="DE4:DE67" si="0">SUM(B4:CX4)</f>
        <v>265042</v>
      </c>
      <c r="DG4" s="1">
        <f>SUM(AX5:AY5,BC5:CP5,CU5:CX5)</f>
        <v>166790</v>
      </c>
      <c r="DH4" s="1">
        <f t="shared" ref="DH4:DH67" si="1">SUM(L5:M5,O5:AW5,AZ5:BB5)+CQ5+CR5</f>
        <v>98338</v>
      </c>
      <c r="DI4" s="127">
        <f t="shared" ref="DI4:DI67" si="2">SUM(DG4:DH4)</f>
        <v>265128</v>
      </c>
      <c r="DK4" s="1">
        <f t="shared" ref="DK4:DK67" si="3">SUM(L5:M5,O5:R5,T5:W5)</f>
        <v>50532</v>
      </c>
      <c r="DL4" s="1">
        <f t="shared" ref="DL4:DL67" si="4">SUM(X4:Y4,AA4:AE4,AG4:AL4,AN4,AR4:AV4,AZ4:BB4)</f>
        <v>47788</v>
      </c>
      <c r="DM4" s="1">
        <f t="shared" ref="DM4:DM67" si="5">S5</f>
        <v>0</v>
      </c>
      <c r="DN4" s="1">
        <f t="shared" ref="DN4:DN67" si="6">AF5+AW5+AM5+AO5+AP5+AQ5</f>
        <v>0</v>
      </c>
      <c r="DO4" s="1">
        <f t="shared" ref="DO4:DO67" si="7">SUM(BE5,BH5,BJ5,BN5,BQ5:BR5,BT5:BV5,BY5:CA5,CC5:CE5,CI5:CJ5)</f>
        <v>110304</v>
      </c>
      <c r="DP4" s="1">
        <f t="shared" ref="DP4:DP67" si="8">SUM(AY4,BC4:BD4,BG4,BM4,BP4,BS4)</f>
        <v>48596</v>
      </c>
      <c r="DQ4" s="1">
        <f>SUM(BX4,CQ4,CR4,CW4,CX4)</f>
        <v>0</v>
      </c>
      <c r="DR4" s="1">
        <f t="shared" ref="DR4:DR67" si="9">CB5+CH5</f>
        <v>3101</v>
      </c>
      <c r="DS4" s="1">
        <f t="shared" ref="DS4:DS67" si="10">BO5</f>
        <v>0</v>
      </c>
      <c r="DT4" s="1">
        <f t="shared" ref="DT4:DT67" si="11">BF5+BI5+BK5+BW5</f>
        <v>5131</v>
      </c>
      <c r="DU4" s="1"/>
      <c r="DV4" s="1"/>
      <c r="DW4" s="1"/>
      <c r="DX4" s="1">
        <f>SUM(DK4:DW4)</f>
        <v>265452</v>
      </c>
      <c r="DZ4" s="1">
        <f>CF4</f>
        <v>0</v>
      </c>
      <c r="EA4" s="1">
        <f t="shared" ref="EA4:EA67" si="12">SUM(F4:K4,N4,CS4:CT4)</f>
        <v>0</v>
      </c>
      <c r="EC4" s="1">
        <f>DX4+EA4+DZ4</f>
        <v>265452</v>
      </c>
      <c r="ED4" s="1">
        <f t="shared" ref="ED4:ED67" si="13">EC4-DE4</f>
        <v>410</v>
      </c>
    </row>
    <row r="5" spans="1:135" x14ac:dyDescent="0.25">
      <c r="A5" s="124">
        <v>32356</v>
      </c>
      <c r="B5" s="125">
        <v>0</v>
      </c>
      <c r="C5" s="125">
        <v>0</v>
      </c>
      <c r="D5" s="125">
        <v>0</v>
      </c>
      <c r="E5" s="125" t="s">
        <v>370</v>
      </c>
      <c r="F5" s="125" t="s">
        <v>370</v>
      </c>
      <c r="G5" s="125">
        <v>0</v>
      </c>
      <c r="H5" s="125">
        <v>0</v>
      </c>
      <c r="I5" s="125">
        <v>0</v>
      </c>
      <c r="J5" s="125">
        <v>0</v>
      </c>
      <c r="K5" s="125"/>
      <c r="L5" s="125">
        <v>32179</v>
      </c>
      <c r="M5" s="125">
        <v>2750</v>
      </c>
      <c r="N5" s="125"/>
      <c r="O5" s="125">
        <v>0</v>
      </c>
      <c r="P5" s="125">
        <v>0</v>
      </c>
      <c r="Q5" s="125">
        <v>1136</v>
      </c>
      <c r="R5" s="125">
        <v>1043</v>
      </c>
      <c r="S5" s="125">
        <v>0</v>
      </c>
      <c r="T5" s="125"/>
      <c r="U5" s="125"/>
      <c r="V5" s="125">
        <v>13424</v>
      </c>
      <c r="W5" s="125">
        <v>0</v>
      </c>
      <c r="X5" s="125">
        <v>933</v>
      </c>
      <c r="Y5" s="125">
        <v>58</v>
      </c>
      <c r="Z5" s="126"/>
      <c r="AA5" s="125">
        <v>0</v>
      </c>
      <c r="AB5" s="125">
        <v>0</v>
      </c>
      <c r="AC5" s="125">
        <v>0</v>
      </c>
      <c r="AD5" s="125">
        <v>24</v>
      </c>
      <c r="AE5" s="125">
        <v>7</v>
      </c>
      <c r="AF5" s="125">
        <v>0</v>
      </c>
      <c r="AG5" s="125"/>
      <c r="AH5" s="125"/>
      <c r="AI5" s="125">
        <v>83</v>
      </c>
      <c r="AJ5" s="125">
        <v>0</v>
      </c>
      <c r="AK5" s="125">
        <v>39721</v>
      </c>
      <c r="AL5" s="125">
        <v>2514</v>
      </c>
      <c r="AM5" s="125">
        <v>0</v>
      </c>
      <c r="AN5" s="125">
        <v>0</v>
      </c>
      <c r="AO5" s="125">
        <v>0</v>
      </c>
      <c r="AP5" s="125">
        <v>0</v>
      </c>
      <c r="AQ5" s="125">
        <v>0</v>
      </c>
      <c r="AR5" s="125">
        <v>0</v>
      </c>
      <c r="AS5" s="125" t="s">
        <v>370</v>
      </c>
      <c r="AT5" s="125">
        <v>0</v>
      </c>
      <c r="AU5" s="125">
        <v>524</v>
      </c>
      <c r="AV5" s="125">
        <v>1569</v>
      </c>
      <c r="AW5" s="125">
        <v>0</v>
      </c>
      <c r="AX5" s="126"/>
      <c r="AY5" s="126"/>
      <c r="AZ5" s="126">
        <v>0</v>
      </c>
      <c r="BA5" s="126"/>
      <c r="BB5" s="125">
        <v>2373</v>
      </c>
      <c r="BC5" s="125"/>
      <c r="BD5" s="125">
        <v>44403</v>
      </c>
      <c r="BE5" s="125">
        <v>93093</v>
      </c>
      <c r="BF5" s="125">
        <v>104</v>
      </c>
      <c r="BG5" s="125">
        <v>0</v>
      </c>
      <c r="BH5" s="125">
        <v>0</v>
      </c>
      <c r="BI5" s="125">
        <v>2132</v>
      </c>
      <c r="BJ5" s="125">
        <v>150</v>
      </c>
      <c r="BK5" s="125">
        <v>2530</v>
      </c>
      <c r="BL5" s="125"/>
      <c r="BM5" s="125">
        <v>635</v>
      </c>
      <c r="BN5" s="125">
        <v>588</v>
      </c>
      <c r="BO5" s="125">
        <v>0</v>
      </c>
      <c r="BP5" s="125">
        <v>3213</v>
      </c>
      <c r="BQ5" s="125">
        <v>7333</v>
      </c>
      <c r="BR5" s="125">
        <v>29</v>
      </c>
      <c r="BS5" s="125">
        <v>0</v>
      </c>
      <c r="BT5" s="125">
        <v>0</v>
      </c>
      <c r="BU5" s="125"/>
      <c r="BV5" s="125">
        <v>17</v>
      </c>
      <c r="BW5" s="125">
        <v>365</v>
      </c>
      <c r="BX5" s="125"/>
      <c r="BY5" s="125">
        <v>4986</v>
      </c>
      <c r="BZ5" s="125">
        <v>0</v>
      </c>
      <c r="CA5" s="125">
        <v>0</v>
      </c>
      <c r="CB5" s="125">
        <v>2618</v>
      </c>
      <c r="CC5" s="125">
        <v>89</v>
      </c>
      <c r="CD5" s="125">
        <v>1971</v>
      </c>
      <c r="CE5" s="125">
        <v>1112</v>
      </c>
      <c r="CF5" s="125">
        <v>0</v>
      </c>
      <c r="CG5" s="125">
        <v>3</v>
      </c>
      <c r="CH5" s="125">
        <v>483</v>
      </c>
      <c r="CI5" s="125">
        <v>778</v>
      </c>
      <c r="CJ5" s="125">
        <v>158</v>
      </c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 t="s">
        <v>370</v>
      </c>
      <c r="CZ5" s="125" t="s">
        <v>370</v>
      </c>
      <c r="DA5" s="125" t="s">
        <v>370</v>
      </c>
      <c r="DB5" s="125">
        <v>0</v>
      </c>
      <c r="DC5" s="125">
        <v>0</v>
      </c>
      <c r="DD5" s="125">
        <v>0</v>
      </c>
      <c r="DE5">
        <f t="shared" si="0"/>
        <v>265128</v>
      </c>
      <c r="DG5" s="1">
        <f t="shared" ref="DG5:DG68" si="14">SUM(AX6:AY6,BC6:CP6,CU6:CX6)</f>
        <v>167059</v>
      </c>
      <c r="DH5" s="1">
        <f t="shared" si="1"/>
        <v>98679</v>
      </c>
      <c r="DI5" s="127">
        <f t="shared" si="2"/>
        <v>265738</v>
      </c>
      <c r="DK5" s="1">
        <f t="shared" si="3"/>
        <v>50648</v>
      </c>
      <c r="DL5" s="1">
        <f t="shared" si="4"/>
        <v>47806</v>
      </c>
      <c r="DM5" s="1">
        <f t="shared" si="5"/>
        <v>0</v>
      </c>
      <c r="DN5" s="1">
        <f t="shared" si="6"/>
        <v>0</v>
      </c>
      <c r="DO5" s="1">
        <f t="shared" si="7"/>
        <v>110469</v>
      </c>
      <c r="DP5" s="1">
        <f t="shared" si="8"/>
        <v>48251</v>
      </c>
      <c r="DQ5" s="1">
        <f t="shared" ref="DQ5:DQ68" si="15">SUM(BX5,CQ5,CR5,CW5,CX5)</f>
        <v>0</v>
      </c>
      <c r="DR5" s="1">
        <f t="shared" si="9"/>
        <v>3618</v>
      </c>
      <c r="DS5" s="1">
        <f t="shared" si="10"/>
        <v>0</v>
      </c>
      <c r="DT5" s="1">
        <f t="shared" si="11"/>
        <v>5032</v>
      </c>
      <c r="DU5" s="1"/>
      <c r="DV5" s="1"/>
      <c r="DW5" s="1"/>
      <c r="DX5" s="1">
        <f t="shared" ref="DX5:DX68" si="16">SUM(DK5:DW5)</f>
        <v>265824</v>
      </c>
      <c r="DZ5" s="1">
        <f t="shared" ref="DZ5:DZ68" si="17">CF5</f>
        <v>0</v>
      </c>
      <c r="EA5" s="1">
        <f t="shared" si="12"/>
        <v>0</v>
      </c>
      <c r="EC5" s="1">
        <f t="shared" ref="EC5:EC68" si="18">DX5+EA5+DZ5</f>
        <v>265824</v>
      </c>
      <c r="ED5" s="1">
        <f t="shared" si="13"/>
        <v>696</v>
      </c>
    </row>
    <row r="6" spans="1:135" x14ac:dyDescent="0.25">
      <c r="A6" s="124">
        <v>32387</v>
      </c>
      <c r="B6" s="125">
        <v>0</v>
      </c>
      <c r="C6" s="125">
        <v>0</v>
      </c>
      <c r="D6" s="125">
        <v>0</v>
      </c>
      <c r="E6" s="125" t="s">
        <v>370</v>
      </c>
      <c r="F6" s="125" t="s">
        <v>370</v>
      </c>
      <c r="G6" s="125">
        <v>0</v>
      </c>
      <c r="H6" s="125">
        <v>0</v>
      </c>
      <c r="I6" s="125">
        <v>0</v>
      </c>
      <c r="J6" s="125">
        <v>0</v>
      </c>
      <c r="K6" s="125"/>
      <c r="L6" s="125">
        <v>32217</v>
      </c>
      <c r="M6" s="125">
        <v>2782</v>
      </c>
      <c r="N6" s="125"/>
      <c r="O6" s="125">
        <v>0</v>
      </c>
      <c r="P6" s="125">
        <v>0</v>
      </c>
      <c r="Q6" s="125">
        <v>1094</v>
      </c>
      <c r="R6" s="125">
        <v>1103</v>
      </c>
      <c r="S6" s="125">
        <v>0</v>
      </c>
      <c r="T6" s="125"/>
      <c r="U6" s="125"/>
      <c r="V6" s="125">
        <v>13452</v>
      </c>
      <c r="W6" s="125">
        <v>0</v>
      </c>
      <c r="X6" s="125">
        <v>928</v>
      </c>
      <c r="Y6" s="125">
        <v>59</v>
      </c>
      <c r="Z6" s="126"/>
      <c r="AA6" s="125">
        <v>0</v>
      </c>
      <c r="AB6" s="125">
        <v>0</v>
      </c>
      <c r="AC6" s="125">
        <v>0</v>
      </c>
      <c r="AD6" s="125">
        <v>23</v>
      </c>
      <c r="AE6" s="125">
        <v>9</v>
      </c>
      <c r="AF6" s="125">
        <v>0</v>
      </c>
      <c r="AG6" s="125"/>
      <c r="AH6" s="125"/>
      <c r="AI6" s="125">
        <v>85</v>
      </c>
      <c r="AJ6" s="125">
        <v>0</v>
      </c>
      <c r="AK6" s="125">
        <v>39856</v>
      </c>
      <c r="AL6" s="125">
        <v>2545</v>
      </c>
      <c r="AM6" s="125">
        <v>0</v>
      </c>
      <c r="AN6" s="125">
        <v>0</v>
      </c>
      <c r="AO6" s="125">
        <v>0</v>
      </c>
      <c r="AP6" s="125">
        <v>0</v>
      </c>
      <c r="AQ6" s="125">
        <v>0</v>
      </c>
      <c r="AR6" s="125">
        <v>0</v>
      </c>
      <c r="AS6" s="125" t="s">
        <v>370</v>
      </c>
      <c r="AT6" s="125">
        <v>0</v>
      </c>
      <c r="AU6" s="125">
        <v>521</v>
      </c>
      <c r="AV6" s="125">
        <v>1604</v>
      </c>
      <c r="AW6" s="125">
        <v>0</v>
      </c>
      <c r="AX6" s="126"/>
      <c r="AY6" s="126"/>
      <c r="AZ6" s="126">
        <v>0</v>
      </c>
      <c r="BA6" s="126"/>
      <c r="BB6" s="125">
        <v>2401</v>
      </c>
      <c r="BC6" s="125"/>
      <c r="BD6" s="125">
        <v>44102</v>
      </c>
      <c r="BE6" s="125">
        <v>93239</v>
      </c>
      <c r="BF6" s="125">
        <v>99</v>
      </c>
      <c r="BG6" s="125">
        <v>0</v>
      </c>
      <c r="BH6" s="125">
        <v>0</v>
      </c>
      <c r="BI6" s="125">
        <v>2101</v>
      </c>
      <c r="BJ6" s="125">
        <v>143</v>
      </c>
      <c r="BK6" s="125">
        <v>2478</v>
      </c>
      <c r="BL6" s="125"/>
      <c r="BM6" s="125">
        <v>628</v>
      </c>
      <c r="BN6" s="125">
        <v>570</v>
      </c>
      <c r="BO6" s="125">
        <v>0</v>
      </c>
      <c r="BP6" s="125">
        <v>3207</v>
      </c>
      <c r="BQ6" s="125">
        <v>7294</v>
      </c>
      <c r="BR6" s="125">
        <v>31</v>
      </c>
      <c r="BS6" s="125">
        <v>0</v>
      </c>
      <c r="BT6" s="125">
        <v>0</v>
      </c>
      <c r="BU6" s="125"/>
      <c r="BV6" s="125">
        <v>19</v>
      </c>
      <c r="BW6" s="125">
        <v>354</v>
      </c>
      <c r="BX6" s="125"/>
      <c r="BY6" s="125">
        <v>4699</v>
      </c>
      <c r="BZ6" s="125">
        <v>0</v>
      </c>
      <c r="CA6" s="125">
        <v>0</v>
      </c>
      <c r="CB6" s="125">
        <v>3186</v>
      </c>
      <c r="CC6" s="125">
        <v>359</v>
      </c>
      <c r="CD6" s="125">
        <v>1993</v>
      </c>
      <c r="CE6" s="125">
        <v>1198</v>
      </c>
      <c r="CF6" s="125">
        <v>0</v>
      </c>
      <c r="CG6" s="125">
        <v>3</v>
      </c>
      <c r="CH6" s="125">
        <v>432</v>
      </c>
      <c r="CI6" s="125">
        <v>747</v>
      </c>
      <c r="CJ6" s="125">
        <v>177</v>
      </c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 t="s">
        <v>370</v>
      </c>
      <c r="CZ6" s="125" t="s">
        <v>370</v>
      </c>
      <c r="DA6" s="125" t="s">
        <v>370</v>
      </c>
      <c r="DB6" s="125">
        <v>0</v>
      </c>
      <c r="DC6" s="125">
        <v>0</v>
      </c>
      <c r="DD6" s="125">
        <v>0</v>
      </c>
      <c r="DE6">
        <f t="shared" si="0"/>
        <v>265738</v>
      </c>
      <c r="DG6" s="1">
        <f t="shared" si="14"/>
        <v>167760</v>
      </c>
      <c r="DH6" s="1">
        <f t="shared" si="1"/>
        <v>98931</v>
      </c>
      <c r="DI6" s="127">
        <f t="shared" si="2"/>
        <v>266691</v>
      </c>
      <c r="DK6" s="1">
        <f t="shared" si="3"/>
        <v>50736</v>
      </c>
      <c r="DL6" s="1">
        <f t="shared" si="4"/>
        <v>48031</v>
      </c>
      <c r="DM6" s="1">
        <f t="shared" si="5"/>
        <v>0</v>
      </c>
      <c r="DN6" s="1">
        <f t="shared" si="6"/>
        <v>0</v>
      </c>
      <c r="DO6" s="1">
        <f t="shared" si="7"/>
        <v>110991</v>
      </c>
      <c r="DP6" s="1">
        <f t="shared" si="8"/>
        <v>47937</v>
      </c>
      <c r="DQ6" s="1">
        <f t="shared" si="15"/>
        <v>0</v>
      </c>
      <c r="DR6" s="1">
        <f t="shared" si="9"/>
        <v>4005</v>
      </c>
      <c r="DS6" s="1">
        <f t="shared" si="10"/>
        <v>0</v>
      </c>
      <c r="DT6" s="1">
        <f t="shared" si="11"/>
        <v>5026</v>
      </c>
      <c r="DU6" s="1"/>
      <c r="DV6" s="1"/>
      <c r="DW6" s="1"/>
      <c r="DX6" s="1">
        <f t="shared" si="16"/>
        <v>266726</v>
      </c>
      <c r="DZ6" s="1">
        <f t="shared" si="17"/>
        <v>0</v>
      </c>
      <c r="EA6" s="1">
        <f t="shared" si="12"/>
        <v>0</v>
      </c>
      <c r="EC6" s="1">
        <f t="shared" si="18"/>
        <v>266726</v>
      </c>
      <c r="ED6" s="1">
        <f t="shared" si="13"/>
        <v>988</v>
      </c>
    </row>
    <row r="7" spans="1:135" x14ac:dyDescent="0.25">
      <c r="A7" s="124">
        <v>32417</v>
      </c>
      <c r="B7" s="125">
        <v>0</v>
      </c>
      <c r="C7" s="125">
        <v>0</v>
      </c>
      <c r="D7" s="125">
        <v>0</v>
      </c>
      <c r="E7" s="125" t="s">
        <v>370</v>
      </c>
      <c r="F7" s="125" t="s">
        <v>370</v>
      </c>
      <c r="G7" s="125">
        <v>0</v>
      </c>
      <c r="H7" s="125">
        <v>0</v>
      </c>
      <c r="I7" s="125">
        <v>0</v>
      </c>
      <c r="J7" s="125">
        <v>0</v>
      </c>
      <c r="K7" s="125"/>
      <c r="L7" s="125">
        <v>32247</v>
      </c>
      <c r="M7" s="125">
        <v>2792</v>
      </c>
      <c r="N7" s="125"/>
      <c r="O7" s="125">
        <v>0</v>
      </c>
      <c r="P7" s="125">
        <v>0</v>
      </c>
      <c r="Q7" s="125">
        <v>1057</v>
      </c>
      <c r="R7" s="125">
        <v>1138</v>
      </c>
      <c r="S7" s="125">
        <v>0</v>
      </c>
      <c r="T7" s="125"/>
      <c r="U7" s="125"/>
      <c r="V7" s="125">
        <v>13502</v>
      </c>
      <c r="W7" s="125">
        <v>0</v>
      </c>
      <c r="X7" s="125">
        <v>924</v>
      </c>
      <c r="Y7" s="125">
        <v>58</v>
      </c>
      <c r="Z7" s="126"/>
      <c r="AA7" s="125">
        <v>0</v>
      </c>
      <c r="AB7" s="125">
        <v>0</v>
      </c>
      <c r="AC7" s="125">
        <v>0</v>
      </c>
      <c r="AD7" s="125">
        <v>23</v>
      </c>
      <c r="AE7" s="125">
        <v>11</v>
      </c>
      <c r="AF7" s="125">
        <v>0</v>
      </c>
      <c r="AG7" s="125"/>
      <c r="AH7" s="125"/>
      <c r="AI7" s="125">
        <v>85</v>
      </c>
      <c r="AJ7" s="125">
        <v>0</v>
      </c>
      <c r="AK7" s="125">
        <v>40032</v>
      </c>
      <c r="AL7" s="125">
        <v>2550</v>
      </c>
      <c r="AM7" s="125">
        <v>0</v>
      </c>
      <c r="AN7" s="125">
        <v>0</v>
      </c>
      <c r="AO7" s="125">
        <v>0</v>
      </c>
      <c r="AP7" s="125">
        <v>0</v>
      </c>
      <c r="AQ7" s="125">
        <v>0</v>
      </c>
      <c r="AR7" s="125">
        <v>0</v>
      </c>
      <c r="AS7" s="125" t="s">
        <v>370</v>
      </c>
      <c r="AT7" s="125">
        <v>0</v>
      </c>
      <c r="AU7" s="125">
        <v>500</v>
      </c>
      <c r="AV7" s="125">
        <v>1622</v>
      </c>
      <c r="AW7" s="125">
        <v>0</v>
      </c>
      <c r="AX7" s="126"/>
      <c r="AY7" s="126"/>
      <c r="AZ7" s="126">
        <v>0</v>
      </c>
      <c r="BA7" s="126"/>
      <c r="BB7" s="125">
        <v>2390</v>
      </c>
      <c r="BC7" s="125"/>
      <c r="BD7" s="125">
        <v>44036</v>
      </c>
      <c r="BE7" s="125">
        <v>93273</v>
      </c>
      <c r="BF7" s="125">
        <v>100</v>
      </c>
      <c r="BG7" s="125">
        <v>0</v>
      </c>
      <c r="BH7" s="125">
        <v>0</v>
      </c>
      <c r="BI7" s="125">
        <v>2133</v>
      </c>
      <c r="BJ7" s="125">
        <v>152</v>
      </c>
      <c r="BK7" s="125">
        <v>2434</v>
      </c>
      <c r="BL7" s="125"/>
      <c r="BM7" s="125">
        <v>441</v>
      </c>
      <c r="BN7" s="125">
        <v>440</v>
      </c>
      <c r="BO7" s="125">
        <v>0</v>
      </c>
      <c r="BP7" s="125">
        <v>3258</v>
      </c>
      <c r="BQ7" s="125">
        <v>7541</v>
      </c>
      <c r="BR7" s="125">
        <v>32</v>
      </c>
      <c r="BS7" s="125">
        <v>0</v>
      </c>
      <c r="BT7" s="125">
        <v>0</v>
      </c>
      <c r="BU7" s="125"/>
      <c r="BV7" s="125">
        <v>17</v>
      </c>
      <c r="BW7" s="125">
        <v>359</v>
      </c>
      <c r="BX7" s="125"/>
      <c r="BY7" s="125">
        <v>4660</v>
      </c>
      <c r="BZ7" s="125">
        <v>0</v>
      </c>
      <c r="CA7" s="125">
        <v>0</v>
      </c>
      <c r="CB7" s="125">
        <v>3647</v>
      </c>
      <c r="CC7" s="125">
        <v>690</v>
      </c>
      <c r="CD7" s="125">
        <v>1977</v>
      </c>
      <c r="CE7" s="125">
        <v>1296</v>
      </c>
      <c r="CF7" s="125">
        <v>0</v>
      </c>
      <c r="CG7" s="125">
        <v>3</v>
      </c>
      <c r="CH7" s="125">
        <v>358</v>
      </c>
      <c r="CI7" s="125">
        <v>747</v>
      </c>
      <c r="CJ7" s="125">
        <v>166</v>
      </c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 t="s">
        <v>370</v>
      </c>
      <c r="CZ7" s="125" t="s">
        <v>370</v>
      </c>
      <c r="DA7" s="125" t="s">
        <v>370</v>
      </c>
      <c r="DB7" s="125">
        <v>0</v>
      </c>
      <c r="DC7" s="125">
        <v>0</v>
      </c>
      <c r="DD7" s="125">
        <v>0</v>
      </c>
      <c r="DE7">
        <f t="shared" si="0"/>
        <v>266691</v>
      </c>
      <c r="DG7" s="1">
        <f t="shared" si="14"/>
        <v>168150</v>
      </c>
      <c r="DH7" s="1">
        <f t="shared" si="1"/>
        <v>99167</v>
      </c>
      <c r="DI7" s="127">
        <f t="shared" si="2"/>
        <v>267317</v>
      </c>
      <c r="DK7" s="1">
        <f t="shared" si="3"/>
        <v>50750</v>
      </c>
      <c r="DL7" s="1">
        <f t="shared" si="4"/>
        <v>48195</v>
      </c>
      <c r="DM7" s="1">
        <f t="shared" si="5"/>
        <v>0</v>
      </c>
      <c r="DN7" s="1">
        <f t="shared" si="6"/>
        <v>0</v>
      </c>
      <c r="DO7" s="1">
        <f t="shared" si="7"/>
        <v>111436</v>
      </c>
      <c r="DP7" s="1">
        <f t="shared" si="8"/>
        <v>47735</v>
      </c>
      <c r="DQ7" s="1">
        <f t="shared" si="15"/>
        <v>0</v>
      </c>
      <c r="DR7" s="1">
        <f t="shared" si="9"/>
        <v>4106</v>
      </c>
      <c r="DS7" s="1">
        <f t="shared" si="10"/>
        <v>0</v>
      </c>
      <c r="DT7" s="1">
        <f t="shared" si="11"/>
        <v>5062</v>
      </c>
      <c r="DU7" s="1"/>
      <c r="DV7" s="1"/>
      <c r="DW7" s="1"/>
      <c r="DX7" s="1">
        <f t="shared" si="16"/>
        <v>267284</v>
      </c>
      <c r="DZ7" s="1">
        <f t="shared" si="17"/>
        <v>0</v>
      </c>
      <c r="EA7" s="1">
        <f t="shared" si="12"/>
        <v>0</v>
      </c>
      <c r="EC7" s="1">
        <f t="shared" si="18"/>
        <v>267284</v>
      </c>
      <c r="ED7" s="1">
        <f t="shared" si="13"/>
        <v>593</v>
      </c>
      <c r="EE7" s="1"/>
    </row>
    <row r="8" spans="1:135" x14ac:dyDescent="0.25">
      <c r="A8" s="124">
        <v>32448</v>
      </c>
      <c r="B8" s="125">
        <v>0</v>
      </c>
      <c r="C8" s="125">
        <v>0</v>
      </c>
      <c r="D8" s="125">
        <v>0</v>
      </c>
      <c r="E8" s="125" t="s">
        <v>370</v>
      </c>
      <c r="F8" s="125" t="s">
        <v>370</v>
      </c>
      <c r="G8" s="125">
        <v>0</v>
      </c>
      <c r="H8" s="125">
        <v>0</v>
      </c>
      <c r="I8" s="125">
        <v>0</v>
      </c>
      <c r="J8" s="125">
        <v>0</v>
      </c>
      <c r="K8" s="125"/>
      <c r="L8" s="125">
        <v>32247</v>
      </c>
      <c r="M8" s="125">
        <v>2804</v>
      </c>
      <c r="N8" s="125"/>
      <c r="O8" s="125">
        <v>0</v>
      </c>
      <c r="P8" s="125">
        <v>0</v>
      </c>
      <c r="Q8" s="125">
        <v>1052</v>
      </c>
      <c r="R8" s="125">
        <v>1158</v>
      </c>
      <c r="S8" s="125">
        <v>0</v>
      </c>
      <c r="T8" s="125"/>
      <c r="U8" s="125"/>
      <c r="V8" s="125">
        <v>13489</v>
      </c>
      <c r="W8" s="125">
        <v>0</v>
      </c>
      <c r="X8" s="125">
        <v>932</v>
      </c>
      <c r="Y8" s="125">
        <v>54</v>
      </c>
      <c r="Z8" s="126"/>
      <c r="AA8" s="125">
        <v>0</v>
      </c>
      <c r="AB8" s="125">
        <v>0</v>
      </c>
      <c r="AC8" s="125">
        <v>0</v>
      </c>
      <c r="AD8" s="125">
        <v>21</v>
      </c>
      <c r="AE8" s="125">
        <v>14</v>
      </c>
      <c r="AF8" s="125">
        <v>0</v>
      </c>
      <c r="AG8" s="125"/>
      <c r="AH8" s="125"/>
      <c r="AI8" s="125">
        <v>79</v>
      </c>
      <c r="AJ8" s="125">
        <v>0</v>
      </c>
      <c r="AK8" s="125">
        <v>40183</v>
      </c>
      <c r="AL8" s="125">
        <v>2573</v>
      </c>
      <c r="AM8" s="125">
        <v>0</v>
      </c>
      <c r="AN8" s="125">
        <v>0</v>
      </c>
      <c r="AO8" s="125">
        <v>0</v>
      </c>
      <c r="AP8" s="125">
        <v>0</v>
      </c>
      <c r="AQ8" s="125">
        <v>0</v>
      </c>
      <c r="AR8" s="125">
        <v>0</v>
      </c>
      <c r="AS8" s="125" t="s">
        <v>370</v>
      </c>
      <c r="AT8" s="125">
        <v>0</v>
      </c>
      <c r="AU8" s="125">
        <v>510</v>
      </c>
      <c r="AV8" s="125">
        <v>1630</v>
      </c>
      <c r="AW8" s="125">
        <v>0</v>
      </c>
      <c r="AX8" s="126"/>
      <c r="AY8" s="126"/>
      <c r="AZ8" s="126">
        <v>0</v>
      </c>
      <c r="BA8" s="126"/>
      <c r="BB8" s="125">
        <v>2421</v>
      </c>
      <c r="BC8" s="125"/>
      <c r="BD8" s="125">
        <v>43924</v>
      </c>
      <c r="BE8" s="125">
        <v>93440</v>
      </c>
      <c r="BF8" s="125">
        <v>104</v>
      </c>
      <c r="BG8" s="125">
        <v>0</v>
      </c>
      <c r="BH8" s="125">
        <v>0</v>
      </c>
      <c r="BI8" s="125">
        <v>2140</v>
      </c>
      <c r="BJ8" s="125">
        <v>150</v>
      </c>
      <c r="BK8" s="125">
        <v>2452</v>
      </c>
      <c r="BL8" s="125"/>
      <c r="BM8" s="125">
        <v>388</v>
      </c>
      <c r="BN8" s="125">
        <v>469</v>
      </c>
      <c r="BO8" s="125">
        <v>0</v>
      </c>
      <c r="BP8" s="125">
        <v>3232</v>
      </c>
      <c r="BQ8" s="125">
        <v>7564</v>
      </c>
      <c r="BR8" s="125">
        <v>31</v>
      </c>
      <c r="BS8" s="125">
        <v>0</v>
      </c>
      <c r="BT8" s="125">
        <v>0</v>
      </c>
      <c r="BU8" s="125"/>
      <c r="BV8" s="125">
        <v>15</v>
      </c>
      <c r="BW8" s="125">
        <v>366</v>
      </c>
      <c r="BX8" s="125"/>
      <c r="BY8" s="125">
        <v>4679</v>
      </c>
      <c r="BZ8" s="125">
        <v>0</v>
      </c>
      <c r="CA8" s="125">
        <v>0</v>
      </c>
      <c r="CB8" s="125">
        <v>3806</v>
      </c>
      <c r="CC8" s="125">
        <v>1001</v>
      </c>
      <c r="CD8" s="125">
        <v>1927</v>
      </c>
      <c r="CE8" s="125">
        <v>1268</v>
      </c>
      <c r="CF8" s="125">
        <v>0</v>
      </c>
      <c r="CG8" s="125">
        <v>2</v>
      </c>
      <c r="CH8" s="125">
        <v>300</v>
      </c>
      <c r="CI8" s="125">
        <v>741</v>
      </c>
      <c r="CJ8" s="125">
        <v>151</v>
      </c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 t="s">
        <v>370</v>
      </c>
      <c r="CZ8" s="125" t="s">
        <v>370</v>
      </c>
      <c r="DA8" s="125" t="s">
        <v>370</v>
      </c>
      <c r="DB8" s="125">
        <v>0</v>
      </c>
      <c r="DC8" s="125">
        <v>0</v>
      </c>
      <c r="DD8" s="125">
        <v>0</v>
      </c>
      <c r="DE8">
        <f t="shared" si="0"/>
        <v>267317</v>
      </c>
      <c r="DG8" s="1">
        <f t="shared" si="14"/>
        <v>169367</v>
      </c>
      <c r="DH8" s="1">
        <f t="shared" si="1"/>
        <v>99537</v>
      </c>
      <c r="DI8" s="127">
        <f t="shared" si="2"/>
        <v>268904</v>
      </c>
      <c r="DK8" s="1">
        <f t="shared" si="3"/>
        <v>50955</v>
      </c>
      <c r="DL8" s="1">
        <f t="shared" si="4"/>
        <v>48417</v>
      </c>
      <c r="DM8" s="1">
        <f t="shared" si="5"/>
        <v>0</v>
      </c>
      <c r="DN8" s="1">
        <f t="shared" si="6"/>
        <v>0</v>
      </c>
      <c r="DO8" s="1">
        <f t="shared" si="7"/>
        <v>112240</v>
      </c>
      <c r="DP8" s="1">
        <f t="shared" si="8"/>
        <v>47544</v>
      </c>
      <c r="DQ8" s="1">
        <f t="shared" si="15"/>
        <v>0</v>
      </c>
      <c r="DR8" s="1">
        <f t="shared" si="9"/>
        <v>4384</v>
      </c>
      <c r="DS8" s="1">
        <f t="shared" si="10"/>
        <v>0</v>
      </c>
      <c r="DT8" s="1">
        <f t="shared" si="11"/>
        <v>5108</v>
      </c>
      <c r="DU8" s="1"/>
      <c r="DV8" s="1"/>
      <c r="DW8" s="1"/>
      <c r="DX8" s="1">
        <f t="shared" si="16"/>
        <v>268648</v>
      </c>
      <c r="DZ8" s="1">
        <f t="shared" si="17"/>
        <v>0</v>
      </c>
      <c r="EA8" s="1">
        <f t="shared" si="12"/>
        <v>0</v>
      </c>
      <c r="EC8" s="1">
        <f t="shared" si="18"/>
        <v>268648</v>
      </c>
      <c r="ED8" s="1">
        <f t="shared" si="13"/>
        <v>1331</v>
      </c>
      <c r="EE8" s="1"/>
    </row>
    <row r="9" spans="1:135" x14ac:dyDescent="0.25">
      <c r="A9" s="124">
        <v>32478</v>
      </c>
      <c r="B9" s="125">
        <v>0</v>
      </c>
      <c r="C9" s="125">
        <v>0</v>
      </c>
      <c r="D9" s="125">
        <v>0</v>
      </c>
      <c r="E9" s="125" t="s">
        <v>370</v>
      </c>
      <c r="F9" s="125" t="s">
        <v>370</v>
      </c>
      <c r="G9" s="125">
        <v>0</v>
      </c>
      <c r="H9" s="125">
        <v>0</v>
      </c>
      <c r="I9" s="125">
        <v>0</v>
      </c>
      <c r="J9" s="125">
        <v>0</v>
      </c>
      <c r="K9" s="125"/>
      <c r="L9" s="125">
        <v>32299</v>
      </c>
      <c r="M9" s="125">
        <v>2819</v>
      </c>
      <c r="N9" s="125"/>
      <c r="O9" s="125">
        <v>0</v>
      </c>
      <c r="P9" s="125">
        <v>0</v>
      </c>
      <c r="Q9" s="125">
        <v>1061</v>
      </c>
      <c r="R9" s="125">
        <v>1183</v>
      </c>
      <c r="S9" s="125">
        <v>0</v>
      </c>
      <c r="T9" s="125"/>
      <c r="U9" s="125"/>
      <c r="V9" s="125">
        <v>13593</v>
      </c>
      <c r="W9" s="125">
        <v>0</v>
      </c>
      <c r="X9" s="125">
        <v>928</v>
      </c>
      <c r="Y9" s="125">
        <v>57</v>
      </c>
      <c r="Z9" s="126"/>
      <c r="AA9" s="125">
        <v>0</v>
      </c>
      <c r="AB9" s="125">
        <v>0</v>
      </c>
      <c r="AC9" s="125">
        <v>0</v>
      </c>
      <c r="AD9" s="125">
        <v>20</v>
      </c>
      <c r="AE9" s="125">
        <v>13</v>
      </c>
      <c r="AF9" s="125">
        <v>0</v>
      </c>
      <c r="AG9" s="125"/>
      <c r="AH9" s="125"/>
      <c r="AI9" s="125">
        <v>80</v>
      </c>
      <c r="AJ9" s="125">
        <v>0</v>
      </c>
      <c r="AK9" s="125">
        <v>40313</v>
      </c>
      <c r="AL9" s="125">
        <v>2584</v>
      </c>
      <c r="AM9" s="125">
        <v>0</v>
      </c>
      <c r="AN9" s="125">
        <v>0</v>
      </c>
      <c r="AO9" s="125">
        <v>0</v>
      </c>
      <c r="AP9" s="125">
        <v>0</v>
      </c>
      <c r="AQ9" s="125">
        <v>0</v>
      </c>
      <c r="AR9" s="125">
        <v>0</v>
      </c>
      <c r="AS9" s="125" t="s">
        <v>370</v>
      </c>
      <c r="AT9" s="125">
        <v>0</v>
      </c>
      <c r="AU9" s="125">
        <v>520</v>
      </c>
      <c r="AV9" s="125">
        <v>1638</v>
      </c>
      <c r="AW9" s="125">
        <v>0</v>
      </c>
      <c r="AX9" s="126"/>
      <c r="AY9" s="126"/>
      <c r="AZ9" s="126">
        <v>0</v>
      </c>
      <c r="BA9" s="126"/>
      <c r="BB9" s="125">
        <v>2429</v>
      </c>
      <c r="BC9" s="125"/>
      <c r="BD9" s="125">
        <v>43984</v>
      </c>
      <c r="BE9" s="125">
        <v>93814</v>
      </c>
      <c r="BF9" s="125">
        <v>106</v>
      </c>
      <c r="BG9" s="125">
        <v>0</v>
      </c>
      <c r="BH9" s="125">
        <v>0</v>
      </c>
      <c r="BI9" s="125">
        <v>2188</v>
      </c>
      <c r="BJ9" s="125">
        <v>171</v>
      </c>
      <c r="BK9" s="125">
        <v>2450</v>
      </c>
      <c r="BL9" s="125"/>
      <c r="BM9" s="125">
        <v>439</v>
      </c>
      <c r="BN9" s="125">
        <v>475</v>
      </c>
      <c r="BO9" s="125">
        <v>0</v>
      </c>
      <c r="BP9" s="125">
        <v>3210</v>
      </c>
      <c r="BQ9" s="125">
        <v>7603</v>
      </c>
      <c r="BR9" s="125">
        <v>30</v>
      </c>
      <c r="BS9" s="125">
        <v>0</v>
      </c>
      <c r="BT9" s="125">
        <v>0</v>
      </c>
      <c r="BU9" s="125"/>
      <c r="BV9" s="125">
        <v>14</v>
      </c>
      <c r="BW9" s="125">
        <v>364</v>
      </c>
      <c r="BX9" s="125"/>
      <c r="BY9" s="125">
        <v>4642</v>
      </c>
      <c r="BZ9" s="125">
        <v>0</v>
      </c>
      <c r="CA9" s="125">
        <v>0</v>
      </c>
      <c r="CB9" s="125">
        <v>4101</v>
      </c>
      <c r="CC9" s="125">
        <v>1289</v>
      </c>
      <c r="CD9" s="125">
        <v>1965</v>
      </c>
      <c r="CE9" s="125">
        <v>1359</v>
      </c>
      <c r="CF9" s="125">
        <v>0</v>
      </c>
      <c r="CG9" s="125">
        <v>2</v>
      </c>
      <c r="CH9" s="125">
        <v>283</v>
      </c>
      <c r="CI9" s="125">
        <v>734</v>
      </c>
      <c r="CJ9" s="125">
        <v>144</v>
      </c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 t="s">
        <v>370</v>
      </c>
      <c r="CZ9" s="125" t="s">
        <v>370</v>
      </c>
      <c r="DA9" s="125" t="s">
        <v>370</v>
      </c>
      <c r="DB9" s="125">
        <v>0</v>
      </c>
      <c r="DC9" s="125">
        <v>0</v>
      </c>
      <c r="DD9" s="125">
        <v>0</v>
      </c>
      <c r="DE9">
        <f t="shared" si="0"/>
        <v>268904</v>
      </c>
      <c r="DG9" s="1">
        <f t="shared" si="14"/>
        <v>170734</v>
      </c>
      <c r="DH9" s="1">
        <f t="shared" si="1"/>
        <v>99814</v>
      </c>
      <c r="DI9" s="127">
        <f t="shared" si="2"/>
        <v>270548</v>
      </c>
      <c r="DK9" s="1">
        <f t="shared" si="3"/>
        <v>51027</v>
      </c>
      <c r="DL9" s="1">
        <f t="shared" si="4"/>
        <v>48582</v>
      </c>
      <c r="DM9" s="1">
        <f t="shared" si="5"/>
        <v>0</v>
      </c>
      <c r="DN9" s="1">
        <f t="shared" si="6"/>
        <v>0</v>
      </c>
      <c r="DO9" s="1">
        <f t="shared" si="7"/>
        <v>113095</v>
      </c>
      <c r="DP9" s="1">
        <f t="shared" si="8"/>
        <v>47633</v>
      </c>
      <c r="DQ9" s="1">
        <f t="shared" si="15"/>
        <v>0</v>
      </c>
      <c r="DR9" s="1">
        <f t="shared" si="9"/>
        <v>4687</v>
      </c>
      <c r="DS9" s="1">
        <f t="shared" si="10"/>
        <v>0</v>
      </c>
      <c r="DT9" s="1">
        <f t="shared" si="11"/>
        <v>5181</v>
      </c>
      <c r="DU9" s="1"/>
      <c r="DV9" s="1"/>
      <c r="DW9" s="1"/>
      <c r="DX9" s="1">
        <f t="shared" si="16"/>
        <v>270205</v>
      </c>
      <c r="DZ9" s="1">
        <f t="shared" si="17"/>
        <v>0</v>
      </c>
      <c r="EA9" s="1">
        <f t="shared" si="12"/>
        <v>0</v>
      </c>
      <c r="EC9" s="1">
        <f t="shared" si="18"/>
        <v>270205</v>
      </c>
      <c r="ED9" s="1">
        <f t="shared" si="13"/>
        <v>1301</v>
      </c>
      <c r="EE9" s="1"/>
    </row>
    <row r="10" spans="1:135" x14ac:dyDescent="0.25">
      <c r="A10" s="124">
        <v>32509</v>
      </c>
      <c r="B10" s="125">
        <v>0</v>
      </c>
      <c r="C10" s="125">
        <v>0</v>
      </c>
      <c r="D10" s="125">
        <v>0</v>
      </c>
      <c r="E10" s="125" t="s">
        <v>370</v>
      </c>
      <c r="F10" s="125" t="s">
        <v>370</v>
      </c>
      <c r="G10" s="125">
        <v>0</v>
      </c>
      <c r="H10" s="125">
        <v>0</v>
      </c>
      <c r="I10" s="125">
        <v>0</v>
      </c>
      <c r="J10" s="125">
        <v>0</v>
      </c>
      <c r="K10" s="125"/>
      <c r="L10" s="125">
        <v>32323</v>
      </c>
      <c r="M10" s="125">
        <v>2835</v>
      </c>
      <c r="N10" s="125"/>
      <c r="O10" s="125">
        <v>0</v>
      </c>
      <c r="P10" s="125">
        <v>0</v>
      </c>
      <c r="Q10" s="125">
        <v>1044</v>
      </c>
      <c r="R10" s="125">
        <v>1160</v>
      </c>
      <c r="S10" s="125">
        <v>0</v>
      </c>
      <c r="T10" s="125"/>
      <c r="U10" s="125"/>
      <c r="V10" s="125">
        <v>13665</v>
      </c>
      <c r="W10" s="125">
        <v>0</v>
      </c>
      <c r="X10" s="125">
        <v>939</v>
      </c>
      <c r="Y10" s="125">
        <v>56</v>
      </c>
      <c r="Z10" s="126"/>
      <c r="AA10" s="125">
        <v>0</v>
      </c>
      <c r="AB10" s="125">
        <v>0</v>
      </c>
      <c r="AC10" s="125">
        <v>0</v>
      </c>
      <c r="AD10" s="125">
        <v>22</v>
      </c>
      <c r="AE10" s="125">
        <v>12</v>
      </c>
      <c r="AF10" s="125">
        <v>0</v>
      </c>
      <c r="AG10" s="125"/>
      <c r="AH10" s="125"/>
      <c r="AI10" s="125">
        <v>83</v>
      </c>
      <c r="AJ10" s="125">
        <v>0</v>
      </c>
      <c r="AK10" s="125">
        <v>40465</v>
      </c>
      <c r="AL10" s="125">
        <v>2598</v>
      </c>
      <c r="AM10" s="125">
        <v>0</v>
      </c>
      <c r="AN10" s="125">
        <v>0</v>
      </c>
      <c r="AO10" s="125">
        <v>0</v>
      </c>
      <c r="AP10" s="125">
        <v>0</v>
      </c>
      <c r="AQ10" s="125">
        <v>0</v>
      </c>
      <c r="AR10" s="125">
        <v>0</v>
      </c>
      <c r="AS10" s="125" t="s">
        <v>370</v>
      </c>
      <c r="AT10" s="125">
        <v>0</v>
      </c>
      <c r="AU10" s="125">
        <v>531</v>
      </c>
      <c r="AV10" s="125">
        <v>1641</v>
      </c>
      <c r="AW10" s="125">
        <v>0</v>
      </c>
      <c r="AX10" s="126"/>
      <c r="AY10" s="126"/>
      <c r="AZ10" s="126">
        <v>0</v>
      </c>
      <c r="BA10" s="126"/>
      <c r="BB10" s="125">
        <v>2440</v>
      </c>
      <c r="BC10" s="125"/>
      <c r="BD10" s="125">
        <v>44185</v>
      </c>
      <c r="BE10" s="125">
        <v>94460</v>
      </c>
      <c r="BF10" s="125">
        <v>112</v>
      </c>
      <c r="BG10" s="125">
        <v>0</v>
      </c>
      <c r="BH10" s="125">
        <v>0</v>
      </c>
      <c r="BI10" s="125">
        <v>2217</v>
      </c>
      <c r="BJ10" s="125">
        <v>183</v>
      </c>
      <c r="BK10" s="125">
        <v>2487</v>
      </c>
      <c r="BL10" s="125"/>
      <c r="BM10" s="125">
        <v>481</v>
      </c>
      <c r="BN10" s="125">
        <v>512</v>
      </c>
      <c r="BO10" s="125">
        <v>0</v>
      </c>
      <c r="BP10" s="125">
        <v>3103</v>
      </c>
      <c r="BQ10" s="125">
        <v>7388</v>
      </c>
      <c r="BR10" s="125">
        <v>30</v>
      </c>
      <c r="BS10" s="125">
        <v>0</v>
      </c>
      <c r="BT10" s="125">
        <v>0</v>
      </c>
      <c r="BU10" s="125"/>
      <c r="BV10" s="125">
        <v>11</v>
      </c>
      <c r="BW10" s="125">
        <v>365</v>
      </c>
      <c r="BX10" s="125"/>
      <c r="BY10" s="125">
        <v>4653</v>
      </c>
      <c r="BZ10" s="125">
        <v>0</v>
      </c>
      <c r="CA10" s="125">
        <v>0</v>
      </c>
      <c r="CB10" s="125">
        <v>4441</v>
      </c>
      <c r="CC10" s="125">
        <v>1568</v>
      </c>
      <c r="CD10" s="125">
        <v>2022</v>
      </c>
      <c r="CE10" s="125">
        <v>1364</v>
      </c>
      <c r="CF10" s="125">
        <v>0</v>
      </c>
      <c r="CG10" s="125">
        <v>2</v>
      </c>
      <c r="CH10" s="125">
        <v>246</v>
      </c>
      <c r="CI10" s="125">
        <v>747</v>
      </c>
      <c r="CJ10" s="125">
        <v>157</v>
      </c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 t="s">
        <v>370</v>
      </c>
      <c r="CZ10" s="125" t="s">
        <v>370</v>
      </c>
      <c r="DA10" s="125" t="s">
        <v>370</v>
      </c>
      <c r="DB10" s="125">
        <v>0</v>
      </c>
      <c r="DC10" s="125">
        <v>0</v>
      </c>
      <c r="DD10" s="125">
        <v>0</v>
      </c>
      <c r="DE10">
        <f t="shared" si="0"/>
        <v>270548</v>
      </c>
      <c r="DG10" s="1">
        <f t="shared" si="14"/>
        <v>171483</v>
      </c>
      <c r="DH10" s="1">
        <f t="shared" si="1"/>
        <v>99816</v>
      </c>
      <c r="DI10" s="127">
        <f t="shared" si="2"/>
        <v>271299</v>
      </c>
      <c r="DK10" s="1">
        <f t="shared" si="3"/>
        <v>50914</v>
      </c>
      <c r="DL10" s="1">
        <f t="shared" si="4"/>
        <v>48787</v>
      </c>
      <c r="DM10" s="1">
        <f t="shared" si="5"/>
        <v>0</v>
      </c>
      <c r="DN10" s="1">
        <f t="shared" si="6"/>
        <v>0</v>
      </c>
      <c r="DO10" s="1">
        <f t="shared" si="7"/>
        <v>113632</v>
      </c>
      <c r="DP10" s="1">
        <f t="shared" si="8"/>
        <v>47769</v>
      </c>
      <c r="DQ10" s="1">
        <f t="shared" si="15"/>
        <v>0</v>
      </c>
      <c r="DR10" s="1">
        <f t="shared" si="9"/>
        <v>4945</v>
      </c>
      <c r="DS10" s="1">
        <f t="shared" si="10"/>
        <v>0</v>
      </c>
      <c r="DT10" s="1">
        <f t="shared" si="11"/>
        <v>5218</v>
      </c>
      <c r="DU10" s="1"/>
      <c r="DV10" s="1"/>
      <c r="DW10" s="1"/>
      <c r="DX10" s="1">
        <f t="shared" si="16"/>
        <v>271265</v>
      </c>
      <c r="DZ10" s="1">
        <f t="shared" si="17"/>
        <v>0</v>
      </c>
      <c r="EA10" s="1">
        <f t="shared" si="12"/>
        <v>0</v>
      </c>
      <c r="EC10" s="1">
        <f t="shared" si="18"/>
        <v>271265</v>
      </c>
      <c r="ED10" s="1">
        <f t="shared" si="13"/>
        <v>717</v>
      </c>
      <c r="EE10" s="1"/>
    </row>
    <row r="11" spans="1:135" x14ac:dyDescent="0.25">
      <c r="A11" s="124">
        <v>32540</v>
      </c>
      <c r="B11" s="125">
        <v>0</v>
      </c>
      <c r="C11" s="125">
        <v>0</v>
      </c>
      <c r="D11" s="125">
        <v>0</v>
      </c>
      <c r="E11" s="125" t="s">
        <v>370</v>
      </c>
      <c r="F11" s="125" t="s">
        <v>370</v>
      </c>
      <c r="G11" s="125">
        <v>0</v>
      </c>
      <c r="H11" s="125">
        <v>0</v>
      </c>
      <c r="I11" s="125">
        <v>0</v>
      </c>
      <c r="J11" s="125">
        <v>0</v>
      </c>
      <c r="K11" s="125"/>
      <c r="L11" s="125">
        <v>32247</v>
      </c>
      <c r="M11" s="125">
        <v>2820</v>
      </c>
      <c r="N11" s="125"/>
      <c r="O11" s="125">
        <v>0</v>
      </c>
      <c r="P11" s="125">
        <v>0</v>
      </c>
      <c r="Q11" s="125">
        <v>1055</v>
      </c>
      <c r="R11" s="125">
        <v>1154</v>
      </c>
      <c r="S11" s="125">
        <v>0</v>
      </c>
      <c r="T11" s="125"/>
      <c r="U11" s="125"/>
      <c r="V11" s="125">
        <v>13638</v>
      </c>
      <c r="W11" s="125">
        <v>0</v>
      </c>
      <c r="X11" s="125">
        <v>932</v>
      </c>
      <c r="Y11" s="125">
        <v>54</v>
      </c>
      <c r="Z11" s="126"/>
      <c r="AA11" s="125">
        <v>0</v>
      </c>
      <c r="AB11" s="125">
        <v>0</v>
      </c>
      <c r="AC11" s="125">
        <v>0</v>
      </c>
      <c r="AD11" s="125">
        <v>22</v>
      </c>
      <c r="AE11" s="125">
        <v>12</v>
      </c>
      <c r="AF11" s="125">
        <v>0</v>
      </c>
      <c r="AG11" s="125"/>
      <c r="AH11" s="125"/>
      <c r="AI11" s="125">
        <v>78</v>
      </c>
      <c r="AJ11" s="125">
        <v>0</v>
      </c>
      <c r="AK11" s="125">
        <v>40605</v>
      </c>
      <c r="AL11" s="125">
        <v>2592</v>
      </c>
      <c r="AM11" s="125">
        <v>0</v>
      </c>
      <c r="AN11" s="125">
        <v>0</v>
      </c>
      <c r="AO11" s="125">
        <v>0</v>
      </c>
      <c r="AP11" s="125">
        <v>0</v>
      </c>
      <c r="AQ11" s="125">
        <v>0</v>
      </c>
      <c r="AR11" s="125">
        <v>0</v>
      </c>
      <c r="AS11" s="125" t="s">
        <v>370</v>
      </c>
      <c r="AT11" s="125">
        <v>0</v>
      </c>
      <c r="AU11" s="125">
        <v>542</v>
      </c>
      <c r="AV11" s="125">
        <v>1642</v>
      </c>
      <c r="AW11" s="125">
        <v>0</v>
      </c>
      <c r="AX11" s="126"/>
      <c r="AY11" s="126"/>
      <c r="AZ11" s="126">
        <v>0</v>
      </c>
      <c r="BA11" s="126"/>
      <c r="BB11" s="125">
        <v>2423</v>
      </c>
      <c r="BC11" s="125"/>
      <c r="BD11" s="125">
        <v>44362</v>
      </c>
      <c r="BE11" s="125">
        <v>94875</v>
      </c>
      <c r="BF11" s="125">
        <v>119</v>
      </c>
      <c r="BG11" s="125">
        <v>0</v>
      </c>
      <c r="BH11" s="125">
        <v>0</v>
      </c>
      <c r="BI11" s="125">
        <v>2222</v>
      </c>
      <c r="BJ11" s="125">
        <v>177</v>
      </c>
      <c r="BK11" s="125">
        <v>2513</v>
      </c>
      <c r="BL11" s="125"/>
      <c r="BM11" s="125">
        <v>472</v>
      </c>
      <c r="BN11" s="125">
        <v>531</v>
      </c>
      <c r="BO11" s="125">
        <v>0</v>
      </c>
      <c r="BP11" s="125">
        <v>2852</v>
      </c>
      <c r="BQ11" s="125">
        <v>7087</v>
      </c>
      <c r="BR11" s="125">
        <v>27</v>
      </c>
      <c r="BS11" s="125">
        <v>0</v>
      </c>
      <c r="BT11" s="125">
        <v>0</v>
      </c>
      <c r="BU11" s="125"/>
      <c r="BV11" s="125">
        <v>9</v>
      </c>
      <c r="BW11" s="125">
        <v>364</v>
      </c>
      <c r="BX11" s="125"/>
      <c r="BY11" s="125">
        <v>4654</v>
      </c>
      <c r="BZ11" s="125">
        <v>0</v>
      </c>
      <c r="CA11" s="125">
        <v>0</v>
      </c>
      <c r="CB11" s="125">
        <v>4717</v>
      </c>
      <c r="CC11" s="125">
        <v>1837</v>
      </c>
      <c r="CD11" s="125">
        <v>2057</v>
      </c>
      <c r="CE11" s="125">
        <v>1461</v>
      </c>
      <c r="CF11" s="125">
        <v>0</v>
      </c>
      <c r="CG11" s="125">
        <v>2</v>
      </c>
      <c r="CH11" s="125">
        <v>228</v>
      </c>
      <c r="CI11" s="125">
        <v>758</v>
      </c>
      <c r="CJ11" s="125">
        <v>159</v>
      </c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 t="s">
        <v>370</v>
      </c>
      <c r="CZ11" s="125" t="s">
        <v>370</v>
      </c>
      <c r="DA11" s="125" t="s">
        <v>370</v>
      </c>
      <c r="DB11" s="125">
        <v>0</v>
      </c>
      <c r="DC11" s="125">
        <v>0</v>
      </c>
      <c r="DD11" s="125">
        <v>0</v>
      </c>
      <c r="DE11">
        <f t="shared" si="0"/>
        <v>271299</v>
      </c>
      <c r="DG11" s="1">
        <f t="shared" si="14"/>
        <v>171963</v>
      </c>
      <c r="DH11" s="1">
        <f t="shared" si="1"/>
        <v>100002</v>
      </c>
      <c r="DI11" s="127">
        <f t="shared" si="2"/>
        <v>271965</v>
      </c>
      <c r="DK11" s="1">
        <f t="shared" si="3"/>
        <v>50979</v>
      </c>
      <c r="DL11" s="1">
        <f t="shared" si="4"/>
        <v>48902</v>
      </c>
      <c r="DM11" s="1">
        <f t="shared" si="5"/>
        <v>0</v>
      </c>
      <c r="DN11" s="1">
        <f t="shared" si="6"/>
        <v>0</v>
      </c>
      <c r="DO11" s="1">
        <f t="shared" si="7"/>
        <v>113904</v>
      </c>
      <c r="DP11" s="1">
        <f t="shared" si="8"/>
        <v>47686</v>
      </c>
      <c r="DQ11" s="1">
        <f t="shared" si="15"/>
        <v>0</v>
      </c>
      <c r="DR11" s="1">
        <f t="shared" si="9"/>
        <v>5202</v>
      </c>
      <c r="DS11" s="1">
        <f t="shared" si="10"/>
        <v>0</v>
      </c>
      <c r="DT11" s="1">
        <f t="shared" si="11"/>
        <v>5218</v>
      </c>
      <c r="DU11" s="1"/>
      <c r="DV11" s="1"/>
      <c r="DW11" s="1"/>
      <c r="DX11" s="1">
        <f t="shared" si="16"/>
        <v>271891</v>
      </c>
      <c r="DZ11" s="1">
        <f t="shared" si="17"/>
        <v>0</v>
      </c>
      <c r="EA11" s="1">
        <f t="shared" si="12"/>
        <v>0</v>
      </c>
      <c r="EC11" s="1">
        <f t="shared" si="18"/>
        <v>271891</v>
      </c>
      <c r="ED11" s="1">
        <f t="shared" si="13"/>
        <v>592</v>
      </c>
      <c r="EE11" s="1"/>
    </row>
    <row r="12" spans="1:135" x14ac:dyDescent="0.25">
      <c r="A12" s="124">
        <v>32568</v>
      </c>
      <c r="B12" s="125">
        <v>0</v>
      </c>
      <c r="C12" s="125">
        <v>0</v>
      </c>
      <c r="D12" s="125">
        <v>0</v>
      </c>
      <c r="E12" s="125" t="s">
        <v>370</v>
      </c>
      <c r="F12" s="125" t="s">
        <v>370</v>
      </c>
      <c r="G12" s="125">
        <v>0</v>
      </c>
      <c r="H12" s="125">
        <v>0</v>
      </c>
      <c r="I12" s="125">
        <v>0</v>
      </c>
      <c r="J12" s="125">
        <v>0</v>
      </c>
      <c r="K12" s="125"/>
      <c r="L12" s="125">
        <v>32230</v>
      </c>
      <c r="M12" s="125">
        <v>2831</v>
      </c>
      <c r="N12" s="125"/>
      <c r="O12" s="125">
        <v>0</v>
      </c>
      <c r="P12" s="125">
        <v>0</v>
      </c>
      <c r="Q12" s="125">
        <v>1074</v>
      </c>
      <c r="R12" s="125">
        <v>1149</v>
      </c>
      <c r="S12" s="125">
        <v>0</v>
      </c>
      <c r="T12" s="125"/>
      <c r="U12" s="125"/>
      <c r="V12" s="125">
        <v>13695</v>
      </c>
      <c r="W12" s="125">
        <v>0</v>
      </c>
      <c r="X12" s="125">
        <v>924</v>
      </c>
      <c r="Y12" s="125">
        <v>52</v>
      </c>
      <c r="Z12" s="126"/>
      <c r="AA12" s="125">
        <v>0</v>
      </c>
      <c r="AB12" s="125">
        <v>0</v>
      </c>
      <c r="AC12" s="125">
        <v>0</v>
      </c>
      <c r="AD12" s="125">
        <v>23</v>
      </c>
      <c r="AE12" s="125">
        <v>11</v>
      </c>
      <c r="AF12" s="125">
        <v>0</v>
      </c>
      <c r="AG12" s="125"/>
      <c r="AH12" s="125"/>
      <c r="AI12" s="125">
        <v>83</v>
      </c>
      <c r="AJ12" s="125">
        <v>0</v>
      </c>
      <c r="AK12" s="125">
        <v>40722</v>
      </c>
      <c r="AL12" s="125">
        <v>2589</v>
      </c>
      <c r="AM12" s="125">
        <v>0</v>
      </c>
      <c r="AN12" s="125">
        <v>0</v>
      </c>
      <c r="AO12" s="125">
        <v>0</v>
      </c>
      <c r="AP12" s="125">
        <v>0</v>
      </c>
      <c r="AQ12" s="125">
        <v>0</v>
      </c>
      <c r="AR12" s="125">
        <v>0</v>
      </c>
      <c r="AS12" s="125" t="s">
        <v>370</v>
      </c>
      <c r="AT12" s="125">
        <v>0</v>
      </c>
      <c r="AU12" s="125">
        <v>553</v>
      </c>
      <c r="AV12" s="125">
        <v>1644</v>
      </c>
      <c r="AW12" s="125">
        <v>0</v>
      </c>
      <c r="AX12" s="126"/>
      <c r="AY12" s="126"/>
      <c r="AZ12" s="126">
        <v>0</v>
      </c>
      <c r="BA12" s="126"/>
      <c r="BB12" s="125">
        <v>2422</v>
      </c>
      <c r="BC12" s="125"/>
      <c r="BD12" s="125">
        <v>44441</v>
      </c>
      <c r="BE12" s="125">
        <v>95044</v>
      </c>
      <c r="BF12" s="125">
        <v>113</v>
      </c>
      <c r="BG12" s="125">
        <v>0</v>
      </c>
      <c r="BH12" s="125">
        <v>0</v>
      </c>
      <c r="BI12" s="125">
        <v>2256</v>
      </c>
      <c r="BJ12" s="125">
        <v>176</v>
      </c>
      <c r="BK12" s="125">
        <v>2481</v>
      </c>
      <c r="BL12" s="125"/>
      <c r="BM12" s="125">
        <v>506</v>
      </c>
      <c r="BN12" s="125">
        <v>537</v>
      </c>
      <c r="BO12" s="125">
        <v>0</v>
      </c>
      <c r="BP12" s="125">
        <v>2690</v>
      </c>
      <c r="BQ12" s="125">
        <v>6904</v>
      </c>
      <c r="BR12" s="125">
        <v>29</v>
      </c>
      <c r="BS12" s="125">
        <v>0</v>
      </c>
      <c r="BT12" s="125">
        <v>0</v>
      </c>
      <c r="BU12" s="125"/>
      <c r="BV12" s="125">
        <v>7</v>
      </c>
      <c r="BW12" s="125">
        <v>368</v>
      </c>
      <c r="BX12" s="125"/>
      <c r="BY12" s="125">
        <v>4656</v>
      </c>
      <c r="BZ12" s="125">
        <v>0</v>
      </c>
      <c r="CA12" s="125">
        <v>0</v>
      </c>
      <c r="CB12" s="125">
        <v>4994</v>
      </c>
      <c r="CC12" s="125">
        <v>2017</v>
      </c>
      <c r="CD12" s="125">
        <v>2074</v>
      </c>
      <c r="CE12" s="125">
        <v>1514</v>
      </c>
      <c r="CF12" s="125">
        <v>0</v>
      </c>
      <c r="CG12" s="125">
        <v>2</v>
      </c>
      <c r="CH12" s="125">
        <v>208</v>
      </c>
      <c r="CI12" s="125">
        <v>782</v>
      </c>
      <c r="CJ12" s="125">
        <v>164</v>
      </c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 t="s">
        <v>370</v>
      </c>
      <c r="CZ12" s="125" t="s">
        <v>370</v>
      </c>
      <c r="DA12" s="125" t="s">
        <v>370</v>
      </c>
      <c r="DB12" s="125">
        <v>0</v>
      </c>
      <c r="DC12" s="125">
        <v>0</v>
      </c>
      <c r="DD12" s="125">
        <v>0</v>
      </c>
      <c r="DE12">
        <f t="shared" si="0"/>
        <v>271965</v>
      </c>
      <c r="DG12" s="1">
        <f t="shared" si="14"/>
        <v>175911</v>
      </c>
      <c r="DH12" s="1">
        <f t="shared" si="1"/>
        <v>100662</v>
      </c>
      <c r="DI12" s="127">
        <f t="shared" si="2"/>
        <v>276573</v>
      </c>
      <c r="DK12" s="1">
        <f t="shared" si="3"/>
        <v>51280</v>
      </c>
      <c r="DL12" s="1">
        <f t="shared" si="4"/>
        <v>49023</v>
      </c>
      <c r="DM12" s="1">
        <f t="shared" si="5"/>
        <v>0</v>
      </c>
      <c r="DN12" s="1">
        <f t="shared" si="6"/>
        <v>0</v>
      </c>
      <c r="DO12" s="1">
        <f t="shared" si="7"/>
        <v>116577</v>
      </c>
      <c r="DP12" s="1">
        <f t="shared" si="8"/>
        <v>47637</v>
      </c>
      <c r="DQ12" s="1">
        <f t="shared" si="15"/>
        <v>0</v>
      </c>
      <c r="DR12" s="1">
        <f t="shared" si="9"/>
        <v>5632</v>
      </c>
      <c r="DS12" s="1">
        <f t="shared" si="10"/>
        <v>0</v>
      </c>
      <c r="DT12" s="1">
        <f t="shared" si="11"/>
        <v>5253</v>
      </c>
      <c r="DU12" s="1"/>
      <c r="DV12" s="1"/>
      <c r="DW12" s="1"/>
      <c r="DX12" s="1">
        <f t="shared" si="16"/>
        <v>275402</v>
      </c>
      <c r="DZ12" s="1">
        <f t="shared" si="17"/>
        <v>0</v>
      </c>
      <c r="EA12" s="1">
        <f t="shared" si="12"/>
        <v>0</v>
      </c>
      <c r="EC12" s="1">
        <f t="shared" si="18"/>
        <v>275402</v>
      </c>
      <c r="ED12" s="1">
        <f t="shared" si="13"/>
        <v>3437</v>
      </c>
      <c r="EE12" s="1"/>
    </row>
    <row r="13" spans="1:135" x14ac:dyDescent="0.25">
      <c r="A13" s="124">
        <v>32599</v>
      </c>
      <c r="B13" s="125">
        <v>0</v>
      </c>
      <c r="C13" s="125">
        <v>0</v>
      </c>
      <c r="D13" s="125">
        <v>0</v>
      </c>
      <c r="E13" s="125" t="s">
        <v>370</v>
      </c>
      <c r="F13" s="125" t="s">
        <v>370</v>
      </c>
      <c r="G13" s="125">
        <v>0</v>
      </c>
      <c r="H13" s="125">
        <v>0</v>
      </c>
      <c r="I13" s="125">
        <v>0</v>
      </c>
      <c r="J13" s="125">
        <v>0</v>
      </c>
      <c r="K13" s="125"/>
      <c r="L13" s="125">
        <v>32346</v>
      </c>
      <c r="M13" s="125">
        <v>2883</v>
      </c>
      <c r="N13" s="125"/>
      <c r="O13" s="125">
        <v>0</v>
      </c>
      <c r="P13" s="125">
        <v>0</v>
      </c>
      <c r="Q13" s="125">
        <v>1079</v>
      </c>
      <c r="R13" s="125">
        <v>1155</v>
      </c>
      <c r="S13" s="125">
        <v>0</v>
      </c>
      <c r="T13" s="125"/>
      <c r="U13" s="125"/>
      <c r="V13" s="125">
        <v>13817</v>
      </c>
      <c r="W13" s="125">
        <v>0</v>
      </c>
      <c r="X13" s="125">
        <v>917</v>
      </c>
      <c r="Y13" s="125">
        <v>54</v>
      </c>
      <c r="Z13" s="126"/>
      <c r="AA13" s="125">
        <v>0</v>
      </c>
      <c r="AB13" s="125">
        <v>0</v>
      </c>
      <c r="AC13" s="125">
        <v>0</v>
      </c>
      <c r="AD13" s="125">
        <v>23</v>
      </c>
      <c r="AE13" s="125">
        <v>12</v>
      </c>
      <c r="AF13" s="125">
        <v>0</v>
      </c>
      <c r="AG13" s="125"/>
      <c r="AH13" s="125"/>
      <c r="AI13" s="125">
        <v>80</v>
      </c>
      <c r="AJ13" s="125">
        <v>0</v>
      </c>
      <c r="AK13" s="125">
        <v>41004</v>
      </c>
      <c r="AL13" s="125">
        <v>2624</v>
      </c>
      <c r="AM13" s="125">
        <v>0</v>
      </c>
      <c r="AN13" s="125">
        <v>0</v>
      </c>
      <c r="AO13" s="125">
        <v>0</v>
      </c>
      <c r="AP13" s="125">
        <v>0</v>
      </c>
      <c r="AQ13" s="125">
        <v>0</v>
      </c>
      <c r="AR13" s="125">
        <v>0</v>
      </c>
      <c r="AS13" s="125" t="s">
        <v>370</v>
      </c>
      <c r="AT13" s="125">
        <v>0</v>
      </c>
      <c r="AU13" s="125">
        <v>560</v>
      </c>
      <c r="AV13" s="125">
        <v>1654</v>
      </c>
      <c r="AW13" s="125">
        <v>0</v>
      </c>
      <c r="AX13" s="126"/>
      <c r="AY13" s="126"/>
      <c r="AZ13" s="126">
        <v>0</v>
      </c>
      <c r="BA13" s="126"/>
      <c r="BB13" s="125">
        <v>2454</v>
      </c>
      <c r="BC13" s="125"/>
      <c r="BD13" s="125">
        <v>45168</v>
      </c>
      <c r="BE13" s="125">
        <v>96618</v>
      </c>
      <c r="BF13" s="125">
        <v>118</v>
      </c>
      <c r="BG13" s="125">
        <v>0</v>
      </c>
      <c r="BH13" s="125">
        <v>0</v>
      </c>
      <c r="BI13" s="125">
        <v>2316</v>
      </c>
      <c r="BJ13" s="125">
        <v>192</v>
      </c>
      <c r="BK13" s="125">
        <v>2459</v>
      </c>
      <c r="BL13" s="125"/>
      <c r="BM13" s="125">
        <v>507</v>
      </c>
      <c r="BN13" s="125">
        <v>541</v>
      </c>
      <c r="BO13" s="125">
        <v>0</v>
      </c>
      <c r="BP13" s="125">
        <v>2772</v>
      </c>
      <c r="BQ13" s="125">
        <v>7070</v>
      </c>
      <c r="BR13" s="125">
        <v>27</v>
      </c>
      <c r="BS13" s="125">
        <v>0</v>
      </c>
      <c r="BT13" s="125">
        <v>0</v>
      </c>
      <c r="BU13" s="125"/>
      <c r="BV13" s="125">
        <v>5</v>
      </c>
      <c r="BW13" s="125">
        <v>360</v>
      </c>
      <c r="BX13" s="125"/>
      <c r="BY13" s="125">
        <v>4883</v>
      </c>
      <c r="BZ13" s="125">
        <v>0</v>
      </c>
      <c r="CA13" s="125">
        <v>0</v>
      </c>
      <c r="CB13" s="125">
        <v>5428</v>
      </c>
      <c r="CC13" s="125">
        <v>2413</v>
      </c>
      <c r="CD13" s="125">
        <v>2196</v>
      </c>
      <c r="CE13" s="125">
        <v>1629</v>
      </c>
      <c r="CF13" s="125">
        <v>0</v>
      </c>
      <c r="CG13" s="125">
        <v>2</v>
      </c>
      <c r="CH13" s="125">
        <v>204</v>
      </c>
      <c r="CI13" s="125">
        <v>847</v>
      </c>
      <c r="CJ13" s="125">
        <v>156</v>
      </c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 t="s">
        <v>370</v>
      </c>
      <c r="CZ13" s="125" t="s">
        <v>370</v>
      </c>
      <c r="DA13" s="125" t="s">
        <v>370</v>
      </c>
      <c r="DB13" s="125">
        <v>0</v>
      </c>
      <c r="DC13" s="125">
        <v>0</v>
      </c>
      <c r="DD13" s="125">
        <v>0</v>
      </c>
      <c r="DE13">
        <f t="shared" si="0"/>
        <v>276573</v>
      </c>
      <c r="DG13" s="1">
        <f t="shared" si="14"/>
        <v>174869</v>
      </c>
      <c r="DH13" s="1">
        <f t="shared" si="1"/>
        <v>100911</v>
      </c>
      <c r="DI13" s="127">
        <f t="shared" si="2"/>
        <v>275780</v>
      </c>
      <c r="DK13" s="1">
        <f t="shared" si="3"/>
        <v>51425</v>
      </c>
      <c r="DL13" s="1">
        <f t="shared" si="4"/>
        <v>49382</v>
      </c>
      <c r="DM13" s="1">
        <f t="shared" si="5"/>
        <v>0</v>
      </c>
      <c r="DN13" s="1">
        <f t="shared" si="6"/>
        <v>0</v>
      </c>
      <c r="DO13" s="1">
        <f t="shared" si="7"/>
        <v>116010</v>
      </c>
      <c r="DP13" s="1">
        <f t="shared" si="8"/>
        <v>48447</v>
      </c>
      <c r="DQ13" s="1">
        <f t="shared" si="15"/>
        <v>0</v>
      </c>
      <c r="DR13" s="1">
        <f t="shared" si="9"/>
        <v>5726</v>
      </c>
      <c r="DS13" s="1">
        <f t="shared" si="10"/>
        <v>0</v>
      </c>
      <c r="DT13" s="1">
        <f t="shared" si="11"/>
        <v>5290</v>
      </c>
      <c r="DU13" s="1"/>
      <c r="DV13" s="1"/>
      <c r="DW13" s="1"/>
      <c r="DX13" s="1">
        <f t="shared" si="16"/>
        <v>276280</v>
      </c>
      <c r="DZ13" s="1">
        <f t="shared" si="17"/>
        <v>0</v>
      </c>
      <c r="EA13" s="1">
        <f t="shared" si="12"/>
        <v>0</v>
      </c>
      <c r="EC13" s="1">
        <f t="shared" si="18"/>
        <v>276280</v>
      </c>
      <c r="ED13" s="1">
        <f t="shared" si="13"/>
        <v>-293</v>
      </c>
      <c r="EE13" s="1"/>
    </row>
    <row r="14" spans="1:135" x14ac:dyDescent="0.25">
      <c r="A14" s="124">
        <v>32629</v>
      </c>
      <c r="B14" s="125">
        <v>0</v>
      </c>
      <c r="C14" s="125">
        <v>0</v>
      </c>
      <c r="D14" s="125">
        <v>0</v>
      </c>
      <c r="E14" s="125" t="s">
        <v>370</v>
      </c>
      <c r="F14" s="125" t="s">
        <v>370</v>
      </c>
      <c r="G14" s="125">
        <v>0</v>
      </c>
      <c r="H14" s="125">
        <v>0</v>
      </c>
      <c r="I14" s="125">
        <v>0</v>
      </c>
      <c r="J14" s="125">
        <v>0</v>
      </c>
      <c r="K14" s="125"/>
      <c r="L14" s="125">
        <v>32355</v>
      </c>
      <c r="M14" s="125">
        <v>2904</v>
      </c>
      <c r="N14" s="125"/>
      <c r="O14" s="125">
        <v>0</v>
      </c>
      <c r="P14" s="125">
        <v>0</v>
      </c>
      <c r="Q14" s="125">
        <v>1081</v>
      </c>
      <c r="R14" s="125">
        <v>1155</v>
      </c>
      <c r="S14" s="125">
        <v>0</v>
      </c>
      <c r="T14" s="125"/>
      <c r="U14" s="125"/>
      <c r="V14" s="125">
        <v>13930</v>
      </c>
      <c r="W14" s="125">
        <v>0</v>
      </c>
      <c r="X14" s="125">
        <v>911</v>
      </c>
      <c r="Y14" s="125">
        <v>55</v>
      </c>
      <c r="Z14" s="126"/>
      <c r="AA14" s="125">
        <v>0</v>
      </c>
      <c r="AB14" s="125">
        <v>0</v>
      </c>
      <c r="AC14" s="125">
        <v>0</v>
      </c>
      <c r="AD14" s="125">
        <v>23</v>
      </c>
      <c r="AE14" s="125">
        <v>12</v>
      </c>
      <c r="AF14" s="125">
        <v>0</v>
      </c>
      <c r="AG14" s="125"/>
      <c r="AH14" s="125"/>
      <c r="AI14" s="125">
        <v>74</v>
      </c>
      <c r="AJ14" s="125">
        <v>0</v>
      </c>
      <c r="AK14" s="125">
        <v>41118</v>
      </c>
      <c r="AL14" s="125">
        <v>2622</v>
      </c>
      <c r="AM14" s="125">
        <v>0</v>
      </c>
      <c r="AN14" s="125">
        <v>0</v>
      </c>
      <c r="AO14" s="125">
        <v>0</v>
      </c>
      <c r="AP14" s="125">
        <v>0</v>
      </c>
      <c r="AQ14" s="125">
        <v>0</v>
      </c>
      <c r="AR14" s="125">
        <v>0</v>
      </c>
      <c r="AS14" s="125" t="s">
        <v>370</v>
      </c>
      <c r="AT14" s="125">
        <v>0</v>
      </c>
      <c r="AU14" s="125">
        <v>567</v>
      </c>
      <c r="AV14" s="125">
        <v>1658</v>
      </c>
      <c r="AW14" s="125">
        <v>0</v>
      </c>
      <c r="AX14" s="126"/>
      <c r="AY14" s="126"/>
      <c r="AZ14" s="126">
        <v>0</v>
      </c>
      <c r="BA14" s="126"/>
      <c r="BB14" s="125">
        <v>2446</v>
      </c>
      <c r="BC14" s="125"/>
      <c r="BD14" s="125">
        <v>44449</v>
      </c>
      <c r="BE14" s="125">
        <v>95588</v>
      </c>
      <c r="BF14" s="125">
        <v>122</v>
      </c>
      <c r="BG14" s="125">
        <v>0</v>
      </c>
      <c r="BH14" s="125">
        <v>0</v>
      </c>
      <c r="BI14" s="125">
        <v>2400</v>
      </c>
      <c r="BJ14" s="125">
        <v>190</v>
      </c>
      <c r="BK14" s="125">
        <v>2401</v>
      </c>
      <c r="BL14" s="125"/>
      <c r="BM14" s="125">
        <v>499</v>
      </c>
      <c r="BN14" s="125">
        <v>566</v>
      </c>
      <c r="BO14" s="125">
        <v>0</v>
      </c>
      <c r="BP14" s="125">
        <v>2893</v>
      </c>
      <c r="BQ14" s="125">
        <v>7337</v>
      </c>
      <c r="BR14" s="125">
        <v>27</v>
      </c>
      <c r="BS14" s="125">
        <v>0</v>
      </c>
      <c r="BT14" s="125">
        <v>0</v>
      </c>
      <c r="BU14" s="125"/>
      <c r="BV14" s="125">
        <v>3</v>
      </c>
      <c r="BW14" s="125">
        <v>367</v>
      </c>
      <c r="BX14" s="125"/>
      <c r="BY14" s="125">
        <v>4815</v>
      </c>
      <c r="BZ14" s="125">
        <v>0</v>
      </c>
      <c r="CA14" s="125">
        <v>0</v>
      </c>
      <c r="CB14" s="125">
        <v>5520</v>
      </c>
      <c r="CC14" s="125">
        <v>2574</v>
      </c>
      <c r="CD14" s="125">
        <v>2223</v>
      </c>
      <c r="CE14" s="125">
        <v>1680</v>
      </c>
      <c r="CF14" s="125">
        <v>0</v>
      </c>
      <c r="CG14" s="125">
        <v>2</v>
      </c>
      <c r="CH14" s="125">
        <v>206</v>
      </c>
      <c r="CI14" s="125">
        <v>863</v>
      </c>
      <c r="CJ14" s="125">
        <v>144</v>
      </c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 t="s">
        <v>370</v>
      </c>
      <c r="CZ14" s="125" t="s">
        <v>370</v>
      </c>
      <c r="DA14" s="125" t="s">
        <v>370</v>
      </c>
      <c r="DB14" s="125">
        <v>0</v>
      </c>
      <c r="DC14" s="125">
        <v>0</v>
      </c>
      <c r="DD14" s="125">
        <v>0</v>
      </c>
      <c r="DE14">
        <f t="shared" si="0"/>
        <v>275780</v>
      </c>
      <c r="DG14" s="1">
        <f t="shared" si="14"/>
        <v>175049</v>
      </c>
      <c r="DH14" s="1">
        <f t="shared" si="1"/>
        <v>101447</v>
      </c>
      <c r="DI14" s="127">
        <f t="shared" si="2"/>
        <v>276496</v>
      </c>
      <c r="DK14" s="1">
        <f t="shared" si="3"/>
        <v>51659</v>
      </c>
      <c r="DL14" s="1">
        <f t="shared" si="4"/>
        <v>49486</v>
      </c>
      <c r="DM14" s="1">
        <f t="shared" si="5"/>
        <v>0</v>
      </c>
      <c r="DN14" s="1">
        <f t="shared" si="6"/>
        <v>0</v>
      </c>
      <c r="DO14" s="1">
        <f t="shared" si="7"/>
        <v>116134</v>
      </c>
      <c r="DP14" s="1">
        <f t="shared" si="8"/>
        <v>47841</v>
      </c>
      <c r="DQ14" s="1">
        <f t="shared" si="15"/>
        <v>0</v>
      </c>
      <c r="DR14" s="1">
        <f t="shared" si="9"/>
        <v>5909</v>
      </c>
      <c r="DS14" s="1">
        <f t="shared" si="10"/>
        <v>0</v>
      </c>
      <c r="DT14" s="1">
        <f t="shared" si="11"/>
        <v>5382</v>
      </c>
      <c r="DU14" s="1"/>
      <c r="DV14" s="1"/>
      <c r="DW14" s="1"/>
      <c r="DX14" s="1">
        <f t="shared" si="16"/>
        <v>276411</v>
      </c>
      <c r="DZ14" s="1">
        <f t="shared" si="17"/>
        <v>0</v>
      </c>
      <c r="EA14" s="1">
        <f t="shared" si="12"/>
        <v>0</v>
      </c>
      <c r="EC14" s="1">
        <f t="shared" si="18"/>
        <v>276411</v>
      </c>
      <c r="ED14" s="1">
        <f t="shared" si="13"/>
        <v>631</v>
      </c>
      <c r="EE14" s="1"/>
    </row>
    <row r="15" spans="1:135" x14ac:dyDescent="0.25">
      <c r="A15" s="124">
        <v>32660</v>
      </c>
      <c r="B15" s="125">
        <v>0</v>
      </c>
      <c r="C15" s="125">
        <v>0</v>
      </c>
      <c r="D15" s="125">
        <v>0</v>
      </c>
      <c r="E15" s="125" t="s">
        <v>370</v>
      </c>
      <c r="F15" s="125" t="s">
        <v>370</v>
      </c>
      <c r="G15" s="125">
        <v>0</v>
      </c>
      <c r="H15" s="125">
        <v>0</v>
      </c>
      <c r="I15" s="125">
        <v>0</v>
      </c>
      <c r="J15" s="125">
        <v>0</v>
      </c>
      <c r="K15" s="125"/>
      <c r="L15" s="125">
        <v>32389</v>
      </c>
      <c r="M15" s="125">
        <v>2917</v>
      </c>
      <c r="N15" s="125"/>
      <c r="O15" s="125">
        <v>0</v>
      </c>
      <c r="P15" s="125">
        <v>0</v>
      </c>
      <c r="Q15" s="125">
        <v>1120</v>
      </c>
      <c r="R15" s="125">
        <v>1148</v>
      </c>
      <c r="S15" s="125">
        <v>0</v>
      </c>
      <c r="T15" s="125"/>
      <c r="U15" s="125"/>
      <c r="V15" s="125">
        <v>14085</v>
      </c>
      <c r="W15" s="125">
        <v>0</v>
      </c>
      <c r="X15" s="125">
        <v>916</v>
      </c>
      <c r="Y15" s="125">
        <v>55</v>
      </c>
      <c r="Z15" s="126"/>
      <c r="AA15" s="125">
        <v>0</v>
      </c>
      <c r="AB15" s="125">
        <v>0</v>
      </c>
      <c r="AC15" s="125">
        <v>0</v>
      </c>
      <c r="AD15" s="125">
        <v>23</v>
      </c>
      <c r="AE15" s="125">
        <v>12</v>
      </c>
      <c r="AF15" s="125">
        <v>0</v>
      </c>
      <c r="AG15" s="125"/>
      <c r="AH15" s="125"/>
      <c r="AI15" s="125">
        <v>72</v>
      </c>
      <c r="AJ15" s="125">
        <v>0</v>
      </c>
      <c r="AK15" s="125">
        <v>41344</v>
      </c>
      <c r="AL15" s="125">
        <v>2636</v>
      </c>
      <c r="AM15" s="125">
        <v>0</v>
      </c>
      <c r="AN15" s="125">
        <v>0</v>
      </c>
      <c r="AO15" s="125">
        <v>0</v>
      </c>
      <c r="AP15" s="125">
        <v>0</v>
      </c>
      <c r="AQ15" s="125">
        <v>0</v>
      </c>
      <c r="AR15" s="125">
        <v>0</v>
      </c>
      <c r="AS15" s="125" t="s">
        <v>370</v>
      </c>
      <c r="AT15" s="125">
        <v>0</v>
      </c>
      <c r="AU15" s="125">
        <v>571</v>
      </c>
      <c r="AV15" s="125">
        <v>1657</v>
      </c>
      <c r="AW15" s="125">
        <v>0</v>
      </c>
      <c r="AX15" s="126"/>
      <c r="AY15" s="126"/>
      <c r="AZ15" s="126">
        <v>0</v>
      </c>
      <c r="BA15" s="126"/>
      <c r="BB15" s="125">
        <v>2502</v>
      </c>
      <c r="BC15" s="125"/>
      <c r="BD15" s="125">
        <v>44011</v>
      </c>
      <c r="BE15" s="125">
        <v>95006</v>
      </c>
      <c r="BF15" s="125">
        <v>121</v>
      </c>
      <c r="BG15" s="125">
        <v>0</v>
      </c>
      <c r="BH15" s="125">
        <v>0</v>
      </c>
      <c r="BI15" s="125">
        <v>2487</v>
      </c>
      <c r="BJ15" s="125">
        <v>201</v>
      </c>
      <c r="BK15" s="125">
        <v>2411</v>
      </c>
      <c r="BL15" s="125"/>
      <c r="BM15" s="125">
        <v>477</v>
      </c>
      <c r="BN15" s="125">
        <v>586</v>
      </c>
      <c r="BO15" s="125">
        <v>0</v>
      </c>
      <c r="BP15" s="125">
        <v>3135</v>
      </c>
      <c r="BQ15" s="125">
        <v>7780</v>
      </c>
      <c r="BR15" s="125">
        <v>28</v>
      </c>
      <c r="BS15" s="125">
        <v>0</v>
      </c>
      <c r="BT15" s="125">
        <v>0</v>
      </c>
      <c r="BU15" s="125"/>
      <c r="BV15" s="125">
        <v>3</v>
      </c>
      <c r="BW15" s="125">
        <v>363</v>
      </c>
      <c r="BX15" s="125"/>
      <c r="BY15" s="125">
        <v>4837</v>
      </c>
      <c r="BZ15" s="125">
        <v>0</v>
      </c>
      <c r="CA15" s="125">
        <v>0</v>
      </c>
      <c r="CB15" s="125">
        <v>5705</v>
      </c>
      <c r="CC15" s="125">
        <v>2692</v>
      </c>
      <c r="CD15" s="125">
        <v>2219</v>
      </c>
      <c r="CE15" s="125">
        <v>1734</v>
      </c>
      <c r="CF15" s="125">
        <v>0</v>
      </c>
      <c r="CG15" s="125">
        <v>1</v>
      </c>
      <c r="CH15" s="125">
        <v>204</v>
      </c>
      <c r="CI15" s="125">
        <v>899</v>
      </c>
      <c r="CJ15" s="125">
        <v>149</v>
      </c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 t="s">
        <v>370</v>
      </c>
      <c r="CZ15" s="125" t="s">
        <v>370</v>
      </c>
      <c r="DA15" s="125" t="s">
        <v>370</v>
      </c>
      <c r="DB15" s="125">
        <v>0</v>
      </c>
      <c r="DC15" s="125">
        <v>0</v>
      </c>
      <c r="DD15" s="125">
        <v>0</v>
      </c>
      <c r="DE15">
        <f t="shared" si="0"/>
        <v>276496</v>
      </c>
      <c r="DG15" s="1">
        <f t="shared" si="14"/>
        <v>174400</v>
      </c>
      <c r="DH15" s="1">
        <f t="shared" si="1"/>
        <v>101679</v>
      </c>
      <c r="DI15" s="127">
        <f t="shared" si="2"/>
        <v>276079</v>
      </c>
      <c r="DK15" s="1">
        <f t="shared" si="3"/>
        <v>51839</v>
      </c>
      <c r="DL15" s="1">
        <f t="shared" si="4"/>
        <v>49788</v>
      </c>
      <c r="DM15" s="1">
        <f t="shared" si="5"/>
        <v>0</v>
      </c>
      <c r="DN15" s="1">
        <f t="shared" si="6"/>
        <v>0</v>
      </c>
      <c r="DO15" s="1">
        <f t="shared" si="7"/>
        <v>115565</v>
      </c>
      <c r="DP15" s="1">
        <f t="shared" si="8"/>
        <v>47623</v>
      </c>
      <c r="DQ15" s="1">
        <f t="shared" si="15"/>
        <v>0</v>
      </c>
      <c r="DR15" s="1">
        <f t="shared" si="9"/>
        <v>6068</v>
      </c>
      <c r="DS15" s="1">
        <f t="shared" si="10"/>
        <v>0</v>
      </c>
      <c r="DT15" s="1">
        <f t="shared" si="11"/>
        <v>5442</v>
      </c>
      <c r="DU15" s="1"/>
      <c r="DV15" s="1"/>
      <c r="DW15" s="1"/>
      <c r="DX15" s="1">
        <f t="shared" si="16"/>
        <v>276325</v>
      </c>
      <c r="DZ15" s="1">
        <f t="shared" si="17"/>
        <v>0</v>
      </c>
      <c r="EA15" s="1">
        <f t="shared" si="12"/>
        <v>0</v>
      </c>
      <c r="EC15" s="1">
        <f t="shared" si="18"/>
        <v>276325</v>
      </c>
      <c r="ED15" s="1">
        <f t="shared" si="13"/>
        <v>-171</v>
      </c>
      <c r="EE15" s="1"/>
    </row>
    <row r="16" spans="1:135" x14ac:dyDescent="0.25">
      <c r="A16" s="124">
        <v>32690</v>
      </c>
      <c r="B16" s="125">
        <v>0</v>
      </c>
      <c r="C16" s="125">
        <v>0</v>
      </c>
      <c r="D16" s="125">
        <v>0</v>
      </c>
      <c r="E16" s="125" t="s">
        <v>370</v>
      </c>
      <c r="F16" s="125" t="s">
        <v>370</v>
      </c>
      <c r="G16" s="125">
        <v>0</v>
      </c>
      <c r="H16" s="125">
        <v>0</v>
      </c>
      <c r="I16" s="125">
        <v>0</v>
      </c>
      <c r="J16" s="125">
        <v>0</v>
      </c>
      <c r="K16" s="125"/>
      <c r="L16" s="125">
        <v>32519</v>
      </c>
      <c r="M16" s="125">
        <v>2905</v>
      </c>
      <c r="N16" s="125"/>
      <c r="O16" s="125">
        <v>0</v>
      </c>
      <c r="P16" s="125">
        <v>0</v>
      </c>
      <c r="Q16" s="125">
        <v>1140</v>
      </c>
      <c r="R16" s="125">
        <v>1143</v>
      </c>
      <c r="S16" s="125">
        <v>0</v>
      </c>
      <c r="T16" s="125"/>
      <c r="U16" s="125"/>
      <c r="V16" s="125">
        <v>14132</v>
      </c>
      <c r="W16" s="125">
        <v>0</v>
      </c>
      <c r="X16" s="125">
        <v>904</v>
      </c>
      <c r="Y16" s="125">
        <v>53</v>
      </c>
      <c r="Z16" s="126"/>
      <c r="AA16" s="125">
        <v>0</v>
      </c>
      <c r="AB16" s="125">
        <v>0</v>
      </c>
      <c r="AC16" s="125">
        <v>0</v>
      </c>
      <c r="AD16" s="125">
        <v>23</v>
      </c>
      <c r="AE16" s="125">
        <v>12</v>
      </c>
      <c r="AF16" s="125">
        <v>0</v>
      </c>
      <c r="AG16" s="125"/>
      <c r="AH16" s="125"/>
      <c r="AI16" s="125">
        <v>71</v>
      </c>
      <c r="AJ16" s="125">
        <v>0</v>
      </c>
      <c r="AK16" s="125">
        <v>41413</v>
      </c>
      <c r="AL16" s="125">
        <v>2631</v>
      </c>
      <c r="AM16" s="125">
        <v>0</v>
      </c>
      <c r="AN16" s="125">
        <v>0</v>
      </c>
      <c r="AO16" s="125">
        <v>0</v>
      </c>
      <c r="AP16" s="125">
        <v>0</v>
      </c>
      <c r="AQ16" s="125">
        <v>0</v>
      </c>
      <c r="AR16" s="125">
        <v>0</v>
      </c>
      <c r="AS16" s="125" t="s">
        <v>370</v>
      </c>
      <c r="AT16" s="125">
        <v>0</v>
      </c>
      <c r="AU16" s="125">
        <v>580</v>
      </c>
      <c r="AV16" s="125">
        <v>1656</v>
      </c>
      <c r="AW16" s="125">
        <v>0</v>
      </c>
      <c r="AX16" s="126"/>
      <c r="AY16" s="126"/>
      <c r="AZ16" s="126">
        <v>0</v>
      </c>
      <c r="BA16" s="126"/>
      <c r="BB16" s="125">
        <v>2497</v>
      </c>
      <c r="BC16" s="125"/>
      <c r="BD16" s="125">
        <v>43439</v>
      </c>
      <c r="BE16" s="125">
        <v>94051</v>
      </c>
      <c r="BF16" s="125">
        <v>131</v>
      </c>
      <c r="BG16" s="125">
        <v>0</v>
      </c>
      <c r="BH16" s="125">
        <v>0</v>
      </c>
      <c r="BI16" s="125">
        <v>2465</v>
      </c>
      <c r="BJ16" s="125">
        <v>197</v>
      </c>
      <c r="BK16" s="125">
        <v>2466</v>
      </c>
      <c r="BL16" s="125"/>
      <c r="BM16" s="125">
        <v>541</v>
      </c>
      <c r="BN16" s="125">
        <v>599</v>
      </c>
      <c r="BO16" s="125">
        <v>0</v>
      </c>
      <c r="BP16" s="125">
        <v>3344</v>
      </c>
      <c r="BQ16" s="125">
        <v>8112</v>
      </c>
      <c r="BR16" s="125">
        <v>28</v>
      </c>
      <c r="BS16" s="125">
        <v>0</v>
      </c>
      <c r="BT16" s="125">
        <v>0</v>
      </c>
      <c r="BU16" s="125"/>
      <c r="BV16" s="125">
        <v>6</v>
      </c>
      <c r="BW16" s="125">
        <v>380</v>
      </c>
      <c r="BX16" s="125"/>
      <c r="BY16" s="125">
        <v>4835</v>
      </c>
      <c r="BZ16" s="125">
        <v>0</v>
      </c>
      <c r="CA16" s="125">
        <v>0</v>
      </c>
      <c r="CB16" s="125">
        <v>5878</v>
      </c>
      <c r="CC16" s="125">
        <v>2760</v>
      </c>
      <c r="CD16" s="125">
        <v>2228</v>
      </c>
      <c r="CE16" s="125">
        <v>1742</v>
      </c>
      <c r="CF16" s="125">
        <v>0</v>
      </c>
      <c r="CG16" s="125">
        <v>1</v>
      </c>
      <c r="CH16" s="125">
        <v>190</v>
      </c>
      <c r="CI16" s="125">
        <v>878</v>
      </c>
      <c r="CJ16" s="125">
        <v>129</v>
      </c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 t="s">
        <v>370</v>
      </c>
      <c r="CZ16" s="125" t="s">
        <v>370</v>
      </c>
      <c r="DA16" s="125" t="s">
        <v>370</v>
      </c>
      <c r="DB16" s="125">
        <v>0</v>
      </c>
      <c r="DC16" s="125">
        <v>0</v>
      </c>
      <c r="DD16" s="125">
        <v>0</v>
      </c>
      <c r="DE16">
        <f t="shared" si="0"/>
        <v>276079</v>
      </c>
      <c r="DG16" s="1">
        <f t="shared" si="14"/>
        <v>174891</v>
      </c>
      <c r="DH16" s="1">
        <f t="shared" si="1"/>
        <v>101865</v>
      </c>
      <c r="DI16" s="127">
        <f t="shared" si="2"/>
        <v>276756</v>
      </c>
      <c r="DK16" s="1">
        <f t="shared" si="3"/>
        <v>51959</v>
      </c>
      <c r="DL16" s="1">
        <f t="shared" si="4"/>
        <v>49840</v>
      </c>
      <c r="DM16" s="1">
        <f t="shared" si="5"/>
        <v>0</v>
      </c>
      <c r="DN16" s="1">
        <f t="shared" si="6"/>
        <v>0</v>
      </c>
      <c r="DO16" s="1">
        <f t="shared" si="7"/>
        <v>115981</v>
      </c>
      <c r="DP16" s="1">
        <f t="shared" si="8"/>
        <v>47324</v>
      </c>
      <c r="DQ16" s="1">
        <f t="shared" si="15"/>
        <v>0</v>
      </c>
      <c r="DR16" s="1">
        <f t="shared" si="9"/>
        <v>6227</v>
      </c>
      <c r="DS16" s="1">
        <f t="shared" si="10"/>
        <v>0</v>
      </c>
      <c r="DT16" s="1">
        <f t="shared" si="11"/>
        <v>5453</v>
      </c>
      <c r="DU16" s="1"/>
      <c r="DV16" s="1"/>
      <c r="DW16" s="1"/>
      <c r="DX16" s="1">
        <f t="shared" si="16"/>
        <v>276784</v>
      </c>
      <c r="DZ16" s="1">
        <f t="shared" si="17"/>
        <v>0</v>
      </c>
      <c r="EA16" s="1">
        <f t="shared" si="12"/>
        <v>0</v>
      </c>
      <c r="EC16" s="1">
        <f t="shared" si="18"/>
        <v>276784</v>
      </c>
      <c r="ED16" s="1">
        <f t="shared" si="13"/>
        <v>705</v>
      </c>
      <c r="EE16" s="1"/>
    </row>
    <row r="17" spans="1:135" x14ac:dyDescent="0.25">
      <c r="A17" s="124">
        <v>32721</v>
      </c>
      <c r="B17" s="125">
        <v>0</v>
      </c>
      <c r="C17" s="125">
        <v>0</v>
      </c>
      <c r="D17" s="125">
        <v>0</v>
      </c>
      <c r="E17" s="125" t="s">
        <v>370</v>
      </c>
      <c r="F17" s="125" t="s">
        <v>370</v>
      </c>
      <c r="G17" s="125">
        <v>0</v>
      </c>
      <c r="H17" s="125">
        <v>0</v>
      </c>
      <c r="I17" s="125">
        <v>0</v>
      </c>
      <c r="J17" s="125">
        <v>0</v>
      </c>
      <c r="K17" s="125"/>
      <c r="L17" s="125">
        <v>32538</v>
      </c>
      <c r="M17" s="125">
        <v>2926</v>
      </c>
      <c r="N17" s="125"/>
      <c r="O17" s="125">
        <v>0</v>
      </c>
      <c r="P17" s="125">
        <v>0</v>
      </c>
      <c r="Q17" s="125">
        <v>1154</v>
      </c>
      <c r="R17" s="125">
        <v>1143</v>
      </c>
      <c r="S17" s="125">
        <v>0</v>
      </c>
      <c r="T17" s="125"/>
      <c r="U17" s="125"/>
      <c r="V17" s="125">
        <v>14198</v>
      </c>
      <c r="W17" s="125">
        <v>0</v>
      </c>
      <c r="X17" s="125">
        <v>897</v>
      </c>
      <c r="Y17" s="125">
        <v>51</v>
      </c>
      <c r="Z17" s="126"/>
      <c r="AA17" s="125">
        <v>0</v>
      </c>
      <c r="AB17" s="125">
        <v>0</v>
      </c>
      <c r="AC17" s="125">
        <v>0</v>
      </c>
      <c r="AD17" s="125">
        <v>25</v>
      </c>
      <c r="AE17" s="125">
        <v>12</v>
      </c>
      <c r="AF17" s="125">
        <v>0</v>
      </c>
      <c r="AG17" s="125"/>
      <c r="AH17" s="125"/>
      <c r="AI17" s="125">
        <v>72</v>
      </c>
      <c r="AJ17" s="125">
        <v>0</v>
      </c>
      <c r="AK17" s="125">
        <v>41451</v>
      </c>
      <c r="AL17" s="125">
        <v>2629</v>
      </c>
      <c r="AM17" s="125">
        <v>0</v>
      </c>
      <c r="AN17" s="125">
        <v>0</v>
      </c>
      <c r="AO17" s="125">
        <v>0</v>
      </c>
      <c r="AP17" s="125">
        <v>0</v>
      </c>
      <c r="AQ17" s="125">
        <v>0</v>
      </c>
      <c r="AR17" s="125">
        <v>0</v>
      </c>
      <c r="AS17" s="125" t="s">
        <v>370</v>
      </c>
      <c r="AT17" s="125">
        <v>0</v>
      </c>
      <c r="AU17" s="125">
        <v>591</v>
      </c>
      <c r="AV17" s="125">
        <v>1659</v>
      </c>
      <c r="AW17" s="125">
        <v>0</v>
      </c>
      <c r="AX17" s="126"/>
      <c r="AY17" s="126"/>
      <c r="AZ17" s="126">
        <v>0</v>
      </c>
      <c r="BA17" s="126"/>
      <c r="BB17" s="125">
        <v>2519</v>
      </c>
      <c r="BC17" s="125"/>
      <c r="BD17" s="125">
        <v>43273</v>
      </c>
      <c r="BE17" s="125">
        <v>94036</v>
      </c>
      <c r="BF17" s="125">
        <v>136</v>
      </c>
      <c r="BG17" s="125">
        <v>0</v>
      </c>
      <c r="BH17" s="125">
        <v>0</v>
      </c>
      <c r="BI17" s="125">
        <v>2478</v>
      </c>
      <c r="BJ17" s="125">
        <v>196</v>
      </c>
      <c r="BK17" s="125">
        <v>2462</v>
      </c>
      <c r="BL17" s="125"/>
      <c r="BM17" s="125">
        <v>504</v>
      </c>
      <c r="BN17" s="125">
        <v>569</v>
      </c>
      <c r="BO17" s="125">
        <v>0</v>
      </c>
      <c r="BP17" s="125">
        <v>3452</v>
      </c>
      <c r="BQ17" s="125">
        <v>8232</v>
      </c>
      <c r="BR17" s="125">
        <v>26</v>
      </c>
      <c r="BS17" s="125">
        <v>0</v>
      </c>
      <c r="BT17" s="125">
        <v>0</v>
      </c>
      <c r="BU17" s="125"/>
      <c r="BV17" s="125">
        <v>5</v>
      </c>
      <c r="BW17" s="125">
        <v>377</v>
      </c>
      <c r="BX17" s="125"/>
      <c r="BY17" s="125">
        <v>4750</v>
      </c>
      <c r="BZ17" s="125">
        <v>0</v>
      </c>
      <c r="CA17" s="125">
        <v>0</v>
      </c>
      <c r="CB17" s="125">
        <v>6044</v>
      </c>
      <c r="CC17" s="125">
        <v>2972</v>
      </c>
      <c r="CD17" s="125">
        <v>2253</v>
      </c>
      <c r="CE17" s="125">
        <v>1946</v>
      </c>
      <c r="CF17" s="125">
        <v>0</v>
      </c>
      <c r="CG17" s="125">
        <v>1</v>
      </c>
      <c r="CH17" s="125">
        <v>183</v>
      </c>
      <c r="CI17" s="125">
        <v>869</v>
      </c>
      <c r="CJ17" s="125">
        <v>127</v>
      </c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 t="s">
        <v>370</v>
      </c>
      <c r="CZ17" s="125" t="s">
        <v>370</v>
      </c>
      <c r="DA17" s="125" t="s">
        <v>370</v>
      </c>
      <c r="DB17" s="125">
        <v>0</v>
      </c>
      <c r="DC17" s="125">
        <v>0</v>
      </c>
      <c r="DD17" s="125">
        <v>0</v>
      </c>
      <c r="DE17">
        <f t="shared" si="0"/>
        <v>276756</v>
      </c>
      <c r="DG17" s="1">
        <f t="shared" si="14"/>
        <v>176702</v>
      </c>
      <c r="DH17" s="1">
        <f t="shared" si="1"/>
        <v>96437</v>
      </c>
      <c r="DI17" s="127">
        <f t="shared" si="2"/>
        <v>273139</v>
      </c>
      <c r="DK17" s="1">
        <f t="shared" si="3"/>
        <v>47326</v>
      </c>
      <c r="DL17" s="1">
        <f t="shared" si="4"/>
        <v>49906</v>
      </c>
      <c r="DM17" s="1">
        <f t="shared" si="5"/>
        <v>0</v>
      </c>
      <c r="DN17" s="1">
        <f t="shared" si="6"/>
        <v>0</v>
      </c>
      <c r="DO17" s="1">
        <f t="shared" si="7"/>
        <v>117471</v>
      </c>
      <c r="DP17" s="1">
        <f t="shared" si="8"/>
        <v>47229</v>
      </c>
      <c r="DQ17" s="1">
        <f t="shared" si="15"/>
        <v>0</v>
      </c>
      <c r="DR17" s="1">
        <f t="shared" si="9"/>
        <v>6357</v>
      </c>
      <c r="DS17" s="1">
        <f t="shared" si="10"/>
        <v>0</v>
      </c>
      <c r="DT17" s="1">
        <f t="shared" si="11"/>
        <v>5482</v>
      </c>
      <c r="DU17" s="1"/>
      <c r="DV17" s="1"/>
      <c r="DW17" s="1"/>
      <c r="DX17" s="1">
        <f t="shared" si="16"/>
        <v>273771</v>
      </c>
      <c r="DZ17" s="1">
        <f t="shared" si="17"/>
        <v>0</v>
      </c>
      <c r="EA17" s="1">
        <f t="shared" si="12"/>
        <v>0</v>
      </c>
      <c r="EC17" s="1">
        <f t="shared" si="18"/>
        <v>273771</v>
      </c>
      <c r="ED17" s="1">
        <f t="shared" si="13"/>
        <v>-2985</v>
      </c>
      <c r="EE17" s="1"/>
    </row>
    <row r="18" spans="1:135" x14ac:dyDescent="0.25">
      <c r="A18" s="124">
        <v>32752</v>
      </c>
      <c r="B18" s="125">
        <v>0</v>
      </c>
      <c r="C18" s="125">
        <v>0</v>
      </c>
      <c r="D18" s="125">
        <v>0</v>
      </c>
      <c r="E18" s="125" t="s">
        <v>370</v>
      </c>
      <c r="F18" s="125" t="s">
        <v>370</v>
      </c>
      <c r="G18" s="125">
        <v>0</v>
      </c>
      <c r="H18" s="125">
        <v>0</v>
      </c>
      <c r="I18" s="125">
        <v>0</v>
      </c>
      <c r="J18" s="125">
        <v>0</v>
      </c>
      <c r="K18" s="125"/>
      <c r="L18" s="125">
        <v>32645</v>
      </c>
      <c r="M18" s="125">
        <v>2548</v>
      </c>
      <c r="N18" s="125"/>
      <c r="O18" s="125">
        <v>0</v>
      </c>
      <c r="P18" s="125">
        <v>0</v>
      </c>
      <c r="Q18" s="125">
        <v>1163</v>
      </c>
      <c r="R18" s="125">
        <v>935</v>
      </c>
      <c r="S18" s="125">
        <v>0</v>
      </c>
      <c r="T18" s="125"/>
      <c r="U18" s="125"/>
      <c r="V18" s="125">
        <v>10035</v>
      </c>
      <c r="W18" s="125">
        <v>0</v>
      </c>
      <c r="X18" s="125">
        <v>900</v>
      </c>
      <c r="Y18" s="125">
        <v>45</v>
      </c>
      <c r="Z18" s="126"/>
      <c r="AA18" s="125">
        <v>0</v>
      </c>
      <c r="AB18" s="125">
        <v>0</v>
      </c>
      <c r="AC18" s="125">
        <v>0</v>
      </c>
      <c r="AD18" s="125">
        <v>22</v>
      </c>
      <c r="AE18" s="125">
        <v>8</v>
      </c>
      <c r="AF18" s="125">
        <v>0</v>
      </c>
      <c r="AG18" s="125"/>
      <c r="AH18" s="125"/>
      <c r="AI18" s="125">
        <v>69</v>
      </c>
      <c r="AJ18" s="125">
        <v>0</v>
      </c>
      <c r="AK18" s="125">
        <v>41608</v>
      </c>
      <c r="AL18" s="125">
        <v>2467</v>
      </c>
      <c r="AM18" s="125">
        <v>0</v>
      </c>
      <c r="AN18" s="125">
        <v>0</v>
      </c>
      <c r="AO18" s="125">
        <v>0</v>
      </c>
      <c r="AP18" s="125">
        <v>0</v>
      </c>
      <c r="AQ18" s="125">
        <v>0</v>
      </c>
      <c r="AR18" s="125">
        <v>0</v>
      </c>
      <c r="AS18" s="125" t="s">
        <v>370</v>
      </c>
      <c r="AT18" s="125">
        <v>0</v>
      </c>
      <c r="AU18" s="125">
        <v>583</v>
      </c>
      <c r="AV18" s="125">
        <v>1296</v>
      </c>
      <c r="AW18" s="125">
        <v>0</v>
      </c>
      <c r="AX18" s="126"/>
      <c r="AY18" s="126"/>
      <c r="AZ18" s="126">
        <v>0</v>
      </c>
      <c r="BA18" s="126"/>
      <c r="BB18" s="125">
        <v>2113</v>
      </c>
      <c r="BC18" s="125"/>
      <c r="BD18" s="125">
        <v>43444</v>
      </c>
      <c r="BE18" s="125">
        <v>94599</v>
      </c>
      <c r="BF18" s="125">
        <v>166</v>
      </c>
      <c r="BG18" s="125">
        <v>0</v>
      </c>
      <c r="BH18" s="125">
        <v>0</v>
      </c>
      <c r="BI18" s="125">
        <v>2477</v>
      </c>
      <c r="BJ18" s="125">
        <v>185</v>
      </c>
      <c r="BK18" s="125">
        <v>2489</v>
      </c>
      <c r="BL18" s="125"/>
      <c r="BM18" s="125">
        <v>431</v>
      </c>
      <c r="BN18" s="125">
        <v>520</v>
      </c>
      <c r="BO18" s="125">
        <v>0</v>
      </c>
      <c r="BP18" s="125">
        <v>3516</v>
      </c>
      <c r="BQ18" s="125">
        <v>8444</v>
      </c>
      <c r="BR18" s="125">
        <v>26</v>
      </c>
      <c r="BS18" s="125">
        <v>0</v>
      </c>
      <c r="BT18" s="125">
        <v>0</v>
      </c>
      <c r="BU18" s="125"/>
      <c r="BV18" s="125">
        <v>5</v>
      </c>
      <c r="BW18" s="125">
        <v>350</v>
      </c>
      <c r="BX18" s="125"/>
      <c r="BY18" s="125">
        <v>4862</v>
      </c>
      <c r="BZ18" s="125">
        <v>0</v>
      </c>
      <c r="CA18" s="125">
        <v>0</v>
      </c>
      <c r="CB18" s="125">
        <v>6184</v>
      </c>
      <c r="CC18" s="125">
        <v>3470</v>
      </c>
      <c r="CD18" s="125">
        <v>2177</v>
      </c>
      <c r="CE18" s="125">
        <v>2150</v>
      </c>
      <c r="CF18" s="125">
        <v>0</v>
      </c>
      <c r="CG18" s="125">
        <v>1</v>
      </c>
      <c r="CH18" s="125">
        <v>173</v>
      </c>
      <c r="CI18" s="125">
        <v>884</v>
      </c>
      <c r="CJ18" s="125">
        <v>149</v>
      </c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 t="s">
        <v>370</v>
      </c>
      <c r="CZ18" s="125" t="s">
        <v>370</v>
      </c>
      <c r="DA18" s="125" t="s">
        <v>370</v>
      </c>
      <c r="DB18" s="125">
        <v>0</v>
      </c>
      <c r="DC18" s="125">
        <v>0</v>
      </c>
      <c r="DD18" s="125">
        <v>0</v>
      </c>
      <c r="DE18">
        <f t="shared" si="0"/>
        <v>273139</v>
      </c>
      <c r="DG18" s="1">
        <f t="shared" si="14"/>
        <v>176119</v>
      </c>
      <c r="DH18" s="1">
        <f t="shared" si="1"/>
        <v>95799</v>
      </c>
      <c r="DI18" s="127">
        <f t="shared" si="2"/>
        <v>271918</v>
      </c>
      <c r="DK18" s="1">
        <f t="shared" si="3"/>
        <v>46747</v>
      </c>
      <c r="DL18" s="1">
        <f t="shared" si="4"/>
        <v>49111</v>
      </c>
      <c r="DM18" s="1">
        <f t="shared" si="5"/>
        <v>0</v>
      </c>
      <c r="DN18" s="1">
        <f t="shared" si="6"/>
        <v>0</v>
      </c>
      <c r="DO18" s="1">
        <f t="shared" si="7"/>
        <v>117284</v>
      </c>
      <c r="DP18" s="1">
        <f t="shared" si="8"/>
        <v>47391</v>
      </c>
      <c r="DQ18" s="1">
        <f t="shared" si="15"/>
        <v>0</v>
      </c>
      <c r="DR18" s="1">
        <f t="shared" si="9"/>
        <v>6335</v>
      </c>
      <c r="DS18" s="1">
        <f t="shared" si="10"/>
        <v>0</v>
      </c>
      <c r="DT18" s="1">
        <f t="shared" si="11"/>
        <v>5454</v>
      </c>
      <c r="DU18" s="1"/>
      <c r="DV18" s="1"/>
      <c r="DW18" s="1"/>
      <c r="DX18" s="1">
        <f t="shared" si="16"/>
        <v>272322</v>
      </c>
      <c r="DZ18" s="1">
        <f t="shared" si="17"/>
        <v>0</v>
      </c>
      <c r="EA18" s="1">
        <f t="shared" si="12"/>
        <v>0</v>
      </c>
      <c r="EC18" s="1">
        <f t="shared" si="18"/>
        <v>272322</v>
      </c>
      <c r="ED18" s="1">
        <f t="shared" si="13"/>
        <v>-817</v>
      </c>
      <c r="EE18" s="1"/>
    </row>
    <row r="19" spans="1:135" x14ac:dyDescent="0.25">
      <c r="A19" s="124">
        <v>32782</v>
      </c>
      <c r="B19" s="125">
        <v>0</v>
      </c>
      <c r="C19" s="125">
        <v>0</v>
      </c>
      <c r="D19" s="125">
        <v>0</v>
      </c>
      <c r="E19" s="125" t="s">
        <v>370</v>
      </c>
      <c r="F19" s="125" t="s">
        <v>370</v>
      </c>
      <c r="G19" s="125">
        <v>0</v>
      </c>
      <c r="H19" s="125">
        <v>0</v>
      </c>
      <c r="I19" s="125">
        <v>0</v>
      </c>
      <c r="J19" s="125">
        <v>0</v>
      </c>
      <c r="K19" s="125"/>
      <c r="L19" s="125">
        <v>32757</v>
      </c>
      <c r="M19" s="125">
        <v>2544</v>
      </c>
      <c r="N19" s="125"/>
      <c r="O19" s="125">
        <v>0</v>
      </c>
      <c r="P19" s="125">
        <v>0</v>
      </c>
      <c r="Q19" s="125">
        <v>1161</v>
      </c>
      <c r="R19" s="125">
        <v>920</v>
      </c>
      <c r="S19" s="125">
        <v>0</v>
      </c>
      <c r="T19" s="125"/>
      <c r="U19" s="125"/>
      <c r="V19" s="125">
        <v>9365</v>
      </c>
      <c r="W19" s="125">
        <v>0</v>
      </c>
      <c r="X19" s="125">
        <v>909</v>
      </c>
      <c r="Y19" s="125">
        <v>45</v>
      </c>
      <c r="Z19" s="126"/>
      <c r="AA19" s="125">
        <v>0</v>
      </c>
      <c r="AB19" s="125">
        <v>0</v>
      </c>
      <c r="AC19" s="125">
        <v>0</v>
      </c>
      <c r="AD19" s="125">
        <v>24</v>
      </c>
      <c r="AE19" s="125">
        <v>8</v>
      </c>
      <c r="AF19" s="125">
        <v>0</v>
      </c>
      <c r="AG19" s="125"/>
      <c r="AH19" s="125"/>
      <c r="AI19" s="125">
        <v>63</v>
      </c>
      <c r="AJ19" s="125">
        <v>0</v>
      </c>
      <c r="AK19" s="125">
        <v>41692</v>
      </c>
      <c r="AL19" s="125">
        <v>2463</v>
      </c>
      <c r="AM19" s="125">
        <v>0</v>
      </c>
      <c r="AN19" s="125">
        <v>0</v>
      </c>
      <c r="AO19" s="125">
        <v>0</v>
      </c>
      <c r="AP19" s="125">
        <v>0</v>
      </c>
      <c r="AQ19" s="125">
        <v>0</v>
      </c>
      <c r="AR19" s="125">
        <v>0</v>
      </c>
      <c r="AS19" s="125" t="s">
        <v>370</v>
      </c>
      <c r="AT19" s="125">
        <v>0</v>
      </c>
      <c r="AU19" s="125">
        <v>577</v>
      </c>
      <c r="AV19" s="125">
        <v>1283</v>
      </c>
      <c r="AW19" s="125">
        <v>0</v>
      </c>
      <c r="AX19" s="126"/>
      <c r="AY19" s="126"/>
      <c r="AZ19" s="126">
        <v>0</v>
      </c>
      <c r="BA19" s="126"/>
      <c r="BB19" s="125">
        <v>1988</v>
      </c>
      <c r="BC19" s="125"/>
      <c r="BD19" s="125">
        <v>43204</v>
      </c>
      <c r="BE19" s="125">
        <v>94219</v>
      </c>
      <c r="BF19" s="125">
        <v>166</v>
      </c>
      <c r="BG19" s="125">
        <v>0</v>
      </c>
      <c r="BH19" s="125">
        <v>0</v>
      </c>
      <c r="BI19" s="125">
        <v>2480</v>
      </c>
      <c r="BJ19" s="125">
        <v>179</v>
      </c>
      <c r="BK19" s="125">
        <v>2463</v>
      </c>
      <c r="BL19" s="125"/>
      <c r="BM19" s="125">
        <v>423</v>
      </c>
      <c r="BN19" s="125">
        <v>515</v>
      </c>
      <c r="BO19" s="125">
        <v>0</v>
      </c>
      <c r="BP19" s="125">
        <v>3418</v>
      </c>
      <c r="BQ19" s="125">
        <v>8461</v>
      </c>
      <c r="BR19" s="125">
        <v>27</v>
      </c>
      <c r="BS19" s="125">
        <v>0</v>
      </c>
      <c r="BT19" s="125">
        <v>0</v>
      </c>
      <c r="BU19" s="125"/>
      <c r="BV19" s="125">
        <v>4</v>
      </c>
      <c r="BW19" s="125">
        <v>345</v>
      </c>
      <c r="BX19" s="125"/>
      <c r="BY19" s="125">
        <v>4800</v>
      </c>
      <c r="BZ19" s="125">
        <v>0</v>
      </c>
      <c r="CA19" s="125">
        <v>0</v>
      </c>
      <c r="CB19" s="125">
        <v>6167</v>
      </c>
      <c r="CC19" s="125">
        <v>3769</v>
      </c>
      <c r="CD19" s="125">
        <v>2111</v>
      </c>
      <c r="CE19" s="125">
        <v>2155</v>
      </c>
      <c r="CF19" s="125">
        <v>0</v>
      </c>
      <c r="CG19" s="125">
        <v>1</v>
      </c>
      <c r="CH19" s="125">
        <v>168</v>
      </c>
      <c r="CI19" s="125">
        <v>877</v>
      </c>
      <c r="CJ19" s="125">
        <v>167</v>
      </c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 t="s">
        <v>370</v>
      </c>
      <c r="CZ19" s="125" t="s">
        <v>370</v>
      </c>
      <c r="DA19" s="125" t="s">
        <v>370</v>
      </c>
      <c r="DB19" s="125">
        <v>0</v>
      </c>
      <c r="DC19" s="125">
        <v>0</v>
      </c>
      <c r="DD19" s="125">
        <v>0</v>
      </c>
      <c r="DE19">
        <f t="shared" si="0"/>
        <v>271918</v>
      </c>
      <c r="DG19" s="1">
        <f t="shared" si="14"/>
        <v>177974</v>
      </c>
      <c r="DH19" s="1">
        <f t="shared" si="1"/>
        <v>106832</v>
      </c>
      <c r="DI19" s="127">
        <f t="shared" si="2"/>
        <v>284806</v>
      </c>
      <c r="DK19" s="1">
        <f t="shared" si="3"/>
        <v>52852</v>
      </c>
      <c r="DL19" s="1">
        <f t="shared" si="4"/>
        <v>49052</v>
      </c>
      <c r="DM19" s="1">
        <f t="shared" si="5"/>
        <v>2621</v>
      </c>
      <c r="DN19" s="1">
        <f t="shared" si="6"/>
        <v>988</v>
      </c>
      <c r="DO19" s="1">
        <f t="shared" si="7"/>
        <v>118745</v>
      </c>
      <c r="DP19" s="1">
        <f t="shared" si="8"/>
        <v>47045</v>
      </c>
      <c r="DQ19" s="1">
        <f t="shared" si="15"/>
        <v>0</v>
      </c>
      <c r="DR19" s="1">
        <f t="shared" si="9"/>
        <v>6259</v>
      </c>
      <c r="DS19" s="1">
        <f t="shared" si="10"/>
        <v>0</v>
      </c>
      <c r="DT19" s="1">
        <f t="shared" si="11"/>
        <v>5529</v>
      </c>
      <c r="DU19" s="1"/>
      <c r="DV19" s="1"/>
      <c r="DW19" s="1"/>
      <c r="DX19" s="1">
        <f t="shared" si="16"/>
        <v>283091</v>
      </c>
      <c r="DZ19" s="1">
        <f t="shared" si="17"/>
        <v>0</v>
      </c>
      <c r="EA19" s="1">
        <f t="shared" si="12"/>
        <v>0</v>
      </c>
      <c r="EC19" s="1">
        <f t="shared" si="18"/>
        <v>283091</v>
      </c>
      <c r="ED19" s="1">
        <f t="shared" si="13"/>
        <v>11173</v>
      </c>
      <c r="EE19" s="1"/>
    </row>
    <row r="20" spans="1:135" x14ac:dyDescent="0.25">
      <c r="A20" s="124">
        <v>32813</v>
      </c>
      <c r="B20" s="125">
        <v>0</v>
      </c>
      <c r="C20" s="125">
        <v>0</v>
      </c>
      <c r="D20" s="125">
        <v>0</v>
      </c>
      <c r="E20" s="125" t="s">
        <v>370</v>
      </c>
      <c r="F20" s="125" t="s">
        <v>370</v>
      </c>
      <c r="G20" s="125">
        <v>0</v>
      </c>
      <c r="H20" s="125">
        <v>0</v>
      </c>
      <c r="I20" s="125">
        <v>0</v>
      </c>
      <c r="J20" s="125">
        <v>0</v>
      </c>
      <c r="K20" s="125"/>
      <c r="L20" s="125">
        <v>32944</v>
      </c>
      <c r="M20" s="125">
        <v>2536</v>
      </c>
      <c r="N20" s="125"/>
      <c r="O20" s="125">
        <v>5128</v>
      </c>
      <c r="P20" s="125">
        <v>922</v>
      </c>
      <c r="Q20" s="125">
        <v>1175</v>
      </c>
      <c r="R20" s="125">
        <v>919</v>
      </c>
      <c r="S20" s="125">
        <v>2621</v>
      </c>
      <c r="T20" s="125"/>
      <c r="U20" s="125"/>
      <c r="V20" s="125">
        <v>9228</v>
      </c>
      <c r="W20" s="125">
        <v>0</v>
      </c>
      <c r="X20" s="125">
        <v>903</v>
      </c>
      <c r="Y20" s="125">
        <v>45</v>
      </c>
      <c r="Z20" s="126"/>
      <c r="AA20" s="125">
        <v>10</v>
      </c>
      <c r="AB20" s="125">
        <v>0</v>
      </c>
      <c r="AC20" s="125">
        <v>8</v>
      </c>
      <c r="AD20" s="125">
        <v>20</v>
      </c>
      <c r="AE20" s="125">
        <v>9</v>
      </c>
      <c r="AF20" s="125">
        <v>18</v>
      </c>
      <c r="AG20" s="125"/>
      <c r="AH20" s="125"/>
      <c r="AI20" s="125">
        <v>62</v>
      </c>
      <c r="AJ20" s="125">
        <v>0</v>
      </c>
      <c r="AK20" s="125">
        <v>41893</v>
      </c>
      <c r="AL20" s="125">
        <v>2467</v>
      </c>
      <c r="AM20" s="125">
        <v>0</v>
      </c>
      <c r="AN20" s="125">
        <v>0</v>
      </c>
      <c r="AO20" s="125">
        <v>0</v>
      </c>
      <c r="AP20" s="125">
        <v>0</v>
      </c>
      <c r="AQ20" s="125">
        <v>0</v>
      </c>
      <c r="AR20" s="125">
        <v>554</v>
      </c>
      <c r="AS20" s="125" t="s">
        <v>370</v>
      </c>
      <c r="AT20" s="125">
        <v>604</v>
      </c>
      <c r="AU20" s="125">
        <v>595</v>
      </c>
      <c r="AV20" s="125">
        <v>1274</v>
      </c>
      <c r="AW20" s="125">
        <v>970</v>
      </c>
      <c r="AX20" s="126"/>
      <c r="AY20" s="126"/>
      <c r="AZ20" s="126">
        <v>0</v>
      </c>
      <c r="BA20" s="126"/>
      <c r="BB20" s="125">
        <v>1927</v>
      </c>
      <c r="BC20" s="125"/>
      <c r="BD20" s="125">
        <v>43569</v>
      </c>
      <c r="BE20" s="125">
        <v>95010</v>
      </c>
      <c r="BF20" s="125">
        <v>168</v>
      </c>
      <c r="BG20" s="125">
        <v>0</v>
      </c>
      <c r="BH20" s="125">
        <v>0</v>
      </c>
      <c r="BI20" s="125">
        <v>2514</v>
      </c>
      <c r="BJ20" s="125">
        <v>172</v>
      </c>
      <c r="BK20" s="125">
        <v>2508</v>
      </c>
      <c r="BL20" s="125"/>
      <c r="BM20" s="125">
        <v>451</v>
      </c>
      <c r="BN20" s="125">
        <v>543</v>
      </c>
      <c r="BO20" s="125">
        <v>0</v>
      </c>
      <c r="BP20" s="125">
        <v>3420</v>
      </c>
      <c r="BQ20" s="125">
        <v>8499</v>
      </c>
      <c r="BR20" s="125">
        <v>28</v>
      </c>
      <c r="BS20" s="125">
        <v>0</v>
      </c>
      <c r="BT20" s="125">
        <v>0</v>
      </c>
      <c r="BU20" s="125"/>
      <c r="BV20" s="125">
        <v>4</v>
      </c>
      <c r="BW20" s="125">
        <v>339</v>
      </c>
      <c r="BX20" s="125"/>
      <c r="BY20" s="125">
        <v>4881</v>
      </c>
      <c r="BZ20" s="125">
        <v>0</v>
      </c>
      <c r="CA20" s="125">
        <v>0</v>
      </c>
      <c r="CB20" s="125">
        <v>6097</v>
      </c>
      <c r="CC20" s="125">
        <v>4224</v>
      </c>
      <c r="CD20" s="125">
        <v>2064</v>
      </c>
      <c r="CE20" s="125">
        <v>2255</v>
      </c>
      <c r="CF20" s="125">
        <v>0</v>
      </c>
      <c r="CG20" s="125">
        <v>1</v>
      </c>
      <c r="CH20" s="125">
        <v>162</v>
      </c>
      <c r="CI20" s="125">
        <v>890</v>
      </c>
      <c r="CJ20" s="125">
        <v>175</v>
      </c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 t="s">
        <v>370</v>
      </c>
      <c r="CZ20" s="125" t="s">
        <v>370</v>
      </c>
      <c r="DA20" s="125" t="s">
        <v>370</v>
      </c>
      <c r="DB20" s="125">
        <v>0</v>
      </c>
      <c r="DC20" s="125">
        <v>0</v>
      </c>
      <c r="DD20" s="125">
        <v>0</v>
      </c>
      <c r="DE20">
        <f t="shared" si="0"/>
        <v>284806</v>
      </c>
      <c r="DG20" s="1">
        <f t="shared" si="14"/>
        <v>180743</v>
      </c>
      <c r="DH20" s="1">
        <f t="shared" si="1"/>
        <v>107949</v>
      </c>
      <c r="DI20" s="127">
        <f t="shared" si="2"/>
        <v>288692</v>
      </c>
      <c r="DK20" s="1">
        <f t="shared" si="3"/>
        <v>53132</v>
      </c>
      <c r="DL20" s="1">
        <f t="shared" si="4"/>
        <v>50371</v>
      </c>
      <c r="DM20" s="1">
        <f t="shared" si="5"/>
        <v>2977</v>
      </c>
      <c r="DN20" s="1">
        <f t="shared" si="6"/>
        <v>1097</v>
      </c>
      <c r="DO20" s="1">
        <f t="shared" si="7"/>
        <v>120771</v>
      </c>
      <c r="DP20" s="1">
        <f t="shared" si="8"/>
        <v>47440</v>
      </c>
      <c r="DQ20" s="1">
        <f t="shared" si="15"/>
        <v>0</v>
      </c>
      <c r="DR20" s="1">
        <f t="shared" si="9"/>
        <v>6377</v>
      </c>
      <c r="DS20" s="1">
        <f t="shared" si="10"/>
        <v>0</v>
      </c>
      <c r="DT20" s="1">
        <f t="shared" si="11"/>
        <v>5579</v>
      </c>
      <c r="DU20" s="1"/>
      <c r="DV20" s="1"/>
      <c r="DW20" s="1"/>
      <c r="DX20" s="1">
        <f t="shared" si="16"/>
        <v>287744</v>
      </c>
      <c r="DZ20" s="1">
        <f t="shared" si="17"/>
        <v>0</v>
      </c>
      <c r="EA20" s="1">
        <f t="shared" si="12"/>
        <v>0</v>
      </c>
      <c r="EC20" s="1">
        <f t="shared" si="18"/>
        <v>287744</v>
      </c>
      <c r="ED20" s="1">
        <f t="shared" si="13"/>
        <v>2938</v>
      </c>
      <c r="EE20" s="1"/>
    </row>
    <row r="21" spans="1:135" x14ac:dyDescent="0.25">
      <c r="A21" s="124">
        <v>32843</v>
      </c>
      <c r="B21" s="125">
        <v>0</v>
      </c>
      <c r="C21" s="125">
        <v>0</v>
      </c>
      <c r="D21" s="125">
        <v>0</v>
      </c>
      <c r="E21" s="125" t="s">
        <v>370</v>
      </c>
      <c r="F21" s="125" t="s">
        <v>370</v>
      </c>
      <c r="G21" s="125">
        <v>0</v>
      </c>
      <c r="H21" s="125">
        <v>0</v>
      </c>
      <c r="I21" s="125">
        <v>0</v>
      </c>
      <c r="J21" s="125">
        <v>0</v>
      </c>
      <c r="K21" s="125"/>
      <c r="L21" s="125">
        <v>33048</v>
      </c>
      <c r="M21" s="125">
        <v>2535</v>
      </c>
      <c r="N21" s="125"/>
      <c r="O21" s="125">
        <v>5161</v>
      </c>
      <c r="P21" s="125">
        <v>970</v>
      </c>
      <c r="Q21" s="125">
        <v>1181</v>
      </c>
      <c r="R21" s="125">
        <v>922</v>
      </c>
      <c r="S21" s="125">
        <v>2977</v>
      </c>
      <c r="T21" s="125"/>
      <c r="U21" s="125"/>
      <c r="V21" s="125">
        <v>9315</v>
      </c>
      <c r="W21" s="125">
        <v>0</v>
      </c>
      <c r="X21" s="125">
        <v>906</v>
      </c>
      <c r="Y21" s="125">
        <v>41</v>
      </c>
      <c r="Z21" s="126"/>
      <c r="AA21" s="125">
        <v>11</v>
      </c>
      <c r="AB21" s="125">
        <v>0</v>
      </c>
      <c r="AC21" s="125">
        <v>9</v>
      </c>
      <c r="AD21" s="125">
        <v>20</v>
      </c>
      <c r="AE21" s="125">
        <v>9</v>
      </c>
      <c r="AF21" s="125">
        <v>19</v>
      </c>
      <c r="AG21" s="125"/>
      <c r="AH21" s="125"/>
      <c r="AI21" s="125">
        <v>59</v>
      </c>
      <c r="AJ21" s="125">
        <v>0</v>
      </c>
      <c r="AK21" s="125">
        <v>42121</v>
      </c>
      <c r="AL21" s="125">
        <v>2492</v>
      </c>
      <c r="AM21" s="125">
        <v>0</v>
      </c>
      <c r="AN21" s="125">
        <v>0</v>
      </c>
      <c r="AO21" s="125">
        <v>0</v>
      </c>
      <c r="AP21" s="125">
        <v>0</v>
      </c>
      <c r="AQ21" s="125">
        <v>0</v>
      </c>
      <c r="AR21" s="125">
        <v>625</v>
      </c>
      <c r="AS21" s="125" t="s">
        <v>370</v>
      </c>
      <c r="AT21" s="125">
        <v>609</v>
      </c>
      <c r="AU21" s="125">
        <v>607</v>
      </c>
      <c r="AV21" s="125">
        <v>1279</v>
      </c>
      <c r="AW21" s="125">
        <v>1078</v>
      </c>
      <c r="AX21" s="126"/>
      <c r="AY21" s="126"/>
      <c r="AZ21" s="126">
        <v>0</v>
      </c>
      <c r="BA21" s="126"/>
      <c r="BB21" s="125">
        <v>1955</v>
      </c>
      <c r="BC21" s="125"/>
      <c r="BD21" s="125">
        <v>44169</v>
      </c>
      <c r="BE21" s="125">
        <v>96376</v>
      </c>
      <c r="BF21" s="125">
        <v>167</v>
      </c>
      <c r="BG21" s="125">
        <v>0</v>
      </c>
      <c r="BH21" s="125">
        <v>0</v>
      </c>
      <c r="BI21" s="125">
        <v>2549</v>
      </c>
      <c r="BJ21" s="125">
        <v>170</v>
      </c>
      <c r="BK21" s="125">
        <v>2531</v>
      </c>
      <c r="BL21" s="125"/>
      <c r="BM21" s="125">
        <v>462</v>
      </c>
      <c r="BN21" s="125">
        <v>553</v>
      </c>
      <c r="BO21" s="125">
        <v>0</v>
      </c>
      <c r="BP21" s="125">
        <v>3384</v>
      </c>
      <c r="BQ21" s="125">
        <v>8443</v>
      </c>
      <c r="BR21" s="125">
        <v>28</v>
      </c>
      <c r="BS21" s="125">
        <v>0</v>
      </c>
      <c r="BT21" s="125">
        <v>0</v>
      </c>
      <c r="BU21" s="125"/>
      <c r="BV21" s="125">
        <v>5</v>
      </c>
      <c r="BW21" s="125">
        <v>332</v>
      </c>
      <c r="BX21" s="125"/>
      <c r="BY21" s="125">
        <v>5020</v>
      </c>
      <c r="BZ21" s="125">
        <v>0</v>
      </c>
      <c r="CA21" s="125">
        <v>0</v>
      </c>
      <c r="CB21" s="125">
        <v>6202</v>
      </c>
      <c r="CC21" s="125">
        <v>4622</v>
      </c>
      <c r="CD21" s="125">
        <v>2049</v>
      </c>
      <c r="CE21" s="125">
        <v>2386</v>
      </c>
      <c r="CF21" s="125">
        <v>0</v>
      </c>
      <c r="CG21" s="125">
        <v>1</v>
      </c>
      <c r="CH21" s="125">
        <v>175</v>
      </c>
      <c r="CI21" s="125">
        <v>931</v>
      </c>
      <c r="CJ21" s="125">
        <v>188</v>
      </c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 t="s">
        <v>370</v>
      </c>
      <c r="CZ21" s="125" t="s">
        <v>370</v>
      </c>
      <c r="DA21" s="125" t="s">
        <v>370</v>
      </c>
      <c r="DB21" s="125">
        <v>0</v>
      </c>
      <c r="DC21" s="125">
        <v>0</v>
      </c>
      <c r="DD21" s="125">
        <v>0</v>
      </c>
      <c r="DE21">
        <f t="shared" si="0"/>
        <v>288692</v>
      </c>
      <c r="DG21" s="1">
        <f t="shared" si="14"/>
        <v>181671</v>
      </c>
      <c r="DH21" s="1">
        <f t="shared" si="1"/>
        <v>108511</v>
      </c>
      <c r="DI21" s="127">
        <f t="shared" si="2"/>
        <v>290182</v>
      </c>
      <c r="DK21" s="1">
        <f t="shared" si="3"/>
        <v>53305</v>
      </c>
      <c r="DL21" s="1">
        <f t="shared" si="4"/>
        <v>50743</v>
      </c>
      <c r="DM21" s="1">
        <f t="shared" si="5"/>
        <v>3187</v>
      </c>
      <c r="DN21" s="1">
        <f t="shared" si="6"/>
        <v>1142</v>
      </c>
      <c r="DO21" s="1">
        <f t="shared" si="7"/>
        <v>121303</v>
      </c>
      <c r="DP21" s="1">
        <f t="shared" si="8"/>
        <v>48015</v>
      </c>
      <c r="DQ21" s="1">
        <f t="shared" si="15"/>
        <v>0</v>
      </c>
      <c r="DR21" s="1">
        <f t="shared" si="9"/>
        <v>6381</v>
      </c>
      <c r="DS21" s="1">
        <f t="shared" si="10"/>
        <v>0</v>
      </c>
      <c r="DT21" s="1">
        <f t="shared" si="11"/>
        <v>5636</v>
      </c>
      <c r="DU21" s="1"/>
      <c r="DV21" s="1"/>
      <c r="DW21" s="1"/>
      <c r="DX21" s="1">
        <f t="shared" si="16"/>
        <v>289712</v>
      </c>
      <c r="DZ21" s="1">
        <f t="shared" si="17"/>
        <v>0</v>
      </c>
      <c r="EA21" s="1">
        <f t="shared" si="12"/>
        <v>0</v>
      </c>
      <c r="EC21" s="1">
        <f t="shared" si="18"/>
        <v>289712</v>
      </c>
      <c r="ED21" s="1">
        <f t="shared" si="13"/>
        <v>1020</v>
      </c>
      <c r="EE21" s="1"/>
    </row>
    <row r="22" spans="1:135" x14ac:dyDescent="0.25">
      <c r="A22" s="124">
        <v>32874</v>
      </c>
      <c r="B22" s="125">
        <v>0</v>
      </c>
      <c r="C22" s="125">
        <v>0</v>
      </c>
      <c r="D22" s="125">
        <v>0</v>
      </c>
      <c r="E22" s="125" t="s">
        <v>370</v>
      </c>
      <c r="F22" s="125" t="s">
        <v>370</v>
      </c>
      <c r="G22" s="125">
        <v>0</v>
      </c>
      <c r="H22" s="125">
        <v>0</v>
      </c>
      <c r="I22" s="125">
        <v>0</v>
      </c>
      <c r="J22" s="125">
        <v>0</v>
      </c>
      <c r="K22" s="125"/>
      <c r="L22" s="125">
        <v>33136</v>
      </c>
      <c r="M22" s="125">
        <v>2543</v>
      </c>
      <c r="N22" s="125"/>
      <c r="O22" s="125">
        <v>5176</v>
      </c>
      <c r="P22" s="125">
        <v>996</v>
      </c>
      <c r="Q22" s="125">
        <v>1173</v>
      </c>
      <c r="R22" s="125">
        <v>915</v>
      </c>
      <c r="S22" s="125">
        <v>3187</v>
      </c>
      <c r="T22" s="125"/>
      <c r="U22" s="125"/>
      <c r="V22" s="125">
        <v>9366</v>
      </c>
      <c r="W22" s="125">
        <v>0</v>
      </c>
      <c r="X22" s="125">
        <v>914</v>
      </c>
      <c r="Y22" s="125">
        <v>41</v>
      </c>
      <c r="Z22" s="126"/>
      <c r="AA22" s="125">
        <v>11</v>
      </c>
      <c r="AB22" s="125">
        <v>0</v>
      </c>
      <c r="AC22" s="125">
        <v>9</v>
      </c>
      <c r="AD22" s="125">
        <v>19</v>
      </c>
      <c r="AE22" s="125">
        <v>9</v>
      </c>
      <c r="AF22" s="125">
        <v>19</v>
      </c>
      <c r="AG22" s="125"/>
      <c r="AH22" s="125"/>
      <c r="AI22" s="125">
        <v>58</v>
      </c>
      <c r="AJ22" s="125">
        <v>0</v>
      </c>
      <c r="AK22" s="125">
        <v>42250</v>
      </c>
      <c r="AL22" s="125">
        <v>2492</v>
      </c>
      <c r="AM22" s="125">
        <v>0</v>
      </c>
      <c r="AN22" s="125">
        <v>0</v>
      </c>
      <c r="AO22" s="125">
        <v>0</v>
      </c>
      <c r="AP22" s="125">
        <v>0</v>
      </c>
      <c r="AQ22" s="125">
        <v>0</v>
      </c>
      <c r="AR22" s="125">
        <v>661</v>
      </c>
      <c r="AS22" s="125" t="s">
        <v>370</v>
      </c>
      <c r="AT22" s="125">
        <v>611</v>
      </c>
      <c r="AU22" s="125">
        <v>609</v>
      </c>
      <c r="AV22" s="125">
        <v>1277</v>
      </c>
      <c r="AW22" s="125">
        <v>1123</v>
      </c>
      <c r="AX22" s="126"/>
      <c r="AY22" s="126"/>
      <c r="AZ22" s="126">
        <v>0</v>
      </c>
      <c r="BA22" s="126"/>
      <c r="BB22" s="125">
        <v>1916</v>
      </c>
      <c r="BC22" s="125"/>
      <c r="BD22" s="125">
        <v>44625</v>
      </c>
      <c r="BE22" s="125">
        <v>97221</v>
      </c>
      <c r="BF22" s="125">
        <v>168</v>
      </c>
      <c r="BG22" s="125">
        <v>0</v>
      </c>
      <c r="BH22" s="125">
        <v>0</v>
      </c>
      <c r="BI22" s="125">
        <v>2568</v>
      </c>
      <c r="BJ22" s="125">
        <v>180</v>
      </c>
      <c r="BK22" s="125">
        <v>2574</v>
      </c>
      <c r="BL22" s="125"/>
      <c r="BM22" s="125">
        <v>462</v>
      </c>
      <c r="BN22" s="125">
        <v>153</v>
      </c>
      <c r="BO22" s="125">
        <v>0</v>
      </c>
      <c r="BP22" s="125">
        <v>3263</v>
      </c>
      <c r="BQ22" s="125">
        <v>8214</v>
      </c>
      <c r="BR22" s="125">
        <v>26</v>
      </c>
      <c r="BS22" s="125">
        <v>0</v>
      </c>
      <c r="BT22" s="125">
        <v>0</v>
      </c>
      <c r="BU22" s="125"/>
      <c r="BV22" s="125">
        <v>6</v>
      </c>
      <c r="BW22" s="125">
        <v>326</v>
      </c>
      <c r="BX22" s="125"/>
      <c r="BY22" s="125">
        <v>5068</v>
      </c>
      <c r="BZ22" s="125">
        <v>0</v>
      </c>
      <c r="CA22" s="125">
        <v>0</v>
      </c>
      <c r="CB22" s="125">
        <v>6220</v>
      </c>
      <c r="CC22" s="125">
        <v>4913</v>
      </c>
      <c r="CD22" s="125">
        <v>2031</v>
      </c>
      <c r="CE22" s="125">
        <v>2376</v>
      </c>
      <c r="CF22" s="125">
        <v>0</v>
      </c>
      <c r="CG22" s="125">
        <v>1</v>
      </c>
      <c r="CH22" s="125">
        <v>161</v>
      </c>
      <c r="CI22" s="125">
        <v>934</v>
      </c>
      <c r="CJ22" s="125">
        <v>181</v>
      </c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 t="s">
        <v>370</v>
      </c>
      <c r="CZ22" s="125" t="s">
        <v>370</v>
      </c>
      <c r="DA22" s="125" t="s">
        <v>370</v>
      </c>
      <c r="DB22" s="125">
        <v>0</v>
      </c>
      <c r="DC22" s="125">
        <v>0</v>
      </c>
      <c r="DD22" s="125">
        <v>0</v>
      </c>
      <c r="DE22">
        <f t="shared" si="0"/>
        <v>290182</v>
      </c>
      <c r="DG22" s="1">
        <f t="shared" si="14"/>
        <v>184444</v>
      </c>
      <c r="DH22" s="1">
        <f t="shared" si="1"/>
        <v>109338</v>
      </c>
      <c r="DI22" s="127">
        <f t="shared" si="2"/>
        <v>293782</v>
      </c>
      <c r="DK22" s="1">
        <f t="shared" si="3"/>
        <v>53464</v>
      </c>
      <c r="DL22" s="1">
        <f t="shared" si="4"/>
        <v>50877</v>
      </c>
      <c r="DM22" s="1">
        <f t="shared" si="5"/>
        <v>3354</v>
      </c>
      <c r="DN22" s="1">
        <f t="shared" si="6"/>
        <v>1224</v>
      </c>
      <c r="DO22" s="1">
        <f t="shared" si="7"/>
        <v>123200</v>
      </c>
      <c r="DP22" s="1">
        <f t="shared" si="8"/>
        <v>48350</v>
      </c>
      <c r="DQ22" s="1">
        <f t="shared" si="15"/>
        <v>0</v>
      </c>
      <c r="DR22" s="1">
        <f t="shared" si="9"/>
        <v>6741</v>
      </c>
      <c r="DS22" s="1">
        <f t="shared" si="10"/>
        <v>0</v>
      </c>
      <c r="DT22" s="1">
        <f t="shared" si="11"/>
        <v>5698</v>
      </c>
      <c r="DU22" s="1"/>
      <c r="DV22" s="1"/>
      <c r="DW22" s="1"/>
      <c r="DX22" s="1">
        <f t="shared" si="16"/>
        <v>292908</v>
      </c>
      <c r="DZ22" s="1">
        <f t="shared" si="17"/>
        <v>0</v>
      </c>
      <c r="EA22" s="1">
        <f t="shared" si="12"/>
        <v>0</v>
      </c>
      <c r="EC22" s="1">
        <f t="shared" si="18"/>
        <v>292908</v>
      </c>
      <c r="ED22" s="1">
        <f t="shared" si="13"/>
        <v>2726</v>
      </c>
      <c r="EE22" s="1"/>
    </row>
    <row r="23" spans="1:135" x14ac:dyDescent="0.25">
      <c r="A23" s="124">
        <v>32905</v>
      </c>
      <c r="B23" s="125">
        <v>0</v>
      </c>
      <c r="C23" s="125">
        <v>0</v>
      </c>
      <c r="D23" s="125">
        <v>0</v>
      </c>
      <c r="E23" s="125" t="s">
        <v>370</v>
      </c>
      <c r="F23" s="125" t="s">
        <v>370</v>
      </c>
      <c r="G23" s="125">
        <v>0</v>
      </c>
      <c r="H23" s="125">
        <v>0</v>
      </c>
      <c r="I23" s="125">
        <v>0</v>
      </c>
      <c r="J23" s="125">
        <v>0</v>
      </c>
      <c r="K23" s="125"/>
      <c r="L23" s="125">
        <v>33290</v>
      </c>
      <c r="M23" s="125">
        <v>2546</v>
      </c>
      <c r="N23" s="125"/>
      <c r="O23" s="125">
        <v>5193</v>
      </c>
      <c r="P23" s="125">
        <v>988</v>
      </c>
      <c r="Q23" s="125">
        <v>1170</v>
      </c>
      <c r="R23" s="125">
        <v>917</v>
      </c>
      <c r="S23" s="125">
        <v>3354</v>
      </c>
      <c r="T23" s="125"/>
      <c r="U23" s="125"/>
      <c r="V23" s="125">
        <v>9360</v>
      </c>
      <c r="W23" s="125">
        <v>0</v>
      </c>
      <c r="X23" s="125">
        <v>916</v>
      </c>
      <c r="Y23" s="125">
        <v>39</v>
      </c>
      <c r="Z23" s="126"/>
      <c r="AA23" s="125">
        <v>15</v>
      </c>
      <c r="AB23" s="125">
        <v>0</v>
      </c>
      <c r="AC23" s="125">
        <v>9</v>
      </c>
      <c r="AD23" s="125">
        <v>18</v>
      </c>
      <c r="AE23" s="125">
        <v>9</v>
      </c>
      <c r="AF23" s="125">
        <v>23</v>
      </c>
      <c r="AG23" s="125"/>
      <c r="AH23" s="125"/>
      <c r="AI23" s="125">
        <v>61</v>
      </c>
      <c r="AJ23" s="125">
        <v>0</v>
      </c>
      <c r="AK23" s="125">
        <v>42603</v>
      </c>
      <c r="AL23" s="125">
        <v>2496</v>
      </c>
      <c r="AM23" s="125">
        <v>0</v>
      </c>
      <c r="AN23" s="125">
        <v>0</v>
      </c>
      <c r="AO23" s="125">
        <v>0</v>
      </c>
      <c r="AP23" s="125">
        <v>0</v>
      </c>
      <c r="AQ23" s="125">
        <v>0</v>
      </c>
      <c r="AR23" s="125">
        <v>704</v>
      </c>
      <c r="AS23" s="125" t="s">
        <v>370</v>
      </c>
      <c r="AT23" s="125">
        <v>623</v>
      </c>
      <c r="AU23" s="125">
        <v>635</v>
      </c>
      <c r="AV23" s="125">
        <v>1267</v>
      </c>
      <c r="AW23" s="125">
        <v>1201</v>
      </c>
      <c r="AX23" s="126"/>
      <c r="AY23" s="126"/>
      <c r="AZ23" s="126">
        <v>0</v>
      </c>
      <c r="BA23" s="126"/>
      <c r="BB23" s="125">
        <v>1901</v>
      </c>
      <c r="BC23" s="125"/>
      <c r="BD23" s="125">
        <v>45256</v>
      </c>
      <c r="BE23" s="125">
        <v>98544</v>
      </c>
      <c r="BF23" s="125">
        <v>173</v>
      </c>
      <c r="BG23" s="125">
        <v>0</v>
      </c>
      <c r="BH23" s="125">
        <v>0</v>
      </c>
      <c r="BI23" s="125">
        <v>2602</v>
      </c>
      <c r="BJ23" s="125">
        <v>182</v>
      </c>
      <c r="BK23" s="125">
        <v>2592</v>
      </c>
      <c r="BL23" s="125"/>
      <c r="BM23" s="125">
        <v>474</v>
      </c>
      <c r="BN23" s="125">
        <v>179</v>
      </c>
      <c r="BO23" s="125">
        <v>0</v>
      </c>
      <c r="BP23" s="125">
        <v>3074</v>
      </c>
      <c r="BQ23" s="125">
        <v>7901</v>
      </c>
      <c r="BR23" s="125">
        <v>26</v>
      </c>
      <c r="BS23" s="125">
        <v>0</v>
      </c>
      <c r="BT23" s="125">
        <v>0</v>
      </c>
      <c r="BU23" s="125"/>
      <c r="BV23" s="125">
        <v>7</v>
      </c>
      <c r="BW23" s="125">
        <v>331</v>
      </c>
      <c r="BX23" s="125"/>
      <c r="BY23" s="125">
        <v>5171</v>
      </c>
      <c r="BZ23" s="125">
        <v>0</v>
      </c>
      <c r="CA23" s="125">
        <v>0</v>
      </c>
      <c r="CB23" s="125">
        <v>6585</v>
      </c>
      <c r="CC23" s="125">
        <v>5373</v>
      </c>
      <c r="CD23" s="125">
        <v>2052</v>
      </c>
      <c r="CE23" s="125">
        <v>2547</v>
      </c>
      <c r="CF23" s="125">
        <v>0</v>
      </c>
      <c r="CG23" s="125">
        <v>1</v>
      </c>
      <c r="CH23" s="125">
        <v>156</v>
      </c>
      <c r="CI23" s="125">
        <v>1042</v>
      </c>
      <c r="CJ23" s="125">
        <v>176</v>
      </c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 t="s">
        <v>370</v>
      </c>
      <c r="CZ23" s="125" t="s">
        <v>370</v>
      </c>
      <c r="DA23" s="125" t="s">
        <v>370</v>
      </c>
      <c r="DB23" s="125">
        <v>0</v>
      </c>
      <c r="DC23" s="125">
        <v>0</v>
      </c>
      <c r="DD23" s="125">
        <v>0</v>
      </c>
      <c r="DE23">
        <f t="shared" si="0"/>
        <v>293782</v>
      </c>
      <c r="DG23" s="1">
        <f t="shared" si="14"/>
        <v>187162</v>
      </c>
      <c r="DH23" s="1">
        <f t="shared" si="1"/>
        <v>109959</v>
      </c>
      <c r="DI23" s="127">
        <f t="shared" si="2"/>
        <v>297121</v>
      </c>
      <c r="DK23" s="1">
        <f t="shared" si="3"/>
        <v>53510</v>
      </c>
      <c r="DL23" s="1">
        <f t="shared" si="4"/>
        <v>51296</v>
      </c>
      <c r="DM23" s="1">
        <f t="shared" si="5"/>
        <v>3604</v>
      </c>
      <c r="DN23" s="1">
        <f t="shared" si="6"/>
        <v>1292</v>
      </c>
      <c r="DO23" s="1">
        <f t="shared" si="7"/>
        <v>124930</v>
      </c>
      <c r="DP23" s="1">
        <f t="shared" si="8"/>
        <v>48804</v>
      </c>
      <c r="DQ23" s="1">
        <f t="shared" si="15"/>
        <v>0</v>
      </c>
      <c r="DR23" s="1">
        <f t="shared" si="9"/>
        <v>7231</v>
      </c>
      <c r="DS23" s="1">
        <f t="shared" si="10"/>
        <v>0</v>
      </c>
      <c r="DT23" s="1">
        <f t="shared" si="11"/>
        <v>5776</v>
      </c>
      <c r="DU23" s="1"/>
      <c r="DV23" s="1"/>
      <c r="DW23" s="1"/>
      <c r="DX23" s="1">
        <f t="shared" si="16"/>
        <v>296443</v>
      </c>
      <c r="DZ23" s="1">
        <f t="shared" si="17"/>
        <v>0</v>
      </c>
      <c r="EA23" s="1">
        <f t="shared" si="12"/>
        <v>0</v>
      </c>
      <c r="EC23" s="1">
        <f t="shared" si="18"/>
        <v>296443</v>
      </c>
      <c r="ED23" s="1">
        <f t="shared" si="13"/>
        <v>2661</v>
      </c>
      <c r="EE23" s="1"/>
    </row>
    <row r="24" spans="1:135" x14ac:dyDescent="0.25">
      <c r="A24" s="124">
        <v>32933</v>
      </c>
      <c r="B24" s="125">
        <v>0</v>
      </c>
      <c r="C24" s="125">
        <v>0</v>
      </c>
      <c r="D24" s="125">
        <v>0</v>
      </c>
      <c r="E24" s="125" t="s">
        <v>370</v>
      </c>
      <c r="F24" s="125" t="s">
        <v>370</v>
      </c>
      <c r="G24" s="125">
        <v>0</v>
      </c>
      <c r="H24" s="125">
        <v>0</v>
      </c>
      <c r="I24" s="125">
        <v>0</v>
      </c>
      <c r="J24" s="125">
        <v>0</v>
      </c>
      <c r="K24" s="125"/>
      <c r="L24" s="125">
        <v>33287</v>
      </c>
      <c r="M24" s="125">
        <v>2533</v>
      </c>
      <c r="N24" s="125"/>
      <c r="O24" s="125">
        <v>5282</v>
      </c>
      <c r="P24" s="125">
        <v>996</v>
      </c>
      <c r="Q24" s="125">
        <v>1175</v>
      </c>
      <c r="R24" s="125">
        <v>924</v>
      </c>
      <c r="S24" s="125">
        <v>3604</v>
      </c>
      <c r="T24" s="125"/>
      <c r="U24" s="125"/>
      <c r="V24" s="125">
        <v>9313</v>
      </c>
      <c r="W24" s="125">
        <v>0</v>
      </c>
      <c r="X24" s="125">
        <v>912</v>
      </c>
      <c r="Y24" s="125">
        <v>40</v>
      </c>
      <c r="Z24" s="126"/>
      <c r="AA24" s="125">
        <v>16</v>
      </c>
      <c r="AB24" s="125">
        <v>0</v>
      </c>
      <c r="AC24" s="125">
        <v>9</v>
      </c>
      <c r="AD24" s="125">
        <v>18</v>
      </c>
      <c r="AE24" s="125">
        <v>9</v>
      </c>
      <c r="AF24" s="125">
        <v>23</v>
      </c>
      <c r="AG24" s="125"/>
      <c r="AH24" s="125"/>
      <c r="AI24" s="125">
        <v>63</v>
      </c>
      <c r="AJ24" s="125">
        <v>0</v>
      </c>
      <c r="AK24" s="125">
        <v>42783</v>
      </c>
      <c r="AL24" s="125">
        <v>2500</v>
      </c>
      <c r="AM24" s="125">
        <v>0</v>
      </c>
      <c r="AN24" s="125">
        <v>0</v>
      </c>
      <c r="AO24" s="125">
        <v>0</v>
      </c>
      <c r="AP24" s="125">
        <v>0</v>
      </c>
      <c r="AQ24" s="125">
        <v>0</v>
      </c>
      <c r="AR24" s="125">
        <v>753</v>
      </c>
      <c r="AS24" s="125" t="s">
        <v>370</v>
      </c>
      <c r="AT24" s="125">
        <v>632</v>
      </c>
      <c r="AU24" s="125">
        <v>657</v>
      </c>
      <c r="AV24" s="125">
        <v>1268</v>
      </c>
      <c r="AW24" s="125">
        <v>1269</v>
      </c>
      <c r="AX24" s="126"/>
      <c r="AY24" s="126"/>
      <c r="AZ24" s="126">
        <v>0</v>
      </c>
      <c r="BA24" s="126"/>
      <c r="BB24" s="125">
        <v>1893</v>
      </c>
      <c r="BC24" s="125"/>
      <c r="BD24" s="125">
        <v>45660</v>
      </c>
      <c r="BE24" s="125">
        <v>99361</v>
      </c>
      <c r="BF24" s="125">
        <v>174</v>
      </c>
      <c r="BG24" s="125">
        <v>0</v>
      </c>
      <c r="BH24" s="125">
        <v>0</v>
      </c>
      <c r="BI24" s="125">
        <v>2648</v>
      </c>
      <c r="BJ24" s="125">
        <v>189</v>
      </c>
      <c r="BK24" s="125">
        <v>2625</v>
      </c>
      <c r="BL24" s="125"/>
      <c r="BM24" s="125">
        <v>501</v>
      </c>
      <c r="BN24" s="125">
        <v>191</v>
      </c>
      <c r="BO24" s="125">
        <v>0</v>
      </c>
      <c r="BP24" s="125">
        <v>3063</v>
      </c>
      <c r="BQ24" s="125">
        <v>7963</v>
      </c>
      <c r="BR24" s="125">
        <v>25</v>
      </c>
      <c r="BS24" s="125">
        <v>0</v>
      </c>
      <c r="BT24" s="125">
        <v>0</v>
      </c>
      <c r="BU24" s="125"/>
      <c r="BV24" s="125">
        <v>7</v>
      </c>
      <c r="BW24" s="125">
        <v>329</v>
      </c>
      <c r="BX24" s="125"/>
      <c r="BY24" s="125">
        <v>5332</v>
      </c>
      <c r="BZ24" s="125">
        <v>0</v>
      </c>
      <c r="CA24" s="125">
        <v>0</v>
      </c>
      <c r="CB24" s="125">
        <v>7063</v>
      </c>
      <c r="CC24" s="125">
        <v>5798</v>
      </c>
      <c r="CD24" s="125">
        <v>2094</v>
      </c>
      <c r="CE24" s="125">
        <v>2656</v>
      </c>
      <c r="CF24" s="125">
        <v>0</v>
      </c>
      <c r="CG24" s="125">
        <v>1</v>
      </c>
      <c r="CH24" s="125">
        <v>168</v>
      </c>
      <c r="CI24" s="125">
        <v>1136</v>
      </c>
      <c r="CJ24" s="125">
        <v>178</v>
      </c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 t="s">
        <v>370</v>
      </c>
      <c r="CZ24" s="125" t="s">
        <v>370</v>
      </c>
      <c r="DA24" s="125" t="s">
        <v>370</v>
      </c>
      <c r="DB24" s="125">
        <v>0</v>
      </c>
      <c r="DC24" s="125">
        <v>0</v>
      </c>
      <c r="DD24" s="125">
        <v>0</v>
      </c>
      <c r="DE24">
        <f t="shared" si="0"/>
        <v>297121</v>
      </c>
      <c r="DG24" s="1">
        <f t="shared" si="14"/>
        <v>189868</v>
      </c>
      <c r="DH24" s="1">
        <f t="shared" si="1"/>
        <v>110568</v>
      </c>
      <c r="DI24" s="127">
        <f t="shared" si="2"/>
        <v>300436</v>
      </c>
      <c r="DK24" s="1">
        <f t="shared" si="3"/>
        <v>53553</v>
      </c>
      <c r="DL24" s="1">
        <f t="shared" si="4"/>
        <v>51553</v>
      </c>
      <c r="DM24" s="1">
        <f t="shared" si="5"/>
        <v>3853</v>
      </c>
      <c r="DN24" s="1">
        <f t="shared" si="6"/>
        <v>1358</v>
      </c>
      <c r="DO24" s="1">
        <f t="shared" si="7"/>
        <v>126656</v>
      </c>
      <c r="DP24" s="1">
        <f t="shared" si="8"/>
        <v>49224</v>
      </c>
      <c r="DQ24" s="1">
        <f t="shared" si="15"/>
        <v>0</v>
      </c>
      <c r="DR24" s="1">
        <f t="shared" si="9"/>
        <v>7719</v>
      </c>
      <c r="DS24" s="1">
        <f t="shared" si="10"/>
        <v>0</v>
      </c>
      <c r="DT24" s="1">
        <f t="shared" si="11"/>
        <v>5851</v>
      </c>
      <c r="DU24" s="1"/>
      <c r="DV24" s="1"/>
      <c r="DW24" s="1"/>
      <c r="DX24" s="1">
        <f t="shared" si="16"/>
        <v>299767</v>
      </c>
      <c r="DZ24" s="1">
        <f t="shared" si="17"/>
        <v>0</v>
      </c>
      <c r="EA24" s="1">
        <f t="shared" si="12"/>
        <v>0</v>
      </c>
      <c r="EC24" s="1">
        <f t="shared" si="18"/>
        <v>299767</v>
      </c>
      <c r="ED24" s="1">
        <f t="shared" si="13"/>
        <v>2646</v>
      </c>
      <c r="EE24" s="1"/>
    </row>
    <row r="25" spans="1:135" x14ac:dyDescent="0.25">
      <c r="A25" s="124">
        <v>32964</v>
      </c>
      <c r="B25" s="125">
        <v>0</v>
      </c>
      <c r="C25" s="125">
        <v>0</v>
      </c>
      <c r="D25" s="125">
        <v>0</v>
      </c>
      <c r="E25" s="125" t="s">
        <v>370</v>
      </c>
      <c r="F25" s="125" t="s">
        <v>370</v>
      </c>
      <c r="G25" s="125">
        <v>0</v>
      </c>
      <c r="H25" s="125">
        <v>0</v>
      </c>
      <c r="I25" s="125">
        <v>0</v>
      </c>
      <c r="J25" s="125">
        <v>0</v>
      </c>
      <c r="K25" s="125"/>
      <c r="L25" s="125">
        <v>33284</v>
      </c>
      <c r="M25" s="125">
        <v>2520</v>
      </c>
      <c r="N25" s="125"/>
      <c r="O25" s="125">
        <v>5370</v>
      </c>
      <c r="P25" s="125">
        <v>1003</v>
      </c>
      <c r="Q25" s="125">
        <v>1180</v>
      </c>
      <c r="R25" s="125">
        <v>930</v>
      </c>
      <c r="S25" s="125">
        <v>3853</v>
      </c>
      <c r="T25" s="125"/>
      <c r="U25" s="125"/>
      <c r="V25" s="125">
        <v>9266</v>
      </c>
      <c r="W25" s="125">
        <v>0</v>
      </c>
      <c r="X25" s="125">
        <v>908</v>
      </c>
      <c r="Y25" s="125">
        <v>41</v>
      </c>
      <c r="Z25" s="126"/>
      <c r="AA25" s="125">
        <v>16</v>
      </c>
      <c r="AB25" s="125">
        <v>0</v>
      </c>
      <c r="AC25" s="125">
        <v>9</v>
      </c>
      <c r="AD25" s="125">
        <v>18</v>
      </c>
      <c r="AE25" s="125">
        <v>9</v>
      </c>
      <c r="AF25" s="125">
        <v>22</v>
      </c>
      <c r="AG25" s="125"/>
      <c r="AH25" s="125"/>
      <c r="AI25" s="125">
        <v>64</v>
      </c>
      <c r="AJ25" s="125">
        <v>0</v>
      </c>
      <c r="AK25" s="125">
        <v>42962</v>
      </c>
      <c r="AL25" s="125">
        <v>2503</v>
      </c>
      <c r="AM25" s="125">
        <v>0</v>
      </c>
      <c r="AN25" s="125">
        <v>0</v>
      </c>
      <c r="AO25" s="125">
        <v>0</v>
      </c>
      <c r="AP25" s="125">
        <v>0</v>
      </c>
      <c r="AQ25" s="125">
        <v>0</v>
      </c>
      <c r="AR25" s="125">
        <v>802</v>
      </c>
      <c r="AS25" s="125" t="s">
        <v>370</v>
      </c>
      <c r="AT25" s="125">
        <v>640</v>
      </c>
      <c r="AU25" s="125">
        <v>679</v>
      </c>
      <c r="AV25" s="125">
        <v>1268</v>
      </c>
      <c r="AW25" s="125">
        <v>1336</v>
      </c>
      <c r="AX25" s="126"/>
      <c r="AY25" s="126"/>
      <c r="AZ25" s="126">
        <v>0</v>
      </c>
      <c r="BA25" s="126"/>
      <c r="BB25" s="125">
        <v>1885</v>
      </c>
      <c r="BC25" s="125"/>
      <c r="BD25" s="125">
        <v>46063</v>
      </c>
      <c r="BE25" s="125">
        <v>100177</v>
      </c>
      <c r="BF25" s="125">
        <v>175</v>
      </c>
      <c r="BG25" s="125">
        <v>0</v>
      </c>
      <c r="BH25" s="125">
        <v>0</v>
      </c>
      <c r="BI25" s="125">
        <v>2693</v>
      </c>
      <c r="BJ25" s="125">
        <v>195</v>
      </c>
      <c r="BK25" s="125">
        <v>2657</v>
      </c>
      <c r="BL25" s="125"/>
      <c r="BM25" s="125">
        <v>527</v>
      </c>
      <c r="BN25" s="125">
        <v>203</v>
      </c>
      <c r="BO25" s="125">
        <v>0</v>
      </c>
      <c r="BP25" s="125">
        <v>3051</v>
      </c>
      <c r="BQ25" s="125">
        <v>8025</v>
      </c>
      <c r="BR25" s="125">
        <v>24</v>
      </c>
      <c r="BS25" s="125">
        <v>0</v>
      </c>
      <c r="BT25" s="125">
        <v>0</v>
      </c>
      <c r="BU25" s="125"/>
      <c r="BV25" s="125">
        <v>6</v>
      </c>
      <c r="BW25" s="125">
        <v>326</v>
      </c>
      <c r="BX25" s="125"/>
      <c r="BY25" s="125">
        <v>5493</v>
      </c>
      <c r="BZ25" s="125">
        <v>0</v>
      </c>
      <c r="CA25" s="125">
        <v>0</v>
      </c>
      <c r="CB25" s="125">
        <v>7540</v>
      </c>
      <c r="CC25" s="125">
        <v>6223</v>
      </c>
      <c r="CD25" s="125">
        <v>2136</v>
      </c>
      <c r="CE25" s="125">
        <v>2765</v>
      </c>
      <c r="CF25" s="125">
        <v>0</v>
      </c>
      <c r="CG25" s="125">
        <v>1</v>
      </c>
      <c r="CH25" s="125">
        <v>179</v>
      </c>
      <c r="CI25" s="125">
        <v>1229</v>
      </c>
      <c r="CJ25" s="125">
        <v>180</v>
      </c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 t="s">
        <v>370</v>
      </c>
      <c r="CZ25" s="125" t="s">
        <v>370</v>
      </c>
      <c r="DA25" s="125" t="s">
        <v>370</v>
      </c>
      <c r="DB25" s="125">
        <v>0</v>
      </c>
      <c r="DC25" s="125">
        <v>0</v>
      </c>
      <c r="DD25" s="125">
        <v>0</v>
      </c>
      <c r="DE25">
        <f t="shared" si="0"/>
        <v>300436</v>
      </c>
      <c r="DG25" s="1">
        <f t="shared" si="14"/>
        <v>191906</v>
      </c>
      <c r="DH25" s="1">
        <f t="shared" si="1"/>
        <v>111094</v>
      </c>
      <c r="DI25" s="127">
        <f t="shared" si="2"/>
        <v>303000</v>
      </c>
      <c r="DK25" s="1">
        <f t="shared" si="3"/>
        <v>53653</v>
      </c>
      <c r="DL25" s="1">
        <f t="shared" si="4"/>
        <v>51804</v>
      </c>
      <c r="DM25" s="1">
        <f t="shared" si="5"/>
        <v>4068</v>
      </c>
      <c r="DN25" s="1">
        <f t="shared" si="6"/>
        <v>1466</v>
      </c>
      <c r="DO25" s="1">
        <f t="shared" si="7"/>
        <v>128334</v>
      </c>
      <c r="DP25" s="1">
        <f t="shared" si="8"/>
        <v>49641</v>
      </c>
      <c r="DQ25" s="1">
        <f t="shared" si="15"/>
        <v>0</v>
      </c>
      <c r="DR25" s="1">
        <f t="shared" si="9"/>
        <v>8048</v>
      </c>
      <c r="DS25" s="1">
        <f t="shared" si="10"/>
        <v>0</v>
      </c>
      <c r="DT25" s="1">
        <f t="shared" si="11"/>
        <v>5855</v>
      </c>
      <c r="DU25" s="1"/>
      <c r="DV25" s="1"/>
      <c r="DW25" s="1"/>
      <c r="DX25" s="1">
        <f t="shared" si="16"/>
        <v>302869</v>
      </c>
      <c r="DZ25" s="1">
        <f t="shared" si="17"/>
        <v>0</v>
      </c>
      <c r="EA25" s="1">
        <f t="shared" si="12"/>
        <v>0</v>
      </c>
      <c r="EC25" s="1">
        <f t="shared" si="18"/>
        <v>302869</v>
      </c>
      <c r="ED25" s="1">
        <f t="shared" si="13"/>
        <v>2433</v>
      </c>
      <c r="EE25" s="1"/>
    </row>
    <row r="26" spans="1:135" x14ac:dyDescent="0.25">
      <c r="A26" s="124">
        <v>32994</v>
      </c>
      <c r="B26" s="125">
        <v>0</v>
      </c>
      <c r="C26" s="125">
        <v>0</v>
      </c>
      <c r="D26" s="125">
        <v>0</v>
      </c>
      <c r="E26" s="125" t="s">
        <v>370</v>
      </c>
      <c r="F26" s="125" t="s">
        <v>370</v>
      </c>
      <c r="G26" s="125">
        <v>0</v>
      </c>
      <c r="H26" s="125">
        <v>0</v>
      </c>
      <c r="I26" s="125">
        <v>0</v>
      </c>
      <c r="J26" s="125">
        <v>0</v>
      </c>
      <c r="K26" s="125"/>
      <c r="L26" s="125">
        <v>33206</v>
      </c>
      <c r="M26" s="125">
        <v>2538</v>
      </c>
      <c r="N26" s="125"/>
      <c r="O26" s="125">
        <v>5461</v>
      </c>
      <c r="P26" s="125">
        <v>1022</v>
      </c>
      <c r="Q26" s="125">
        <v>1183</v>
      </c>
      <c r="R26" s="125">
        <v>950</v>
      </c>
      <c r="S26" s="125">
        <v>4068</v>
      </c>
      <c r="T26" s="125"/>
      <c r="U26" s="125"/>
      <c r="V26" s="125">
        <v>9293</v>
      </c>
      <c r="W26" s="125">
        <v>0</v>
      </c>
      <c r="X26" s="125">
        <v>897</v>
      </c>
      <c r="Y26" s="125">
        <v>42</v>
      </c>
      <c r="Z26" s="126"/>
      <c r="AA26" s="125">
        <v>12</v>
      </c>
      <c r="AB26" s="125">
        <v>0</v>
      </c>
      <c r="AC26" s="125">
        <v>9</v>
      </c>
      <c r="AD26" s="125">
        <v>18</v>
      </c>
      <c r="AE26" s="125">
        <v>9</v>
      </c>
      <c r="AF26" s="125">
        <v>25</v>
      </c>
      <c r="AG26" s="125"/>
      <c r="AH26" s="125"/>
      <c r="AI26" s="125">
        <v>60</v>
      </c>
      <c r="AJ26" s="125">
        <v>0</v>
      </c>
      <c r="AK26" s="125">
        <v>43059</v>
      </c>
      <c r="AL26" s="125">
        <v>2503</v>
      </c>
      <c r="AM26" s="125">
        <v>0</v>
      </c>
      <c r="AN26" s="125">
        <v>0</v>
      </c>
      <c r="AO26" s="125">
        <v>0</v>
      </c>
      <c r="AP26" s="125">
        <v>0</v>
      </c>
      <c r="AQ26" s="125">
        <v>0</v>
      </c>
      <c r="AR26" s="125">
        <v>849</v>
      </c>
      <c r="AS26" s="125" t="s">
        <v>370</v>
      </c>
      <c r="AT26" s="125">
        <v>635</v>
      </c>
      <c r="AU26" s="125">
        <v>690</v>
      </c>
      <c r="AV26" s="125">
        <v>1266</v>
      </c>
      <c r="AW26" s="125">
        <v>1441</v>
      </c>
      <c r="AX26" s="126"/>
      <c r="AY26" s="126"/>
      <c r="AZ26" s="126">
        <v>0</v>
      </c>
      <c r="BA26" s="126"/>
      <c r="BB26" s="125">
        <v>1858</v>
      </c>
      <c r="BC26" s="125"/>
      <c r="BD26" s="125">
        <v>45948</v>
      </c>
      <c r="BE26" s="125">
        <v>100271</v>
      </c>
      <c r="BF26" s="125">
        <v>173</v>
      </c>
      <c r="BG26" s="125">
        <v>0</v>
      </c>
      <c r="BH26" s="125">
        <v>0</v>
      </c>
      <c r="BI26" s="125">
        <v>2743</v>
      </c>
      <c r="BJ26" s="125">
        <v>186</v>
      </c>
      <c r="BK26" s="125">
        <v>2623</v>
      </c>
      <c r="BL26" s="125"/>
      <c r="BM26" s="125">
        <v>554</v>
      </c>
      <c r="BN26" s="125">
        <v>207</v>
      </c>
      <c r="BO26" s="125">
        <v>0</v>
      </c>
      <c r="BP26" s="125">
        <v>3167</v>
      </c>
      <c r="BQ26" s="125">
        <v>8262</v>
      </c>
      <c r="BR26" s="125">
        <v>24</v>
      </c>
      <c r="BS26" s="125">
        <v>0</v>
      </c>
      <c r="BT26" s="125">
        <v>0</v>
      </c>
      <c r="BU26" s="125"/>
      <c r="BV26" s="125">
        <v>7</v>
      </c>
      <c r="BW26" s="125">
        <v>316</v>
      </c>
      <c r="BX26" s="125"/>
      <c r="BY26" s="125">
        <v>5509</v>
      </c>
      <c r="BZ26" s="125">
        <v>0</v>
      </c>
      <c r="CA26" s="125">
        <v>0</v>
      </c>
      <c r="CB26" s="125">
        <v>7890</v>
      </c>
      <c r="CC26" s="125">
        <v>7695</v>
      </c>
      <c r="CD26" s="125">
        <v>2048</v>
      </c>
      <c r="CE26" s="125">
        <v>2778</v>
      </c>
      <c r="CF26" s="125">
        <v>0</v>
      </c>
      <c r="CG26" s="125">
        <v>0</v>
      </c>
      <c r="CH26" s="125">
        <v>158</v>
      </c>
      <c r="CI26" s="125">
        <v>1180</v>
      </c>
      <c r="CJ26" s="125">
        <v>167</v>
      </c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 t="s">
        <v>370</v>
      </c>
      <c r="CZ26" s="125" t="s">
        <v>370</v>
      </c>
      <c r="DA26" s="125" t="s">
        <v>370</v>
      </c>
      <c r="DB26" s="125">
        <v>0</v>
      </c>
      <c r="DC26" s="125">
        <v>0</v>
      </c>
      <c r="DD26" s="125">
        <v>0</v>
      </c>
      <c r="DE26">
        <f t="shared" si="0"/>
        <v>303000</v>
      </c>
      <c r="DG26" s="1">
        <f t="shared" si="14"/>
        <v>196241</v>
      </c>
      <c r="DH26" s="1">
        <f t="shared" si="1"/>
        <v>112224</v>
      </c>
      <c r="DI26" s="127">
        <f t="shared" si="2"/>
        <v>308465</v>
      </c>
      <c r="DK26" s="1">
        <f t="shared" si="3"/>
        <v>54013</v>
      </c>
      <c r="DL26" s="1">
        <f t="shared" si="4"/>
        <v>51907</v>
      </c>
      <c r="DM26" s="1">
        <f t="shared" si="5"/>
        <v>4282</v>
      </c>
      <c r="DN26" s="1">
        <f t="shared" si="6"/>
        <v>1568</v>
      </c>
      <c r="DO26" s="1">
        <f t="shared" si="7"/>
        <v>131633</v>
      </c>
      <c r="DP26" s="1">
        <f t="shared" si="8"/>
        <v>49669</v>
      </c>
      <c r="DQ26" s="1">
        <f t="shared" si="15"/>
        <v>0</v>
      </c>
      <c r="DR26" s="1">
        <f t="shared" si="9"/>
        <v>8520</v>
      </c>
      <c r="DS26" s="1">
        <f t="shared" si="10"/>
        <v>0</v>
      </c>
      <c r="DT26" s="1">
        <f t="shared" si="11"/>
        <v>5886</v>
      </c>
      <c r="DU26" s="1"/>
      <c r="DV26" s="1"/>
      <c r="DW26" s="1"/>
      <c r="DX26" s="1">
        <f t="shared" si="16"/>
        <v>307478</v>
      </c>
      <c r="DZ26" s="1">
        <f t="shared" si="17"/>
        <v>0</v>
      </c>
      <c r="EA26" s="1">
        <f t="shared" si="12"/>
        <v>0</v>
      </c>
      <c r="EC26" s="1">
        <f t="shared" si="18"/>
        <v>307478</v>
      </c>
      <c r="ED26" s="1">
        <f t="shared" si="13"/>
        <v>4478</v>
      </c>
      <c r="EE26" s="1"/>
    </row>
    <row r="27" spans="1:135" x14ac:dyDescent="0.25">
      <c r="A27" s="124">
        <v>33025</v>
      </c>
      <c r="B27" s="125">
        <v>0</v>
      </c>
      <c r="C27" s="125">
        <v>0</v>
      </c>
      <c r="D27" s="125">
        <v>0</v>
      </c>
      <c r="E27" s="125" t="s">
        <v>370</v>
      </c>
      <c r="F27" s="125" t="s">
        <v>370</v>
      </c>
      <c r="G27" s="125">
        <v>0</v>
      </c>
      <c r="H27" s="125">
        <v>0</v>
      </c>
      <c r="I27" s="125">
        <v>0</v>
      </c>
      <c r="J27" s="125">
        <v>0</v>
      </c>
      <c r="K27" s="125"/>
      <c r="L27" s="125">
        <v>33310</v>
      </c>
      <c r="M27" s="125">
        <v>2538</v>
      </c>
      <c r="N27" s="125"/>
      <c r="O27" s="125">
        <v>5616</v>
      </c>
      <c r="P27" s="125">
        <v>1031</v>
      </c>
      <c r="Q27" s="125">
        <v>1200</v>
      </c>
      <c r="R27" s="125">
        <v>976</v>
      </c>
      <c r="S27" s="125">
        <v>4282</v>
      </c>
      <c r="T27" s="125"/>
      <c r="U27" s="125"/>
      <c r="V27" s="125">
        <v>9342</v>
      </c>
      <c r="W27" s="125">
        <v>0</v>
      </c>
      <c r="X27" s="125">
        <v>901</v>
      </c>
      <c r="Y27" s="125">
        <v>45</v>
      </c>
      <c r="Z27" s="126"/>
      <c r="AA27" s="125">
        <v>12</v>
      </c>
      <c r="AB27" s="125">
        <v>0</v>
      </c>
      <c r="AC27" s="125">
        <v>8</v>
      </c>
      <c r="AD27" s="125">
        <v>21</v>
      </c>
      <c r="AE27" s="125">
        <v>10</v>
      </c>
      <c r="AF27" s="125">
        <v>26</v>
      </c>
      <c r="AG27" s="125"/>
      <c r="AH27" s="125"/>
      <c r="AI27" s="125">
        <v>57</v>
      </c>
      <c r="AJ27" s="125">
        <v>0</v>
      </c>
      <c r="AK27" s="125">
        <v>43366</v>
      </c>
      <c r="AL27" s="125">
        <v>2536</v>
      </c>
      <c r="AM27" s="125">
        <v>0</v>
      </c>
      <c r="AN27" s="125">
        <v>0</v>
      </c>
      <c r="AO27" s="125">
        <v>0</v>
      </c>
      <c r="AP27" s="125">
        <v>0</v>
      </c>
      <c r="AQ27" s="125">
        <v>0</v>
      </c>
      <c r="AR27" s="125">
        <v>949</v>
      </c>
      <c r="AS27" s="125" t="s">
        <v>370</v>
      </c>
      <c r="AT27" s="125">
        <v>629</v>
      </c>
      <c r="AU27" s="125">
        <v>693</v>
      </c>
      <c r="AV27" s="125">
        <v>1272</v>
      </c>
      <c r="AW27" s="125">
        <v>1542</v>
      </c>
      <c r="AX27" s="126"/>
      <c r="AY27" s="126"/>
      <c r="AZ27" s="126">
        <v>0</v>
      </c>
      <c r="BA27" s="126"/>
      <c r="BB27" s="125">
        <v>1862</v>
      </c>
      <c r="BC27" s="125"/>
      <c r="BD27" s="125">
        <v>46142</v>
      </c>
      <c r="BE27" s="125">
        <v>100959</v>
      </c>
      <c r="BF27" s="125">
        <v>170</v>
      </c>
      <c r="BG27" s="125">
        <v>0</v>
      </c>
      <c r="BH27" s="125">
        <v>0</v>
      </c>
      <c r="BI27" s="125">
        <v>2739</v>
      </c>
      <c r="BJ27" s="125">
        <v>174</v>
      </c>
      <c r="BK27" s="125">
        <v>2662</v>
      </c>
      <c r="BL27" s="125"/>
      <c r="BM27" s="125">
        <v>608</v>
      </c>
      <c r="BN27" s="125">
        <v>198</v>
      </c>
      <c r="BO27" s="125">
        <v>0</v>
      </c>
      <c r="BP27" s="125">
        <v>3452</v>
      </c>
      <c r="BQ27" s="125">
        <v>8721</v>
      </c>
      <c r="BR27" s="125">
        <v>26</v>
      </c>
      <c r="BS27" s="125">
        <v>0</v>
      </c>
      <c r="BT27" s="125">
        <v>0</v>
      </c>
      <c r="BU27" s="125"/>
      <c r="BV27" s="125">
        <v>9</v>
      </c>
      <c r="BW27" s="125">
        <v>315</v>
      </c>
      <c r="BX27" s="125"/>
      <c r="BY27" s="125">
        <v>5639</v>
      </c>
      <c r="BZ27" s="125">
        <v>0</v>
      </c>
      <c r="CA27" s="125">
        <v>0</v>
      </c>
      <c r="CB27" s="125">
        <v>8377</v>
      </c>
      <c r="CC27" s="125">
        <v>9852</v>
      </c>
      <c r="CD27" s="125">
        <v>1945</v>
      </c>
      <c r="CE27" s="125">
        <v>2838</v>
      </c>
      <c r="CF27" s="125">
        <v>0</v>
      </c>
      <c r="CG27" s="125">
        <v>0</v>
      </c>
      <c r="CH27" s="125">
        <v>143</v>
      </c>
      <c r="CI27" s="125">
        <v>1105</v>
      </c>
      <c r="CJ27" s="125">
        <v>167</v>
      </c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 t="s">
        <v>370</v>
      </c>
      <c r="CZ27" s="125" t="s">
        <v>370</v>
      </c>
      <c r="DA27" s="125" t="s">
        <v>370</v>
      </c>
      <c r="DB27" s="125">
        <v>0</v>
      </c>
      <c r="DC27" s="125">
        <v>0</v>
      </c>
      <c r="DD27" s="125">
        <v>0</v>
      </c>
      <c r="DE27">
        <f t="shared" si="0"/>
        <v>308465</v>
      </c>
      <c r="DG27" s="1">
        <f t="shared" si="14"/>
        <v>197842</v>
      </c>
      <c r="DH27" s="1">
        <f t="shared" si="1"/>
        <v>112968</v>
      </c>
      <c r="DI27" s="127">
        <f t="shared" si="2"/>
        <v>310810</v>
      </c>
      <c r="DK27" s="1">
        <f t="shared" si="3"/>
        <v>54234</v>
      </c>
      <c r="DL27" s="1">
        <f t="shared" si="4"/>
        <v>52361</v>
      </c>
      <c r="DM27" s="1">
        <f t="shared" si="5"/>
        <v>4466</v>
      </c>
      <c r="DN27" s="1">
        <f t="shared" si="6"/>
        <v>1647</v>
      </c>
      <c r="DO27" s="1">
        <f t="shared" si="7"/>
        <v>132943</v>
      </c>
      <c r="DP27" s="1">
        <f t="shared" si="8"/>
        <v>50202</v>
      </c>
      <c r="DQ27" s="1">
        <f t="shared" si="15"/>
        <v>0</v>
      </c>
      <c r="DR27" s="1">
        <f t="shared" si="9"/>
        <v>8828</v>
      </c>
      <c r="DS27" s="1">
        <f t="shared" si="10"/>
        <v>0</v>
      </c>
      <c r="DT27" s="1">
        <f t="shared" si="11"/>
        <v>5933</v>
      </c>
      <c r="DU27" s="1"/>
      <c r="DV27" s="1"/>
      <c r="DW27" s="1"/>
      <c r="DX27" s="1">
        <f t="shared" si="16"/>
        <v>310614</v>
      </c>
      <c r="DZ27" s="1">
        <f t="shared" si="17"/>
        <v>0</v>
      </c>
      <c r="EA27" s="1">
        <f t="shared" si="12"/>
        <v>0</v>
      </c>
      <c r="EC27" s="1">
        <f t="shared" si="18"/>
        <v>310614</v>
      </c>
      <c r="ED27" s="1">
        <f t="shared" si="13"/>
        <v>2149</v>
      </c>
      <c r="EE27" s="1"/>
    </row>
    <row r="28" spans="1:135" x14ac:dyDescent="0.25">
      <c r="A28" s="124">
        <v>33055</v>
      </c>
      <c r="B28" s="125">
        <v>0</v>
      </c>
      <c r="C28" s="125">
        <v>0</v>
      </c>
      <c r="D28" s="125">
        <v>0</v>
      </c>
      <c r="E28" s="125" t="s">
        <v>370</v>
      </c>
      <c r="F28" s="125" t="s">
        <v>370</v>
      </c>
      <c r="G28" s="125">
        <v>0</v>
      </c>
      <c r="H28" s="125">
        <v>0</v>
      </c>
      <c r="I28" s="125">
        <v>0</v>
      </c>
      <c r="J28" s="125">
        <v>0</v>
      </c>
      <c r="K28" s="125"/>
      <c r="L28" s="125">
        <v>33369</v>
      </c>
      <c r="M28" s="125">
        <v>2558</v>
      </c>
      <c r="N28" s="125"/>
      <c r="O28" s="125">
        <v>5755</v>
      </c>
      <c r="P28" s="125">
        <v>1019</v>
      </c>
      <c r="Q28" s="125">
        <v>1205</v>
      </c>
      <c r="R28" s="125">
        <v>982</v>
      </c>
      <c r="S28" s="125">
        <v>4466</v>
      </c>
      <c r="T28" s="125"/>
      <c r="U28" s="125"/>
      <c r="V28" s="125">
        <v>9346</v>
      </c>
      <c r="W28" s="125">
        <v>0</v>
      </c>
      <c r="X28" s="125">
        <v>894</v>
      </c>
      <c r="Y28" s="125">
        <v>44</v>
      </c>
      <c r="Z28" s="126"/>
      <c r="AA28" s="125">
        <v>12</v>
      </c>
      <c r="AB28" s="125">
        <v>0</v>
      </c>
      <c r="AC28" s="125">
        <v>8</v>
      </c>
      <c r="AD28" s="125">
        <v>19</v>
      </c>
      <c r="AE28" s="125">
        <v>9</v>
      </c>
      <c r="AF28" s="125">
        <v>32</v>
      </c>
      <c r="AG28" s="125"/>
      <c r="AH28" s="125"/>
      <c r="AI28" s="125">
        <v>58</v>
      </c>
      <c r="AJ28" s="125">
        <v>0</v>
      </c>
      <c r="AK28" s="125">
        <v>43594</v>
      </c>
      <c r="AL28" s="125">
        <v>2559</v>
      </c>
      <c r="AM28" s="125">
        <v>0</v>
      </c>
      <c r="AN28" s="125">
        <v>0</v>
      </c>
      <c r="AO28" s="125">
        <v>0</v>
      </c>
      <c r="AP28" s="125">
        <v>0</v>
      </c>
      <c r="AQ28" s="125">
        <v>0</v>
      </c>
      <c r="AR28" s="125">
        <v>941</v>
      </c>
      <c r="AS28" s="125" t="s">
        <v>370</v>
      </c>
      <c r="AT28" s="125">
        <v>624</v>
      </c>
      <c r="AU28" s="125">
        <v>719</v>
      </c>
      <c r="AV28" s="125">
        <v>1285</v>
      </c>
      <c r="AW28" s="125">
        <v>1615</v>
      </c>
      <c r="AX28" s="126"/>
      <c r="AY28" s="126"/>
      <c r="AZ28" s="126">
        <v>0</v>
      </c>
      <c r="BA28" s="126"/>
      <c r="BB28" s="125">
        <v>1855</v>
      </c>
      <c r="BC28" s="125"/>
      <c r="BD28" s="125">
        <v>45794</v>
      </c>
      <c r="BE28" s="125">
        <v>100426</v>
      </c>
      <c r="BF28" s="125">
        <v>177</v>
      </c>
      <c r="BG28" s="125">
        <v>0</v>
      </c>
      <c r="BH28" s="125">
        <v>0</v>
      </c>
      <c r="BI28" s="125">
        <v>2754</v>
      </c>
      <c r="BJ28" s="125">
        <v>174</v>
      </c>
      <c r="BK28" s="125">
        <v>2686</v>
      </c>
      <c r="BL28" s="125"/>
      <c r="BM28" s="125">
        <v>668</v>
      </c>
      <c r="BN28" s="125">
        <v>204</v>
      </c>
      <c r="BO28" s="125">
        <v>0</v>
      </c>
      <c r="BP28" s="125">
        <v>3676</v>
      </c>
      <c r="BQ28" s="125">
        <v>9046</v>
      </c>
      <c r="BR28" s="125">
        <v>27</v>
      </c>
      <c r="BS28" s="125">
        <v>0</v>
      </c>
      <c r="BT28" s="125">
        <v>0</v>
      </c>
      <c r="BU28" s="125"/>
      <c r="BV28" s="125">
        <v>10</v>
      </c>
      <c r="BW28" s="125">
        <v>316</v>
      </c>
      <c r="BX28" s="125"/>
      <c r="BY28" s="125">
        <v>5581</v>
      </c>
      <c r="BZ28" s="125">
        <v>0</v>
      </c>
      <c r="CA28" s="125">
        <v>0</v>
      </c>
      <c r="CB28" s="125">
        <v>8689</v>
      </c>
      <c r="CC28" s="125">
        <v>11622</v>
      </c>
      <c r="CD28" s="125">
        <v>1771</v>
      </c>
      <c r="CE28" s="125">
        <v>2886</v>
      </c>
      <c r="CF28" s="125">
        <v>0</v>
      </c>
      <c r="CG28" s="125">
        <v>0</v>
      </c>
      <c r="CH28" s="125">
        <v>139</v>
      </c>
      <c r="CI28" s="125">
        <v>1023</v>
      </c>
      <c r="CJ28" s="125">
        <v>173</v>
      </c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 t="s">
        <v>370</v>
      </c>
      <c r="CZ28" s="125" t="s">
        <v>370</v>
      </c>
      <c r="DA28" s="125" t="s">
        <v>370</v>
      </c>
      <c r="DB28" s="125">
        <v>0</v>
      </c>
      <c r="DC28" s="125">
        <v>0</v>
      </c>
      <c r="DD28" s="125">
        <v>0</v>
      </c>
      <c r="DE28">
        <f t="shared" si="0"/>
        <v>310810</v>
      </c>
      <c r="DG28" s="1">
        <f t="shared" si="14"/>
        <v>200710</v>
      </c>
      <c r="DH28" s="1">
        <f t="shared" si="1"/>
        <v>113763</v>
      </c>
      <c r="DI28" s="127">
        <f t="shared" si="2"/>
        <v>314473</v>
      </c>
      <c r="DK28" s="1">
        <f t="shared" si="3"/>
        <v>54475</v>
      </c>
      <c r="DL28" s="1">
        <f t="shared" si="4"/>
        <v>52621</v>
      </c>
      <c r="DM28" s="1">
        <f t="shared" si="5"/>
        <v>4584</v>
      </c>
      <c r="DN28" s="1">
        <f t="shared" si="6"/>
        <v>1727</v>
      </c>
      <c r="DO28" s="1">
        <f t="shared" si="7"/>
        <v>135066</v>
      </c>
      <c r="DP28" s="1">
        <f t="shared" si="8"/>
        <v>50138</v>
      </c>
      <c r="DQ28" s="1">
        <f t="shared" si="15"/>
        <v>0</v>
      </c>
      <c r="DR28" s="1">
        <f t="shared" si="9"/>
        <v>9111</v>
      </c>
      <c r="DS28" s="1">
        <f t="shared" si="10"/>
        <v>0</v>
      </c>
      <c r="DT28" s="1">
        <f t="shared" si="11"/>
        <v>5963</v>
      </c>
      <c r="DU28" s="1"/>
      <c r="DV28" s="1"/>
      <c r="DW28" s="1"/>
      <c r="DX28" s="1">
        <f t="shared" si="16"/>
        <v>313685</v>
      </c>
      <c r="DZ28" s="1">
        <f t="shared" si="17"/>
        <v>0</v>
      </c>
      <c r="EA28" s="1">
        <f t="shared" si="12"/>
        <v>0</v>
      </c>
      <c r="EC28" s="1">
        <f t="shared" si="18"/>
        <v>313685</v>
      </c>
      <c r="ED28" s="1">
        <f t="shared" si="13"/>
        <v>2875</v>
      </c>
      <c r="EE28" s="1"/>
    </row>
    <row r="29" spans="1:135" x14ac:dyDescent="0.25">
      <c r="A29" s="124">
        <v>33086</v>
      </c>
      <c r="B29" s="125">
        <v>0</v>
      </c>
      <c r="C29" s="125">
        <v>0</v>
      </c>
      <c r="D29" s="125">
        <v>0</v>
      </c>
      <c r="E29" s="125" t="s">
        <v>370</v>
      </c>
      <c r="F29" s="125" t="s">
        <v>370</v>
      </c>
      <c r="G29" s="125">
        <v>0</v>
      </c>
      <c r="H29" s="125">
        <v>0</v>
      </c>
      <c r="I29" s="125">
        <v>0</v>
      </c>
      <c r="J29" s="125">
        <v>0</v>
      </c>
      <c r="K29" s="125"/>
      <c r="L29" s="125">
        <v>33493</v>
      </c>
      <c r="M29" s="125">
        <v>2549</v>
      </c>
      <c r="N29" s="125"/>
      <c r="O29" s="125">
        <v>5871</v>
      </c>
      <c r="P29" s="125">
        <v>1031</v>
      </c>
      <c r="Q29" s="125">
        <v>1221</v>
      </c>
      <c r="R29" s="125">
        <v>1004</v>
      </c>
      <c r="S29" s="125">
        <v>4584</v>
      </c>
      <c r="T29" s="125"/>
      <c r="U29" s="125"/>
      <c r="V29" s="125">
        <v>9306</v>
      </c>
      <c r="W29" s="125">
        <v>0</v>
      </c>
      <c r="X29" s="125">
        <v>895</v>
      </c>
      <c r="Y29" s="125">
        <v>45</v>
      </c>
      <c r="Z29" s="126"/>
      <c r="AA29" s="125">
        <v>17</v>
      </c>
      <c r="AB29" s="125">
        <v>0</v>
      </c>
      <c r="AC29" s="125">
        <v>8</v>
      </c>
      <c r="AD29" s="125">
        <v>18</v>
      </c>
      <c r="AE29" s="125">
        <v>9</v>
      </c>
      <c r="AF29" s="125">
        <v>33</v>
      </c>
      <c r="AG29" s="125"/>
      <c r="AH29" s="125"/>
      <c r="AI29" s="125">
        <v>56</v>
      </c>
      <c r="AJ29" s="125">
        <v>0</v>
      </c>
      <c r="AK29" s="125">
        <v>43889</v>
      </c>
      <c r="AL29" s="125">
        <v>2577</v>
      </c>
      <c r="AM29" s="125">
        <v>0</v>
      </c>
      <c r="AN29" s="125">
        <v>0</v>
      </c>
      <c r="AO29" s="125">
        <v>0</v>
      </c>
      <c r="AP29" s="125">
        <v>0</v>
      </c>
      <c r="AQ29" s="125">
        <v>0</v>
      </c>
      <c r="AR29" s="125">
        <v>980</v>
      </c>
      <c r="AS29" s="125" t="s">
        <v>370</v>
      </c>
      <c r="AT29" s="125">
        <v>628</v>
      </c>
      <c r="AU29" s="125">
        <v>715</v>
      </c>
      <c r="AV29" s="125">
        <v>1285</v>
      </c>
      <c r="AW29" s="125">
        <v>1694</v>
      </c>
      <c r="AX29" s="126"/>
      <c r="AY29" s="126"/>
      <c r="AZ29" s="126">
        <v>0</v>
      </c>
      <c r="BA29" s="126"/>
      <c r="BB29" s="125">
        <v>1855</v>
      </c>
      <c r="BC29" s="125"/>
      <c r="BD29" s="125">
        <v>45945</v>
      </c>
      <c r="BE29" s="125">
        <v>100543</v>
      </c>
      <c r="BF29" s="125">
        <v>180</v>
      </c>
      <c r="BG29" s="125">
        <v>0</v>
      </c>
      <c r="BH29" s="125">
        <v>0</v>
      </c>
      <c r="BI29" s="125">
        <v>2768</v>
      </c>
      <c r="BJ29" s="125">
        <v>172</v>
      </c>
      <c r="BK29" s="125">
        <v>2700</v>
      </c>
      <c r="BL29" s="125"/>
      <c r="BM29" s="125">
        <v>677</v>
      </c>
      <c r="BN29" s="125">
        <v>205</v>
      </c>
      <c r="BO29" s="125">
        <v>0</v>
      </c>
      <c r="BP29" s="125">
        <v>3948</v>
      </c>
      <c r="BQ29" s="125">
        <v>9488</v>
      </c>
      <c r="BR29" s="125">
        <v>28</v>
      </c>
      <c r="BS29" s="125">
        <v>0</v>
      </c>
      <c r="BT29" s="125">
        <v>0</v>
      </c>
      <c r="BU29" s="125"/>
      <c r="BV29" s="125">
        <v>13</v>
      </c>
      <c r="BW29" s="125">
        <v>315</v>
      </c>
      <c r="BX29" s="125"/>
      <c r="BY29" s="125">
        <v>5527</v>
      </c>
      <c r="BZ29" s="125">
        <v>0</v>
      </c>
      <c r="CA29" s="125">
        <v>0</v>
      </c>
      <c r="CB29" s="125">
        <v>8974</v>
      </c>
      <c r="CC29" s="125">
        <v>13305</v>
      </c>
      <c r="CD29" s="125">
        <v>1704</v>
      </c>
      <c r="CE29" s="125">
        <v>2933</v>
      </c>
      <c r="CF29" s="125">
        <v>0</v>
      </c>
      <c r="CG29" s="125">
        <v>0</v>
      </c>
      <c r="CH29" s="125">
        <v>137</v>
      </c>
      <c r="CI29" s="125">
        <v>950</v>
      </c>
      <c r="CJ29" s="125">
        <v>198</v>
      </c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 t="s">
        <v>370</v>
      </c>
      <c r="CZ29" s="125" t="s">
        <v>370</v>
      </c>
      <c r="DA29" s="125" t="s">
        <v>370</v>
      </c>
      <c r="DB29" s="125">
        <v>0</v>
      </c>
      <c r="DC29" s="125">
        <v>0</v>
      </c>
      <c r="DD29" s="125">
        <v>0</v>
      </c>
      <c r="DE29">
        <f t="shared" si="0"/>
        <v>314473</v>
      </c>
      <c r="DG29" s="1">
        <f t="shared" si="14"/>
        <v>205473</v>
      </c>
      <c r="DH29" s="1">
        <f t="shared" si="1"/>
        <v>114778</v>
      </c>
      <c r="DI29" s="127">
        <f t="shared" si="2"/>
        <v>320251</v>
      </c>
      <c r="DK29" s="1">
        <f t="shared" si="3"/>
        <v>54661</v>
      </c>
      <c r="DL29" s="1">
        <f t="shared" si="4"/>
        <v>52977</v>
      </c>
      <c r="DM29" s="1">
        <f t="shared" si="5"/>
        <v>4705</v>
      </c>
      <c r="DN29" s="1">
        <f t="shared" si="6"/>
        <v>1797</v>
      </c>
      <c r="DO29" s="1">
        <f t="shared" si="7"/>
        <v>138509</v>
      </c>
      <c r="DP29" s="1">
        <f t="shared" si="8"/>
        <v>50570</v>
      </c>
      <c r="DQ29" s="1">
        <f t="shared" si="15"/>
        <v>0</v>
      </c>
      <c r="DR29" s="1">
        <f t="shared" si="9"/>
        <v>9558</v>
      </c>
      <c r="DS29" s="1">
        <f t="shared" si="10"/>
        <v>0</v>
      </c>
      <c r="DT29" s="1">
        <f t="shared" si="11"/>
        <v>6038</v>
      </c>
      <c r="DU29" s="1"/>
      <c r="DV29" s="1"/>
      <c r="DW29" s="1"/>
      <c r="DX29" s="1">
        <f t="shared" si="16"/>
        <v>318815</v>
      </c>
      <c r="DZ29" s="1">
        <f t="shared" si="17"/>
        <v>0</v>
      </c>
      <c r="EA29" s="1">
        <f t="shared" si="12"/>
        <v>0</v>
      </c>
      <c r="EC29" s="1">
        <f t="shared" si="18"/>
        <v>318815</v>
      </c>
      <c r="ED29" s="1">
        <f t="shared" si="13"/>
        <v>4342</v>
      </c>
      <c r="EE29" s="1"/>
    </row>
    <row r="30" spans="1:135" x14ac:dyDescent="0.25">
      <c r="A30" s="124">
        <v>33117</v>
      </c>
      <c r="B30" s="125">
        <v>0</v>
      </c>
      <c r="C30" s="125">
        <v>0</v>
      </c>
      <c r="D30" s="125">
        <v>0</v>
      </c>
      <c r="E30" s="125" t="s">
        <v>370</v>
      </c>
      <c r="F30" s="125" t="s">
        <v>370</v>
      </c>
      <c r="G30" s="125">
        <v>0</v>
      </c>
      <c r="H30" s="125">
        <v>0</v>
      </c>
      <c r="I30" s="125">
        <v>0</v>
      </c>
      <c r="J30" s="125">
        <v>0</v>
      </c>
      <c r="K30" s="125"/>
      <c r="L30" s="125">
        <v>33513</v>
      </c>
      <c r="M30" s="125">
        <v>2583</v>
      </c>
      <c r="N30" s="125"/>
      <c r="O30" s="125">
        <v>5949</v>
      </c>
      <c r="P30" s="125">
        <v>1039</v>
      </c>
      <c r="Q30" s="125">
        <v>1219</v>
      </c>
      <c r="R30" s="125">
        <v>1050</v>
      </c>
      <c r="S30" s="125">
        <v>4705</v>
      </c>
      <c r="T30" s="125"/>
      <c r="U30" s="125"/>
      <c r="V30" s="125">
        <v>9308</v>
      </c>
      <c r="W30" s="125">
        <v>0</v>
      </c>
      <c r="X30" s="125">
        <v>895</v>
      </c>
      <c r="Y30" s="125">
        <v>41</v>
      </c>
      <c r="Z30" s="126"/>
      <c r="AA30" s="125">
        <v>18</v>
      </c>
      <c r="AB30" s="125">
        <v>0</v>
      </c>
      <c r="AC30" s="125">
        <v>7</v>
      </c>
      <c r="AD30" s="125">
        <v>16</v>
      </c>
      <c r="AE30" s="125">
        <v>9</v>
      </c>
      <c r="AF30" s="125">
        <v>32</v>
      </c>
      <c r="AG30" s="125"/>
      <c r="AH30" s="125"/>
      <c r="AI30" s="125">
        <v>60</v>
      </c>
      <c r="AJ30" s="125">
        <v>0</v>
      </c>
      <c r="AK30" s="125">
        <v>44419</v>
      </c>
      <c r="AL30" s="125">
        <v>2606</v>
      </c>
      <c r="AM30" s="125">
        <v>0</v>
      </c>
      <c r="AN30" s="125">
        <v>0</v>
      </c>
      <c r="AO30" s="125">
        <v>0</v>
      </c>
      <c r="AP30" s="125">
        <v>0</v>
      </c>
      <c r="AQ30" s="125">
        <v>0</v>
      </c>
      <c r="AR30" s="125">
        <v>1028</v>
      </c>
      <c r="AS30" s="125" t="s">
        <v>370</v>
      </c>
      <c r="AT30" s="125">
        <v>643</v>
      </c>
      <c r="AU30" s="125">
        <v>722</v>
      </c>
      <c r="AV30" s="125">
        <v>1289</v>
      </c>
      <c r="AW30" s="125">
        <v>1765</v>
      </c>
      <c r="AX30" s="126"/>
      <c r="AY30" s="126"/>
      <c r="AZ30" s="126">
        <v>0</v>
      </c>
      <c r="BA30" s="126"/>
      <c r="BB30" s="125">
        <v>1862</v>
      </c>
      <c r="BC30" s="125"/>
      <c r="BD30" s="125">
        <v>46423</v>
      </c>
      <c r="BE30" s="125">
        <v>101337</v>
      </c>
      <c r="BF30" s="125">
        <v>180</v>
      </c>
      <c r="BG30" s="125">
        <v>0</v>
      </c>
      <c r="BH30" s="125">
        <v>0</v>
      </c>
      <c r="BI30" s="125">
        <v>2804</v>
      </c>
      <c r="BJ30" s="125">
        <v>182</v>
      </c>
      <c r="BK30" s="125">
        <v>2748</v>
      </c>
      <c r="BL30" s="125"/>
      <c r="BM30" s="125">
        <v>622</v>
      </c>
      <c r="BN30" s="125">
        <v>223</v>
      </c>
      <c r="BO30" s="125">
        <v>0</v>
      </c>
      <c r="BP30" s="125">
        <v>4323</v>
      </c>
      <c r="BQ30" s="125">
        <v>10169</v>
      </c>
      <c r="BR30" s="125">
        <v>29</v>
      </c>
      <c r="BS30" s="125">
        <v>0</v>
      </c>
      <c r="BT30" s="125">
        <v>0</v>
      </c>
      <c r="BU30" s="125"/>
      <c r="BV30" s="125">
        <v>12</v>
      </c>
      <c r="BW30" s="125">
        <v>306</v>
      </c>
      <c r="BX30" s="125"/>
      <c r="BY30" s="125">
        <v>5524</v>
      </c>
      <c r="BZ30" s="125">
        <v>0</v>
      </c>
      <c r="CA30" s="125">
        <v>0</v>
      </c>
      <c r="CB30" s="125">
        <v>9430</v>
      </c>
      <c r="CC30" s="125">
        <v>15267</v>
      </c>
      <c r="CD30" s="125">
        <v>1622</v>
      </c>
      <c r="CE30" s="125">
        <v>3039</v>
      </c>
      <c r="CF30" s="125">
        <v>0</v>
      </c>
      <c r="CG30" s="125">
        <v>0</v>
      </c>
      <c r="CH30" s="125">
        <v>128</v>
      </c>
      <c r="CI30" s="125">
        <v>894</v>
      </c>
      <c r="CJ30" s="125">
        <v>211</v>
      </c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 t="s">
        <v>370</v>
      </c>
      <c r="CZ30" s="125" t="s">
        <v>370</v>
      </c>
      <c r="DA30" s="125" t="s">
        <v>370</v>
      </c>
      <c r="DB30" s="125">
        <v>0</v>
      </c>
      <c r="DC30" s="125">
        <v>0</v>
      </c>
      <c r="DD30" s="125">
        <v>0</v>
      </c>
      <c r="DE30">
        <f t="shared" si="0"/>
        <v>320251</v>
      </c>
      <c r="DG30" s="1">
        <f t="shared" si="14"/>
        <v>207220</v>
      </c>
      <c r="DH30" s="1">
        <f t="shared" si="1"/>
        <v>115341</v>
      </c>
      <c r="DI30" s="127">
        <f t="shared" si="2"/>
        <v>322561</v>
      </c>
      <c r="DK30" s="1">
        <f t="shared" si="3"/>
        <v>54763</v>
      </c>
      <c r="DL30" s="1">
        <f t="shared" si="4"/>
        <v>53615</v>
      </c>
      <c r="DM30" s="1">
        <f t="shared" si="5"/>
        <v>4762</v>
      </c>
      <c r="DN30" s="1">
        <f t="shared" si="6"/>
        <v>1874</v>
      </c>
      <c r="DO30" s="1">
        <f t="shared" si="7"/>
        <v>140048</v>
      </c>
      <c r="DP30" s="1">
        <f t="shared" si="8"/>
        <v>51368</v>
      </c>
      <c r="DQ30" s="1">
        <f t="shared" si="15"/>
        <v>0</v>
      </c>
      <c r="DR30" s="1">
        <f t="shared" si="9"/>
        <v>9476</v>
      </c>
      <c r="DS30" s="1">
        <f t="shared" si="10"/>
        <v>0</v>
      </c>
      <c r="DT30" s="1">
        <f t="shared" si="11"/>
        <v>6063</v>
      </c>
      <c r="DU30" s="1"/>
      <c r="DV30" s="1"/>
      <c r="DW30" s="1"/>
      <c r="DX30" s="1">
        <f t="shared" si="16"/>
        <v>321969</v>
      </c>
      <c r="DZ30" s="1">
        <f t="shared" si="17"/>
        <v>0</v>
      </c>
      <c r="EA30" s="1">
        <f t="shared" si="12"/>
        <v>0</v>
      </c>
      <c r="EC30" s="1">
        <f t="shared" si="18"/>
        <v>321969</v>
      </c>
      <c r="ED30" s="1">
        <f t="shared" si="13"/>
        <v>1718</v>
      </c>
      <c r="EE30" s="1"/>
    </row>
    <row r="31" spans="1:135" x14ac:dyDescent="0.25">
      <c r="A31" s="124">
        <v>33147</v>
      </c>
      <c r="B31" s="125">
        <v>0</v>
      </c>
      <c r="C31" s="125">
        <v>0</v>
      </c>
      <c r="D31" s="125">
        <v>0</v>
      </c>
      <c r="E31" s="125" t="s">
        <v>370</v>
      </c>
      <c r="F31" s="125" t="s">
        <v>370</v>
      </c>
      <c r="G31" s="125">
        <v>0</v>
      </c>
      <c r="H31" s="125">
        <v>0</v>
      </c>
      <c r="I31" s="125">
        <v>0</v>
      </c>
      <c r="J31" s="125">
        <v>0</v>
      </c>
      <c r="K31" s="125"/>
      <c r="L31" s="125">
        <v>33476</v>
      </c>
      <c r="M31" s="125">
        <v>2598</v>
      </c>
      <c r="N31" s="125"/>
      <c r="O31" s="125">
        <v>6033</v>
      </c>
      <c r="P31" s="125">
        <v>1025</v>
      </c>
      <c r="Q31" s="125">
        <v>1240</v>
      </c>
      <c r="R31" s="125">
        <v>1066</v>
      </c>
      <c r="S31" s="125">
        <v>4762</v>
      </c>
      <c r="T31" s="125"/>
      <c r="U31" s="125"/>
      <c r="V31" s="125">
        <v>9325</v>
      </c>
      <c r="W31" s="125">
        <v>0</v>
      </c>
      <c r="X31" s="125">
        <v>886</v>
      </c>
      <c r="Y31" s="125">
        <v>42</v>
      </c>
      <c r="Z31" s="126"/>
      <c r="AA31" s="125">
        <v>19</v>
      </c>
      <c r="AB31" s="125">
        <v>0</v>
      </c>
      <c r="AC31" s="125">
        <v>6</v>
      </c>
      <c r="AD31" s="125">
        <v>16</v>
      </c>
      <c r="AE31" s="125">
        <v>9</v>
      </c>
      <c r="AF31" s="125">
        <v>34</v>
      </c>
      <c r="AG31" s="125"/>
      <c r="AH31" s="125"/>
      <c r="AI31" s="125">
        <v>62</v>
      </c>
      <c r="AJ31" s="125">
        <v>0</v>
      </c>
      <c r="AK31" s="125">
        <v>44692</v>
      </c>
      <c r="AL31" s="125">
        <v>2612</v>
      </c>
      <c r="AM31" s="125">
        <v>0</v>
      </c>
      <c r="AN31" s="125">
        <v>0</v>
      </c>
      <c r="AO31" s="125">
        <v>0</v>
      </c>
      <c r="AP31" s="125">
        <v>0</v>
      </c>
      <c r="AQ31" s="125">
        <v>0</v>
      </c>
      <c r="AR31" s="125">
        <v>1095</v>
      </c>
      <c r="AS31" s="125" t="s">
        <v>370</v>
      </c>
      <c r="AT31" s="125">
        <v>640</v>
      </c>
      <c r="AU31" s="125">
        <v>727</v>
      </c>
      <c r="AV31" s="125">
        <v>1299</v>
      </c>
      <c r="AW31" s="125">
        <v>1840</v>
      </c>
      <c r="AX31" s="126"/>
      <c r="AY31" s="126"/>
      <c r="AZ31" s="126">
        <v>0</v>
      </c>
      <c r="BA31" s="126"/>
      <c r="BB31" s="125">
        <v>1837</v>
      </c>
      <c r="BC31" s="125"/>
      <c r="BD31" s="125">
        <v>46533</v>
      </c>
      <c r="BE31" s="125">
        <v>101586</v>
      </c>
      <c r="BF31" s="125">
        <v>181</v>
      </c>
      <c r="BG31" s="125">
        <v>0</v>
      </c>
      <c r="BH31" s="125">
        <v>0</v>
      </c>
      <c r="BI31" s="125">
        <v>2812</v>
      </c>
      <c r="BJ31" s="125">
        <v>172</v>
      </c>
      <c r="BK31" s="125">
        <v>2761</v>
      </c>
      <c r="BL31" s="125"/>
      <c r="BM31" s="125">
        <v>681</v>
      </c>
      <c r="BN31" s="125">
        <v>216</v>
      </c>
      <c r="BO31" s="125">
        <v>0</v>
      </c>
      <c r="BP31" s="125">
        <v>4419</v>
      </c>
      <c r="BQ31" s="125">
        <v>10270</v>
      </c>
      <c r="BR31" s="125">
        <v>29</v>
      </c>
      <c r="BS31" s="125">
        <v>0</v>
      </c>
      <c r="BT31" s="125">
        <v>0</v>
      </c>
      <c r="BU31" s="125"/>
      <c r="BV31" s="125">
        <v>11</v>
      </c>
      <c r="BW31" s="125">
        <v>309</v>
      </c>
      <c r="BX31" s="125"/>
      <c r="BY31" s="125">
        <v>5464</v>
      </c>
      <c r="BZ31" s="125">
        <v>0</v>
      </c>
      <c r="CA31" s="125">
        <v>0</v>
      </c>
      <c r="CB31" s="125">
        <v>9336</v>
      </c>
      <c r="CC31" s="125">
        <v>16579</v>
      </c>
      <c r="CD31" s="125">
        <v>1591</v>
      </c>
      <c r="CE31" s="125">
        <v>3085</v>
      </c>
      <c r="CF31" s="125">
        <v>0</v>
      </c>
      <c r="CG31" s="125">
        <v>0</v>
      </c>
      <c r="CH31" s="125">
        <v>140</v>
      </c>
      <c r="CI31" s="125">
        <v>851</v>
      </c>
      <c r="CJ31" s="125">
        <v>194</v>
      </c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 t="s">
        <v>370</v>
      </c>
      <c r="CZ31" s="125" t="s">
        <v>370</v>
      </c>
      <c r="DA31" s="125" t="s">
        <v>370</v>
      </c>
      <c r="DB31" s="125">
        <v>0</v>
      </c>
      <c r="DC31" s="125">
        <v>0</v>
      </c>
      <c r="DD31" s="125">
        <v>0</v>
      </c>
      <c r="DE31">
        <f t="shared" si="0"/>
        <v>322561</v>
      </c>
      <c r="DG31" s="1">
        <f t="shared" si="14"/>
        <v>210221</v>
      </c>
      <c r="DH31" s="1">
        <f t="shared" si="1"/>
        <v>116306</v>
      </c>
      <c r="DI31" s="127">
        <f t="shared" si="2"/>
        <v>326527</v>
      </c>
      <c r="DK31" s="1">
        <f t="shared" si="3"/>
        <v>55041</v>
      </c>
      <c r="DL31" s="1">
        <f t="shared" si="4"/>
        <v>53942</v>
      </c>
      <c r="DM31" s="1">
        <f t="shared" si="5"/>
        <v>4884</v>
      </c>
      <c r="DN31" s="1">
        <f t="shared" si="6"/>
        <v>1973</v>
      </c>
      <c r="DO31" s="1">
        <f t="shared" si="7"/>
        <v>142440</v>
      </c>
      <c r="DP31" s="1">
        <f t="shared" si="8"/>
        <v>51633</v>
      </c>
      <c r="DQ31" s="1">
        <f t="shared" si="15"/>
        <v>0</v>
      </c>
      <c r="DR31" s="1">
        <f t="shared" si="9"/>
        <v>9578</v>
      </c>
      <c r="DS31" s="1">
        <f t="shared" si="10"/>
        <v>0</v>
      </c>
      <c r="DT31" s="1">
        <f t="shared" si="11"/>
        <v>6095</v>
      </c>
      <c r="DU31" s="1"/>
      <c r="DV31" s="1"/>
      <c r="DW31" s="1"/>
      <c r="DX31" s="1">
        <f t="shared" si="16"/>
        <v>325586</v>
      </c>
      <c r="DZ31" s="1">
        <f t="shared" si="17"/>
        <v>0</v>
      </c>
      <c r="EA31" s="1">
        <f t="shared" si="12"/>
        <v>0</v>
      </c>
      <c r="EC31" s="1">
        <f t="shared" si="18"/>
        <v>325586</v>
      </c>
      <c r="ED31" s="1">
        <f t="shared" si="13"/>
        <v>3025</v>
      </c>
      <c r="EE31" s="1"/>
    </row>
    <row r="32" spans="1:135" x14ac:dyDescent="0.25">
      <c r="A32" s="124">
        <v>33178</v>
      </c>
      <c r="B32" s="125">
        <v>0</v>
      </c>
      <c r="C32" s="125">
        <v>0</v>
      </c>
      <c r="D32" s="125">
        <v>0</v>
      </c>
      <c r="E32" s="125" t="s">
        <v>370</v>
      </c>
      <c r="F32" s="125" t="s">
        <v>370</v>
      </c>
      <c r="G32" s="125">
        <v>0</v>
      </c>
      <c r="H32" s="125">
        <v>0</v>
      </c>
      <c r="I32" s="125">
        <v>0</v>
      </c>
      <c r="J32" s="125">
        <v>0</v>
      </c>
      <c r="K32" s="125"/>
      <c r="L32" s="125">
        <v>33599</v>
      </c>
      <c r="M32" s="125">
        <v>2673</v>
      </c>
      <c r="N32" s="125"/>
      <c r="O32" s="125">
        <v>6127</v>
      </c>
      <c r="P32" s="125">
        <v>1023</v>
      </c>
      <c r="Q32" s="125">
        <v>1234</v>
      </c>
      <c r="R32" s="125">
        <v>1080</v>
      </c>
      <c r="S32" s="125">
        <v>4884</v>
      </c>
      <c r="T32" s="125"/>
      <c r="U32" s="125"/>
      <c r="V32" s="125">
        <v>9305</v>
      </c>
      <c r="W32" s="125">
        <v>0</v>
      </c>
      <c r="X32" s="125">
        <v>878</v>
      </c>
      <c r="Y32" s="125">
        <v>45</v>
      </c>
      <c r="Z32" s="126"/>
      <c r="AA32" s="125">
        <v>21</v>
      </c>
      <c r="AB32" s="125">
        <v>0</v>
      </c>
      <c r="AC32" s="125">
        <v>6</v>
      </c>
      <c r="AD32" s="125">
        <v>16</v>
      </c>
      <c r="AE32" s="125">
        <v>8</v>
      </c>
      <c r="AF32" s="125">
        <v>34</v>
      </c>
      <c r="AG32" s="125"/>
      <c r="AH32" s="125"/>
      <c r="AI32" s="125">
        <v>58</v>
      </c>
      <c r="AJ32" s="125">
        <v>0</v>
      </c>
      <c r="AK32" s="125">
        <v>45111</v>
      </c>
      <c r="AL32" s="125">
        <v>2640</v>
      </c>
      <c r="AM32" s="125">
        <v>0</v>
      </c>
      <c r="AN32" s="125">
        <v>0</v>
      </c>
      <c r="AO32" s="125">
        <v>0</v>
      </c>
      <c r="AP32" s="125">
        <v>0</v>
      </c>
      <c r="AQ32" s="125">
        <v>0</v>
      </c>
      <c r="AR32" s="125">
        <v>1107</v>
      </c>
      <c r="AS32" s="125" t="s">
        <v>370</v>
      </c>
      <c r="AT32" s="125">
        <v>637</v>
      </c>
      <c r="AU32" s="125">
        <v>735</v>
      </c>
      <c r="AV32" s="125">
        <v>1283</v>
      </c>
      <c r="AW32" s="125">
        <v>1939</v>
      </c>
      <c r="AX32" s="126"/>
      <c r="AY32" s="126"/>
      <c r="AZ32" s="126">
        <v>0</v>
      </c>
      <c r="BA32" s="126"/>
      <c r="BB32" s="125">
        <v>1863</v>
      </c>
      <c r="BC32" s="125"/>
      <c r="BD32" s="125">
        <v>46827</v>
      </c>
      <c r="BE32" s="125">
        <v>102128</v>
      </c>
      <c r="BF32" s="125">
        <v>184</v>
      </c>
      <c r="BG32" s="125">
        <v>0</v>
      </c>
      <c r="BH32" s="125">
        <v>0</v>
      </c>
      <c r="BI32" s="125">
        <v>2847</v>
      </c>
      <c r="BJ32" s="125">
        <v>172</v>
      </c>
      <c r="BK32" s="125">
        <v>2769</v>
      </c>
      <c r="BL32" s="125"/>
      <c r="BM32" s="125">
        <v>693</v>
      </c>
      <c r="BN32" s="125">
        <v>214</v>
      </c>
      <c r="BO32" s="125">
        <v>0</v>
      </c>
      <c r="BP32" s="125">
        <v>4588</v>
      </c>
      <c r="BQ32" s="125">
        <v>10600</v>
      </c>
      <c r="BR32" s="125">
        <v>30</v>
      </c>
      <c r="BS32" s="125">
        <v>0</v>
      </c>
      <c r="BT32" s="125">
        <v>0</v>
      </c>
      <c r="BU32" s="125"/>
      <c r="BV32" s="125">
        <v>10</v>
      </c>
      <c r="BW32" s="125">
        <v>295</v>
      </c>
      <c r="BX32" s="125"/>
      <c r="BY32" s="125">
        <v>5523</v>
      </c>
      <c r="BZ32" s="125">
        <v>0</v>
      </c>
      <c r="CA32" s="125">
        <v>0</v>
      </c>
      <c r="CB32" s="125">
        <v>9448</v>
      </c>
      <c r="CC32" s="125">
        <v>18147</v>
      </c>
      <c r="CD32" s="125">
        <v>1565</v>
      </c>
      <c r="CE32" s="125">
        <v>3074</v>
      </c>
      <c r="CF32" s="125">
        <v>0</v>
      </c>
      <c r="CG32" s="125">
        <v>0</v>
      </c>
      <c r="CH32" s="125">
        <v>130</v>
      </c>
      <c r="CI32" s="125">
        <v>804</v>
      </c>
      <c r="CJ32" s="125">
        <v>173</v>
      </c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 t="s">
        <v>370</v>
      </c>
      <c r="CZ32" s="125" t="s">
        <v>370</v>
      </c>
      <c r="DA32" s="125" t="s">
        <v>370</v>
      </c>
      <c r="DB32" s="125">
        <v>0</v>
      </c>
      <c r="DC32" s="125">
        <v>0</v>
      </c>
      <c r="DD32" s="125">
        <v>0</v>
      </c>
      <c r="DE32">
        <f t="shared" si="0"/>
        <v>326527</v>
      </c>
      <c r="DG32" s="1">
        <f t="shared" si="14"/>
        <v>214884</v>
      </c>
      <c r="DH32" s="1">
        <f t="shared" si="1"/>
        <v>117042</v>
      </c>
      <c r="DI32" s="127">
        <f t="shared" si="2"/>
        <v>331926</v>
      </c>
      <c r="DK32" s="1">
        <f t="shared" si="3"/>
        <v>55231</v>
      </c>
      <c r="DL32" s="1">
        <f t="shared" si="4"/>
        <v>54408</v>
      </c>
      <c r="DM32" s="1">
        <f t="shared" si="5"/>
        <v>5001</v>
      </c>
      <c r="DN32" s="1">
        <f t="shared" si="6"/>
        <v>2030</v>
      </c>
      <c r="DO32" s="1">
        <f t="shared" si="7"/>
        <v>145810</v>
      </c>
      <c r="DP32" s="1">
        <f t="shared" si="8"/>
        <v>52108</v>
      </c>
      <c r="DQ32" s="1">
        <f t="shared" si="15"/>
        <v>0</v>
      </c>
      <c r="DR32" s="1">
        <f t="shared" si="9"/>
        <v>9788</v>
      </c>
      <c r="DS32" s="1">
        <f t="shared" si="10"/>
        <v>0</v>
      </c>
      <c r="DT32" s="1">
        <f t="shared" si="11"/>
        <v>6148</v>
      </c>
      <c r="DU32" s="1"/>
      <c r="DV32" s="1"/>
      <c r="DW32" s="1"/>
      <c r="DX32" s="1">
        <f t="shared" si="16"/>
        <v>330524</v>
      </c>
      <c r="DZ32" s="1">
        <f t="shared" si="17"/>
        <v>0</v>
      </c>
      <c r="EA32" s="1">
        <f t="shared" si="12"/>
        <v>0</v>
      </c>
      <c r="EC32" s="1">
        <f t="shared" si="18"/>
        <v>330524</v>
      </c>
      <c r="ED32" s="1">
        <f t="shared" si="13"/>
        <v>3997</v>
      </c>
      <c r="EE32" s="1"/>
    </row>
    <row r="33" spans="1:135" x14ac:dyDescent="0.25">
      <c r="A33" s="124">
        <v>33208</v>
      </c>
      <c r="B33" s="125">
        <v>0</v>
      </c>
      <c r="C33" s="125">
        <v>0</v>
      </c>
      <c r="D33" s="125">
        <v>0</v>
      </c>
      <c r="E33" s="125" t="s">
        <v>370</v>
      </c>
      <c r="F33" s="125" t="s">
        <v>370</v>
      </c>
      <c r="G33" s="125">
        <v>0</v>
      </c>
      <c r="H33" s="125">
        <v>0</v>
      </c>
      <c r="I33" s="125">
        <v>0</v>
      </c>
      <c r="J33" s="125">
        <v>0</v>
      </c>
      <c r="K33" s="125"/>
      <c r="L33" s="125">
        <v>33651</v>
      </c>
      <c r="M33" s="125">
        <v>2688</v>
      </c>
      <c r="N33" s="125"/>
      <c r="O33" s="125">
        <v>6205</v>
      </c>
      <c r="P33" s="125">
        <v>1048</v>
      </c>
      <c r="Q33" s="125">
        <v>1236</v>
      </c>
      <c r="R33" s="125">
        <v>1108</v>
      </c>
      <c r="S33" s="125">
        <v>5001</v>
      </c>
      <c r="T33" s="125"/>
      <c r="U33" s="125"/>
      <c r="V33" s="125">
        <v>9295</v>
      </c>
      <c r="W33" s="125">
        <v>0</v>
      </c>
      <c r="X33" s="125">
        <v>874</v>
      </c>
      <c r="Y33" s="125">
        <v>44</v>
      </c>
      <c r="Z33" s="126"/>
      <c r="AA33" s="125">
        <v>23</v>
      </c>
      <c r="AB33" s="125">
        <v>0</v>
      </c>
      <c r="AC33" s="125">
        <v>6</v>
      </c>
      <c r="AD33" s="125">
        <v>15</v>
      </c>
      <c r="AE33" s="125">
        <v>8</v>
      </c>
      <c r="AF33" s="125">
        <v>33</v>
      </c>
      <c r="AG33" s="125"/>
      <c r="AH33" s="125"/>
      <c r="AI33" s="125">
        <v>56</v>
      </c>
      <c r="AJ33" s="125">
        <v>0</v>
      </c>
      <c r="AK33" s="125">
        <v>45414</v>
      </c>
      <c r="AL33" s="125">
        <v>2643</v>
      </c>
      <c r="AM33" s="125">
        <v>0</v>
      </c>
      <c r="AN33" s="125">
        <v>0</v>
      </c>
      <c r="AO33" s="125">
        <v>0</v>
      </c>
      <c r="AP33" s="125">
        <v>0</v>
      </c>
      <c r="AQ33" s="125">
        <v>0</v>
      </c>
      <c r="AR33" s="125">
        <v>1154</v>
      </c>
      <c r="AS33" s="125" t="s">
        <v>370</v>
      </c>
      <c r="AT33" s="125">
        <v>646</v>
      </c>
      <c r="AU33" s="125">
        <v>752</v>
      </c>
      <c r="AV33" s="125">
        <v>1290</v>
      </c>
      <c r="AW33" s="125">
        <v>1997</v>
      </c>
      <c r="AX33" s="126"/>
      <c r="AY33" s="126"/>
      <c r="AZ33" s="126">
        <v>0</v>
      </c>
      <c r="BA33" s="126"/>
      <c r="BB33" s="125">
        <v>1855</v>
      </c>
      <c r="BC33" s="125"/>
      <c r="BD33" s="125">
        <v>47880</v>
      </c>
      <c r="BE33" s="125">
        <v>103809</v>
      </c>
      <c r="BF33" s="125">
        <v>186</v>
      </c>
      <c r="BG33" s="125">
        <v>0</v>
      </c>
      <c r="BH33" s="125">
        <v>0</v>
      </c>
      <c r="BI33" s="125">
        <v>2893</v>
      </c>
      <c r="BJ33" s="125">
        <v>192</v>
      </c>
      <c r="BK33" s="125">
        <v>2764</v>
      </c>
      <c r="BL33" s="125"/>
      <c r="BM33" s="125">
        <v>693</v>
      </c>
      <c r="BN33" s="125">
        <v>199</v>
      </c>
      <c r="BO33" s="125">
        <v>0</v>
      </c>
      <c r="BP33" s="125">
        <v>4565</v>
      </c>
      <c r="BQ33" s="125">
        <v>10595</v>
      </c>
      <c r="BR33" s="125">
        <v>30</v>
      </c>
      <c r="BS33" s="125">
        <v>0</v>
      </c>
      <c r="BT33" s="125">
        <v>0</v>
      </c>
      <c r="BU33" s="125"/>
      <c r="BV33" s="125">
        <v>10</v>
      </c>
      <c r="BW33" s="125">
        <v>305</v>
      </c>
      <c r="BX33" s="125"/>
      <c r="BY33" s="125">
        <v>5600</v>
      </c>
      <c r="BZ33" s="125">
        <v>0</v>
      </c>
      <c r="CA33" s="125">
        <v>0</v>
      </c>
      <c r="CB33" s="125">
        <v>9666</v>
      </c>
      <c r="CC33" s="125">
        <v>19679</v>
      </c>
      <c r="CD33" s="125">
        <v>1533</v>
      </c>
      <c r="CE33" s="125">
        <v>3179</v>
      </c>
      <c r="CF33" s="125">
        <v>0</v>
      </c>
      <c r="CG33" s="125">
        <v>0</v>
      </c>
      <c r="CH33" s="125">
        <v>122</v>
      </c>
      <c r="CI33" s="125">
        <v>814</v>
      </c>
      <c r="CJ33" s="125">
        <v>170</v>
      </c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 t="s">
        <v>370</v>
      </c>
      <c r="CZ33" s="125" t="s">
        <v>370</v>
      </c>
      <c r="DA33" s="125" t="s">
        <v>370</v>
      </c>
      <c r="DB33" s="125">
        <v>0</v>
      </c>
      <c r="DC33" s="125">
        <v>0</v>
      </c>
      <c r="DD33" s="125">
        <v>0</v>
      </c>
      <c r="DE33">
        <f t="shared" si="0"/>
        <v>331926</v>
      </c>
      <c r="DG33" s="1">
        <f t="shared" si="14"/>
        <v>218078</v>
      </c>
      <c r="DH33" s="1">
        <f t="shared" si="1"/>
        <v>117375</v>
      </c>
      <c r="DI33" s="127">
        <f t="shared" si="2"/>
        <v>335453</v>
      </c>
      <c r="DK33" s="1">
        <f t="shared" si="3"/>
        <v>55210</v>
      </c>
      <c r="DL33" s="1">
        <f t="shared" si="4"/>
        <v>54780</v>
      </c>
      <c r="DM33" s="1">
        <f t="shared" si="5"/>
        <v>5056</v>
      </c>
      <c r="DN33" s="1">
        <f t="shared" si="6"/>
        <v>2062</v>
      </c>
      <c r="DO33" s="1">
        <f t="shared" si="7"/>
        <v>148334</v>
      </c>
      <c r="DP33" s="1">
        <f t="shared" si="8"/>
        <v>53138</v>
      </c>
      <c r="DQ33" s="1">
        <f t="shared" si="15"/>
        <v>0</v>
      </c>
      <c r="DR33" s="1">
        <f t="shared" si="9"/>
        <v>9665</v>
      </c>
      <c r="DS33" s="1">
        <f t="shared" si="10"/>
        <v>0</v>
      </c>
      <c r="DT33" s="1">
        <f t="shared" si="11"/>
        <v>6156</v>
      </c>
      <c r="DU33" s="1"/>
      <c r="DV33" s="1"/>
      <c r="DW33" s="1"/>
      <c r="DX33" s="1">
        <f t="shared" si="16"/>
        <v>334401</v>
      </c>
      <c r="DZ33" s="1">
        <f t="shared" si="17"/>
        <v>0</v>
      </c>
      <c r="EA33" s="1">
        <f t="shared" si="12"/>
        <v>0</v>
      </c>
      <c r="EC33" s="1">
        <f t="shared" si="18"/>
        <v>334401</v>
      </c>
      <c r="ED33" s="1">
        <f t="shared" si="13"/>
        <v>2475</v>
      </c>
      <c r="EE33" s="1"/>
    </row>
    <row r="34" spans="1:135" x14ac:dyDescent="0.25">
      <c r="A34" s="124">
        <v>33239</v>
      </c>
      <c r="B34" s="125">
        <v>0</v>
      </c>
      <c r="C34" s="125">
        <v>0</v>
      </c>
      <c r="D34" s="125">
        <v>0</v>
      </c>
      <c r="E34" s="125" t="s">
        <v>370</v>
      </c>
      <c r="F34" s="125" t="s">
        <v>370</v>
      </c>
      <c r="G34" s="125">
        <v>0</v>
      </c>
      <c r="H34" s="125">
        <v>0</v>
      </c>
      <c r="I34" s="125">
        <v>0</v>
      </c>
      <c r="J34" s="125">
        <v>0</v>
      </c>
      <c r="K34" s="125"/>
      <c r="L34" s="125">
        <v>33629</v>
      </c>
      <c r="M34" s="125">
        <v>2720</v>
      </c>
      <c r="N34" s="125"/>
      <c r="O34" s="125">
        <v>6219</v>
      </c>
      <c r="P34" s="125">
        <v>1035</v>
      </c>
      <c r="Q34" s="125">
        <v>1248</v>
      </c>
      <c r="R34" s="125">
        <v>1140</v>
      </c>
      <c r="S34" s="125">
        <v>5056</v>
      </c>
      <c r="T34" s="125"/>
      <c r="U34" s="125"/>
      <c r="V34" s="125">
        <v>9219</v>
      </c>
      <c r="W34" s="125">
        <v>0</v>
      </c>
      <c r="X34" s="125">
        <v>863</v>
      </c>
      <c r="Y34" s="125">
        <v>44</v>
      </c>
      <c r="Z34" s="126"/>
      <c r="AA34" s="125">
        <v>21</v>
      </c>
      <c r="AB34" s="125">
        <v>0</v>
      </c>
      <c r="AC34" s="125">
        <v>6</v>
      </c>
      <c r="AD34" s="125">
        <v>15</v>
      </c>
      <c r="AE34" s="125">
        <v>8</v>
      </c>
      <c r="AF34" s="125">
        <v>31</v>
      </c>
      <c r="AG34" s="125"/>
      <c r="AH34" s="125"/>
      <c r="AI34" s="125">
        <v>59</v>
      </c>
      <c r="AJ34" s="125">
        <v>0</v>
      </c>
      <c r="AK34" s="125">
        <v>45688</v>
      </c>
      <c r="AL34" s="125">
        <v>2665</v>
      </c>
      <c r="AM34" s="125">
        <v>0</v>
      </c>
      <c r="AN34" s="125">
        <v>0</v>
      </c>
      <c r="AO34" s="125">
        <v>0</v>
      </c>
      <c r="AP34" s="125">
        <v>0</v>
      </c>
      <c r="AQ34" s="125">
        <v>0</v>
      </c>
      <c r="AR34" s="125">
        <v>1175</v>
      </c>
      <c r="AS34" s="125" t="s">
        <v>370</v>
      </c>
      <c r="AT34" s="125">
        <v>640</v>
      </c>
      <c r="AU34" s="125">
        <v>757</v>
      </c>
      <c r="AV34" s="125">
        <v>1295</v>
      </c>
      <c r="AW34" s="125">
        <v>2031</v>
      </c>
      <c r="AX34" s="126"/>
      <c r="AY34" s="126"/>
      <c r="AZ34" s="126">
        <v>0</v>
      </c>
      <c r="BA34" s="126"/>
      <c r="BB34" s="125">
        <v>1811</v>
      </c>
      <c r="BC34" s="125"/>
      <c r="BD34" s="125">
        <v>48730</v>
      </c>
      <c r="BE34" s="125">
        <v>105426</v>
      </c>
      <c r="BF34" s="125">
        <v>189</v>
      </c>
      <c r="BG34" s="125">
        <v>0</v>
      </c>
      <c r="BH34" s="125">
        <v>0</v>
      </c>
      <c r="BI34" s="125">
        <v>2899</v>
      </c>
      <c r="BJ34" s="125">
        <v>195</v>
      </c>
      <c r="BK34" s="125">
        <v>2758</v>
      </c>
      <c r="BL34" s="125"/>
      <c r="BM34" s="125">
        <v>724</v>
      </c>
      <c r="BN34" s="125">
        <v>181</v>
      </c>
      <c r="BO34" s="125">
        <v>0</v>
      </c>
      <c r="BP34" s="125">
        <v>4469</v>
      </c>
      <c r="BQ34" s="125">
        <v>10464</v>
      </c>
      <c r="BR34" s="125">
        <v>29</v>
      </c>
      <c r="BS34" s="125">
        <v>0</v>
      </c>
      <c r="BT34" s="125">
        <v>0</v>
      </c>
      <c r="BU34" s="125"/>
      <c r="BV34" s="125">
        <v>12</v>
      </c>
      <c r="BW34" s="125">
        <v>310</v>
      </c>
      <c r="BX34" s="125"/>
      <c r="BY34" s="125">
        <v>5632</v>
      </c>
      <c r="BZ34" s="125">
        <v>0</v>
      </c>
      <c r="CA34" s="125">
        <v>0</v>
      </c>
      <c r="CB34" s="125">
        <v>9566</v>
      </c>
      <c r="CC34" s="125">
        <v>20766</v>
      </c>
      <c r="CD34" s="125">
        <v>1481</v>
      </c>
      <c r="CE34" s="125">
        <v>3174</v>
      </c>
      <c r="CF34" s="125">
        <v>0</v>
      </c>
      <c r="CG34" s="125">
        <v>0</v>
      </c>
      <c r="CH34" s="125">
        <v>99</v>
      </c>
      <c r="CI34" s="125">
        <v>789</v>
      </c>
      <c r="CJ34" s="125">
        <v>185</v>
      </c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 t="s">
        <v>370</v>
      </c>
      <c r="CZ34" s="125" t="s">
        <v>370</v>
      </c>
      <c r="DA34" s="125" t="s">
        <v>370</v>
      </c>
      <c r="DB34" s="125">
        <v>0</v>
      </c>
      <c r="DC34" s="125">
        <v>0</v>
      </c>
      <c r="DD34" s="125">
        <v>0</v>
      </c>
      <c r="DE34">
        <f t="shared" si="0"/>
        <v>335453</v>
      </c>
      <c r="DG34" s="1">
        <f t="shared" si="14"/>
        <v>225664</v>
      </c>
      <c r="DH34" s="1">
        <f t="shared" si="1"/>
        <v>118182</v>
      </c>
      <c r="DI34" s="127">
        <f t="shared" si="2"/>
        <v>343846</v>
      </c>
      <c r="DK34" s="1">
        <f t="shared" si="3"/>
        <v>55324</v>
      </c>
      <c r="DL34" s="1">
        <f t="shared" si="4"/>
        <v>55047</v>
      </c>
      <c r="DM34" s="1">
        <f t="shared" si="5"/>
        <v>5164</v>
      </c>
      <c r="DN34" s="1">
        <f t="shared" si="6"/>
        <v>2145</v>
      </c>
      <c r="DO34" s="1">
        <f t="shared" si="7"/>
        <v>153494</v>
      </c>
      <c r="DP34" s="1">
        <f t="shared" si="8"/>
        <v>53923</v>
      </c>
      <c r="DQ34" s="1">
        <f t="shared" si="15"/>
        <v>0</v>
      </c>
      <c r="DR34" s="1">
        <f t="shared" si="9"/>
        <v>10136</v>
      </c>
      <c r="DS34" s="1">
        <f t="shared" si="10"/>
        <v>0</v>
      </c>
      <c r="DT34" s="1">
        <f t="shared" si="11"/>
        <v>6236</v>
      </c>
      <c r="DU34" s="1"/>
      <c r="DV34" s="1"/>
      <c r="DW34" s="1"/>
      <c r="DX34" s="1">
        <f t="shared" si="16"/>
        <v>341469</v>
      </c>
      <c r="DZ34" s="1">
        <f t="shared" si="17"/>
        <v>0</v>
      </c>
      <c r="EA34" s="1">
        <f t="shared" si="12"/>
        <v>0</v>
      </c>
      <c r="EC34" s="1">
        <f t="shared" si="18"/>
        <v>341469</v>
      </c>
      <c r="ED34" s="1">
        <f t="shared" si="13"/>
        <v>6016</v>
      </c>
      <c r="EE34" s="1"/>
    </row>
    <row r="35" spans="1:135" x14ac:dyDescent="0.25">
      <c r="A35" s="124">
        <v>33270</v>
      </c>
      <c r="B35" s="125">
        <v>0</v>
      </c>
      <c r="C35" s="125">
        <v>0</v>
      </c>
      <c r="D35" s="125">
        <v>0</v>
      </c>
      <c r="E35" s="125" t="s">
        <v>370</v>
      </c>
      <c r="F35" s="125" t="s">
        <v>370</v>
      </c>
      <c r="G35" s="125">
        <v>0</v>
      </c>
      <c r="H35" s="125">
        <v>0</v>
      </c>
      <c r="I35" s="125">
        <v>0</v>
      </c>
      <c r="J35" s="125">
        <v>0</v>
      </c>
      <c r="K35" s="125"/>
      <c r="L35" s="125">
        <v>33618</v>
      </c>
      <c r="M35" s="125">
        <v>2708</v>
      </c>
      <c r="N35" s="125"/>
      <c r="O35" s="125">
        <v>6142</v>
      </c>
      <c r="P35" s="125">
        <v>1096</v>
      </c>
      <c r="Q35" s="125">
        <v>1242</v>
      </c>
      <c r="R35" s="125">
        <v>1388</v>
      </c>
      <c r="S35" s="125">
        <v>5164</v>
      </c>
      <c r="T35" s="125"/>
      <c r="U35" s="125"/>
      <c r="V35" s="125">
        <v>9130</v>
      </c>
      <c r="W35" s="125">
        <v>0</v>
      </c>
      <c r="X35" s="125">
        <v>872</v>
      </c>
      <c r="Y35" s="125">
        <v>41</v>
      </c>
      <c r="Z35" s="126"/>
      <c r="AA35" s="125">
        <v>19</v>
      </c>
      <c r="AB35" s="125">
        <v>0</v>
      </c>
      <c r="AC35" s="125">
        <v>5</v>
      </c>
      <c r="AD35" s="125">
        <v>15</v>
      </c>
      <c r="AE35" s="125">
        <v>8</v>
      </c>
      <c r="AF35" s="125">
        <v>31</v>
      </c>
      <c r="AG35" s="125"/>
      <c r="AH35" s="125"/>
      <c r="AI35" s="125">
        <v>59</v>
      </c>
      <c r="AJ35" s="125">
        <v>0</v>
      </c>
      <c r="AK35" s="125">
        <v>46182</v>
      </c>
      <c r="AL35" s="125">
        <v>2680</v>
      </c>
      <c r="AM35" s="125">
        <v>0</v>
      </c>
      <c r="AN35" s="125">
        <v>0</v>
      </c>
      <c r="AO35" s="125">
        <v>0</v>
      </c>
      <c r="AP35" s="125">
        <v>0</v>
      </c>
      <c r="AQ35" s="125">
        <v>0</v>
      </c>
      <c r="AR35" s="125">
        <v>1172</v>
      </c>
      <c r="AS35" s="125" t="s">
        <v>370</v>
      </c>
      <c r="AT35" s="125">
        <v>630</v>
      </c>
      <c r="AU35" s="125">
        <v>764</v>
      </c>
      <c r="AV35" s="125">
        <v>1322</v>
      </c>
      <c r="AW35" s="125">
        <v>2114</v>
      </c>
      <c r="AX35" s="126"/>
      <c r="AY35" s="126"/>
      <c r="AZ35" s="126">
        <v>0</v>
      </c>
      <c r="BA35" s="126"/>
      <c r="BB35" s="125">
        <v>1780</v>
      </c>
      <c r="BC35" s="125"/>
      <c r="BD35" s="125">
        <v>49920</v>
      </c>
      <c r="BE35" s="125">
        <v>107610</v>
      </c>
      <c r="BF35" s="125">
        <v>195</v>
      </c>
      <c r="BG35" s="125">
        <v>501</v>
      </c>
      <c r="BH35" s="125">
        <v>517</v>
      </c>
      <c r="BI35" s="125">
        <v>2966</v>
      </c>
      <c r="BJ35" s="125">
        <v>195</v>
      </c>
      <c r="BK35" s="125">
        <v>2778</v>
      </c>
      <c r="BL35" s="125"/>
      <c r="BM35" s="125">
        <v>869</v>
      </c>
      <c r="BN35" s="125">
        <v>195</v>
      </c>
      <c r="BO35" s="125">
        <v>0</v>
      </c>
      <c r="BP35" s="125">
        <v>4496</v>
      </c>
      <c r="BQ35" s="125">
        <v>10534</v>
      </c>
      <c r="BR35" s="125">
        <v>28</v>
      </c>
      <c r="BS35" s="125">
        <v>12</v>
      </c>
      <c r="BT35" s="125">
        <v>8</v>
      </c>
      <c r="BU35" s="125"/>
      <c r="BV35" s="125">
        <v>12</v>
      </c>
      <c r="BW35" s="125">
        <v>297</v>
      </c>
      <c r="BX35" s="125"/>
      <c r="BY35" s="125">
        <v>5659</v>
      </c>
      <c r="BZ35" s="125">
        <v>1</v>
      </c>
      <c r="CA35" s="125">
        <v>0</v>
      </c>
      <c r="CB35" s="125">
        <v>10044</v>
      </c>
      <c r="CC35" s="125">
        <v>22878</v>
      </c>
      <c r="CD35" s="125">
        <v>1423</v>
      </c>
      <c r="CE35" s="125">
        <v>3453</v>
      </c>
      <c r="CF35" s="125">
        <v>0</v>
      </c>
      <c r="CG35" s="125">
        <v>0</v>
      </c>
      <c r="CH35" s="125">
        <v>92</v>
      </c>
      <c r="CI35" s="125">
        <v>797</v>
      </c>
      <c r="CJ35" s="125">
        <v>184</v>
      </c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 t="s">
        <v>370</v>
      </c>
      <c r="CZ35" s="125" t="s">
        <v>370</v>
      </c>
      <c r="DA35" s="125" t="s">
        <v>370</v>
      </c>
      <c r="DB35" s="125">
        <v>0</v>
      </c>
      <c r="DC35" s="125">
        <v>0</v>
      </c>
      <c r="DD35" s="125">
        <v>0</v>
      </c>
      <c r="DE35">
        <f t="shared" si="0"/>
        <v>343846</v>
      </c>
      <c r="DG35" s="1">
        <f t="shared" si="14"/>
        <v>229531</v>
      </c>
      <c r="DH35" s="1">
        <f t="shared" si="1"/>
        <v>118664</v>
      </c>
      <c r="DI35" s="127">
        <f t="shared" si="2"/>
        <v>348195</v>
      </c>
      <c r="DK35" s="1">
        <f t="shared" si="3"/>
        <v>55271</v>
      </c>
      <c r="DL35" s="1">
        <f t="shared" si="4"/>
        <v>55549</v>
      </c>
      <c r="DM35" s="1">
        <f t="shared" si="5"/>
        <v>5316</v>
      </c>
      <c r="DN35" s="1">
        <f t="shared" si="6"/>
        <v>2242</v>
      </c>
      <c r="DO35" s="1">
        <f t="shared" si="7"/>
        <v>156321</v>
      </c>
      <c r="DP35" s="1">
        <f t="shared" si="8"/>
        <v>55798</v>
      </c>
      <c r="DQ35" s="1">
        <f t="shared" si="15"/>
        <v>0</v>
      </c>
      <c r="DR35" s="1">
        <f t="shared" si="9"/>
        <v>10432</v>
      </c>
      <c r="DS35" s="1">
        <f t="shared" si="10"/>
        <v>0</v>
      </c>
      <c r="DT35" s="1">
        <f t="shared" si="11"/>
        <v>6219</v>
      </c>
      <c r="DU35" s="1"/>
      <c r="DV35" s="1"/>
      <c r="DW35" s="1"/>
      <c r="DX35" s="1">
        <f t="shared" si="16"/>
        <v>347148</v>
      </c>
      <c r="DZ35" s="1">
        <f t="shared" si="17"/>
        <v>0</v>
      </c>
      <c r="EA35" s="1">
        <f t="shared" si="12"/>
        <v>0</v>
      </c>
      <c r="EC35" s="1">
        <f t="shared" si="18"/>
        <v>347148</v>
      </c>
      <c r="ED35" s="1">
        <f t="shared" si="13"/>
        <v>3302</v>
      </c>
      <c r="EE35" s="1"/>
    </row>
    <row r="36" spans="1:135" x14ac:dyDescent="0.25">
      <c r="A36" s="124">
        <v>33298</v>
      </c>
      <c r="B36" s="125">
        <v>0</v>
      </c>
      <c r="C36" s="125">
        <v>0</v>
      </c>
      <c r="D36" s="125">
        <v>0</v>
      </c>
      <c r="E36" s="125" t="s">
        <v>370</v>
      </c>
      <c r="F36" s="125" t="s">
        <v>370</v>
      </c>
      <c r="G36" s="125">
        <v>0</v>
      </c>
      <c r="H36" s="125">
        <v>0</v>
      </c>
      <c r="I36" s="125">
        <v>0</v>
      </c>
      <c r="J36" s="125">
        <v>0</v>
      </c>
      <c r="K36" s="125"/>
      <c r="L36" s="125">
        <v>33523</v>
      </c>
      <c r="M36" s="125">
        <v>2704</v>
      </c>
      <c r="N36" s="125"/>
      <c r="O36" s="125">
        <v>6151</v>
      </c>
      <c r="P36" s="125">
        <v>1085</v>
      </c>
      <c r="Q36" s="125">
        <v>1231</v>
      </c>
      <c r="R36" s="125">
        <v>1443</v>
      </c>
      <c r="S36" s="125">
        <v>5316</v>
      </c>
      <c r="T36" s="125"/>
      <c r="U36" s="125"/>
      <c r="V36" s="125">
        <v>9134</v>
      </c>
      <c r="W36" s="125">
        <v>0</v>
      </c>
      <c r="X36" s="125">
        <v>879</v>
      </c>
      <c r="Y36" s="125">
        <v>40</v>
      </c>
      <c r="Z36" s="126"/>
      <c r="AA36" s="125">
        <v>20</v>
      </c>
      <c r="AB36" s="125">
        <v>0</v>
      </c>
      <c r="AC36" s="125">
        <v>4</v>
      </c>
      <c r="AD36" s="125">
        <v>15</v>
      </c>
      <c r="AE36" s="125">
        <v>9</v>
      </c>
      <c r="AF36" s="125">
        <v>29</v>
      </c>
      <c r="AG36" s="125"/>
      <c r="AH36" s="125"/>
      <c r="AI36" s="125">
        <v>59</v>
      </c>
      <c r="AJ36" s="125">
        <v>0</v>
      </c>
      <c r="AK36" s="125">
        <v>46450</v>
      </c>
      <c r="AL36" s="125">
        <v>2705</v>
      </c>
      <c r="AM36" s="125">
        <v>0</v>
      </c>
      <c r="AN36" s="125">
        <v>0</v>
      </c>
      <c r="AO36" s="125">
        <v>0</v>
      </c>
      <c r="AP36" s="125">
        <v>0</v>
      </c>
      <c r="AQ36" s="125">
        <v>0</v>
      </c>
      <c r="AR36" s="125">
        <v>1186</v>
      </c>
      <c r="AS36" s="125" t="s">
        <v>370</v>
      </c>
      <c r="AT36" s="125">
        <v>610</v>
      </c>
      <c r="AU36" s="125">
        <v>761</v>
      </c>
      <c r="AV36" s="125">
        <v>1348</v>
      </c>
      <c r="AW36" s="125">
        <v>2213</v>
      </c>
      <c r="AX36" s="126"/>
      <c r="AY36" s="126"/>
      <c r="AZ36" s="126">
        <v>0</v>
      </c>
      <c r="BA36" s="126"/>
      <c r="BB36" s="125">
        <v>1749</v>
      </c>
      <c r="BC36" s="125"/>
      <c r="BD36" s="125">
        <v>50547</v>
      </c>
      <c r="BE36" s="125">
        <v>108839</v>
      </c>
      <c r="BF36" s="125">
        <v>196</v>
      </c>
      <c r="BG36" s="125">
        <v>661</v>
      </c>
      <c r="BH36" s="125">
        <v>695</v>
      </c>
      <c r="BI36" s="125">
        <v>3014</v>
      </c>
      <c r="BJ36" s="125">
        <v>197</v>
      </c>
      <c r="BK36" s="125">
        <v>2732</v>
      </c>
      <c r="BL36" s="125"/>
      <c r="BM36" s="125">
        <v>899</v>
      </c>
      <c r="BN36" s="125">
        <v>183</v>
      </c>
      <c r="BO36" s="125">
        <v>0</v>
      </c>
      <c r="BP36" s="125">
        <v>4436</v>
      </c>
      <c r="BQ36" s="125">
        <v>10359</v>
      </c>
      <c r="BR36" s="125">
        <v>31</v>
      </c>
      <c r="BS36" s="125">
        <v>16</v>
      </c>
      <c r="BT36" s="125">
        <v>13</v>
      </c>
      <c r="BU36" s="125"/>
      <c r="BV36" s="125">
        <v>11</v>
      </c>
      <c r="BW36" s="125">
        <v>277</v>
      </c>
      <c r="BX36" s="125"/>
      <c r="BY36" s="125">
        <v>5664</v>
      </c>
      <c r="BZ36" s="125">
        <v>3</v>
      </c>
      <c r="CA36" s="125">
        <v>0</v>
      </c>
      <c r="CB36" s="125">
        <v>10352</v>
      </c>
      <c r="CC36" s="125">
        <v>24454</v>
      </c>
      <c r="CD36" s="125">
        <v>1406</v>
      </c>
      <c r="CE36" s="125">
        <v>3537</v>
      </c>
      <c r="CF36" s="125">
        <v>0</v>
      </c>
      <c r="CG36" s="125">
        <v>0</v>
      </c>
      <c r="CH36" s="125">
        <v>80</v>
      </c>
      <c r="CI36" s="125">
        <v>761</v>
      </c>
      <c r="CJ36" s="125">
        <v>168</v>
      </c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 t="s">
        <v>370</v>
      </c>
      <c r="CZ36" s="125" t="s">
        <v>370</v>
      </c>
      <c r="DA36" s="125" t="s">
        <v>370</v>
      </c>
      <c r="DB36" s="125">
        <v>0</v>
      </c>
      <c r="DC36" s="125">
        <v>0</v>
      </c>
      <c r="DD36" s="125">
        <v>0</v>
      </c>
      <c r="DE36">
        <f t="shared" si="0"/>
        <v>348195</v>
      </c>
      <c r="DG36" s="1">
        <f t="shared" si="14"/>
        <v>235390</v>
      </c>
      <c r="DH36" s="1">
        <f t="shared" si="1"/>
        <v>119520</v>
      </c>
      <c r="DI36" s="127">
        <f t="shared" si="2"/>
        <v>354910</v>
      </c>
      <c r="DK36" s="1">
        <f t="shared" si="3"/>
        <v>55342</v>
      </c>
      <c r="DL36" s="1">
        <f t="shared" si="4"/>
        <v>55835</v>
      </c>
      <c r="DM36" s="1">
        <f t="shared" si="5"/>
        <v>5538</v>
      </c>
      <c r="DN36" s="1">
        <f t="shared" si="6"/>
        <v>2332</v>
      </c>
      <c r="DO36" s="1">
        <f t="shared" si="7"/>
        <v>160956</v>
      </c>
      <c r="DP36" s="1">
        <f t="shared" si="8"/>
        <v>56559</v>
      </c>
      <c r="DQ36" s="1">
        <f t="shared" si="15"/>
        <v>0</v>
      </c>
      <c r="DR36" s="1">
        <f t="shared" si="9"/>
        <v>10916</v>
      </c>
      <c r="DS36" s="1">
        <f t="shared" si="10"/>
        <v>0</v>
      </c>
      <c r="DT36" s="1">
        <f t="shared" si="11"/>
        <v>6305</v>
      </c>
      <c r="DU36" s="1"/>
      <c r="DV36" s="1"/>
      <c r="DW36" s="1"/>
      <c r="DX36" s="1">
        <f t="shared" si="16"/>
        <v>353783</v>
      </c>
      <c r="DZ36" s="1">
        <f t="shared" si="17"/>
        <v>0</v>
      </c>
      <c r="EA36" s="1">
        <f t="shared" si="12"/>
        <v>0</v>
      </c>
      <c r="EC36" s="1">
        <f t="shared" si="18"/>
        <v>353783</v>
      </c>
      <c r="ED36" s="1">
        <f t="shared" si="13"/>
        <v>5588</v>
      </c>
      <c r="EE36" s="1"/>
    </row>
    <row r="37" spans="1:135" x14ac:dyDescent="0.25">
      <c r="A37" s="124">
        <v>33329</v>
      </c>
      <c r="B37" s="125">
        <v>0</v>
      </c>
      <c r="C37" s="125">
        <v>0</v>
      </c>
      <c r="D37" s="125">
        <v>0</v>
      </c>
      <c r="E37" s="125" t="s">
        <v>370</v>
      </c>
      <c r="F37" s="125" t="s">
        <v>370</v>
      </c>
      <c r="G37" s="125">
        <v>0</v>
      </c>
      <c r="H37" s="125">
        <v>0</v>
      </c>
      <c r="I37" s="125">
        <v>0</v>
      </c>
      <c r="J37" s="125">
        <v>0</v>
      </c>
      <c r="K37" s="125"/>
      <c r="L37" s="125">
        <v>33525</v>
      </c>
      <c r="M37" s="125">
        <v>2714</v>
      </c>
      <c r="N37" s="125"/>
      <c r="O37" s="125">
        <v>6166</v>
      </c>
      <c r="P37" s="125">
        <v>1106</v>
      </c>
      <c r="Q37" s="125">
        <v>1237</v>
      </c>
      <c r="R37" s="125">
        <v>1513</v>
      </c>
      <c r="S37" s="125">
        <v>5538</v>
      </c>
      <c r="T37" s="125"/>
      <c r="U37" s="125"/>
      <c r="V37" s="125">
        <v>9081</v>
      </c>
      <c r="W37" s="125">
        <v>0</v>
      </c>
      <c r="X37" s="125">
        <v>876</v>
      </c>
      <c r="Y37" s="125">
        <v>43</v>
      </c>
      <c r="Z37" s="126"/>
      <c r="AA37" s="125">
        <v>18</v>
      </c>
      <c r="AB37" s="125">
        <v>0</v>
      </c>
      <c r="AC37" s="125">
        <v>5</v>
      </c>
      <c r="AD37" s="125">
        <v>17</v>
      </c>
      <c r="AE37" s="125">
        <v>10</v>
      </c>
      <c r="AF37" s="125">
        <v>31</v>
      </c>
      <c r="AG37" s="125"/>
      <c r="AH37" s="125"/>
      <c r="AI37" s="125">
        <v>56</v>
      </c>
      <c r="AJ37" s="125">
        <v>0</v>
      </c>
      <c r="AK37" s="125">
        <v>46851</v>
      </c>
      <c r="AL37" s="125">
        <v>2731</v>
      </c>
      <c r="AM37" s="125">
        <v>0</v>
      </c>
      <c r="AN37" s="125">
        <v>0</v>
      </c>
      <c r="AO37" s="125">
        <v>0</v>
      </c>
      <c r="AP37" s="125">
        <v>0</v>
      </c>
      <c r="AQ37" s="125">
        <v>0</v>
      </c>
      <c r="AR37" s="125">
        <v>1199</v>
      </c>
      <c r="AS37" s="125" t="s">
        <v>370</v>
      </c>
      <c r="AT37" s="125">
        <v>612</v>
      </c>
      <c r="AU37" s="125">
        <v>783</v>
      </c>
      <c r="AV37" s="125">
        <v>1364</v>
      </c>
      <c r="AW37" s="125">
        <v>2301</v>
      </c>
      <c r="AX37" s="126"/>
      <c r="AY37" s="126"/>
      <c r="AZ37" s="126">
        <v>0</v>
      </c>
      <c r="BA37" s="126"/>
      <c r="BB37" s="125">
        <v>1743</v>
      </c>
      <c r="BC37" s="125"/>
      <c r="BD37" s="125">
        <v>51535</v>
      </c>
      <c r="BE37" s="125">
        <v>110794</v>
      </c>
      <c r="BF37" s="125">
        <v>195</v>
      </c>
      <c r="BG37" s="125">
        <v>846</v>
      </c>
      <c r="BH37" s="125">
        <v>912</v>
      </c>
      <c r="BI37" s="125">
        <v>3050</v>
      </c>
      <c r="BJ37" s="125">
        <v>193</v>
      </c>
      <c r="BK37" s="125">
        <v>2772</v>
      </c>
      <c r="BL37" s="125"/>
      <c r="BM37" s="125">
        <v>382</v>
      </c>
      <c r="BN37" s="125">
        <v>181</v>
      </c>
      <c r="BO37" s="125">
        <v>0</v>
      </c>
      <c r="BP37" s="125">
        <v>4400</v>
      </c>
      <c r="BQ37" s="125">
        <v>10326</v>
      </c>
      <c r="BR37" s="125">
        <v>33</v>
      </c>
      <c r="BS37" s="125">
        <v>50</v>
      </c>
      <c r="BT37" s="125">
        <v>50</v>
      </c>
      <c r="BU37" s="125"/>
      <c r="BV37" s="125">
        <v>15</v>
      </c>
      <c r="BW37" s="125">
        <v>288</v>
      </c>
      <c r="BX37" s="125"/>
      <c r="BY37" s="125">
        <v>5763</v>
      </c>
      <c r="BZ37" s="125">
        <v>8</v>
      </c>
      <c r="CA37" s="125">
        <v>0</v>
      </c>
      <c r="CB37" s="125">
        <v>10827</v>
      </c>
      <c r="CC37" s="125">
        <v>26440</v>
      </c>
      <c r="CD37" s="125">
        <v>1396</v>
      </c>
      <c r="CE37" s="125">
        <v>3897</v>
      </c>
      <c r="CF37" s="125">
        <v>0</v>
      </c>
      <c r="CG37" s="125">
        <v>0</v>
      </c>
      <c r="CH37" s="125">
        <v>89</v>
      </c>
      <c r="CI37" s="125">
        <v>771</v>
      </c>
      <c r="CJ37" s="125">
        <v>177</v>
      </c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 t="s">
        <v>370</v>
      </c>
      <c r="CZ37" s="125" t="s">
        <v>370</v>
      </c>
      <c r="DA37" s="125" t="s">
        <v>370</v>
      </c>
      <c r="DB37" s="125">
        <v>0</v>
      </c>
      <c r="DC37" s="125">
        <v>0</v>
      </c>
      <c r="DD37" s="125">
        <v>0</v>
      </c>
      <c r="DE37">
        <f t="shared" si="0"/>
        <v>354910</v>
      </c>
      <c r="DG37" s="1">
        <f t="shared" si="14"/>
        <v>240997</v>
      </c>
      <c r="DH37" s="1">
        <f t="shared" si="1"/>
        <v>120680</v>
      </c>
      <c r="DI37" s="127">
        <f t="shared" si="2"/>
        <v>361677</v>
      </c>
      <c r="DK37" s="1">
        <f t="shared" si="3"/>
        <v>55621</v>
      </c>
      <c r="DL37" s="1">
        <f t="shared" si="4"/>
        <v>56308</v>
      </c>
      <c r="DM37" s="1">
        <f t="shared" si="5"/>
        <v>5732</v>
      </c>
      <c r="DN37" s="1">
        <f t="shared" si="6"/>
        <v>2460</v>
      </c>
      <c r="DO37" s="1">
        <f t="shared" si="7"/>
        <v>165245</v>
      </c>
      <c r="DP37" s="1">
        <f t="shared" si="8"/>
        <v>57213</v>
      </c>
      <c r="DQ37" s="1">
        <f t="shared" si="15"/>
        <v>0</v>
      </c>
      <c r="DR37" s="1">
        <f t="shared" si="9"/>
        <v>11247</v>
      </c>
      <c r="DS37" s="1">
        <f t="shared" si="10"/>
        <v>0</v>
      </c>
      <c r="DT37" s="1">
        <f t="shared" si="11"/>
        <v>6346</v>
      </c>
      <c r="DU37" s="1"/>
      <c r="DV37" s="1"/>
      <c r="DW37" s="1"/>
      <c r="DX37" s="1">
        <f t="shared" si="16"/>
        <v>360172</v>
      </c>
      <c r="DZ37" s="1">
        <f t="shared" si="17"/>
        <v>0</v>
      </c>
      <c r="EA37" s="1">
        <f t="shared" si="12"/>
        <v>0</v>
      </c>
      <c r="EC37" s="1">
        <f t="shared" si="18"/>
        <v>360172</v>
      </c>
      <c r="ED37" s="1">
        <f t="shared" si="13"/>
        <v>5262</v>
      </c>
      <c r="EE37" s="1"/>
    </row>
    <row r="38" spans="1:135" x14ac:dyDescent="0.25">
      <c r="A38" s="124">
        <v>33359</v>
      </c>
      <c r="B38" s="125">
        <v>0</v>
      </c>
      <c r="C38" s="125">
        <v>0</v>
      </c>
      <c r="D38" s="125">
        <v>0</v>
      </c>
      <c r="E38" s="125" t="s">
        <v>370</v>
      </c>
      <c r="F38" s="125" t="s">
        <v>370</v>
      </c>
      <c r="G38" s="125">
        <v>0</v>
      </c>
      <c r="H38" s="125">
        <v>0</v>
      </c>
      <c r="I38" s="125">
        <v>0</v>
      </c>
      <c r="J38" s="125">
        <v>0</v>
      </c>
      <c r="K38" s="125"/>
      <c r="L38" s="125">
        <v>33608</v>
      </c>
      <c r="M38" s="125">
        <v>2746</v>
      </c>
      <c r="N38" s="125"/>
      <c r="O38" s="125">
        <v>6217</v>
      </c>
      <c r="P38" s="125">
        <v>1104</v>
      </c>
      <c r="Q38" s="125">
        <v>1252</v>
      </c>
      <c r="R38" s="125">
        <v>1527</v>
      </c>
      <c r="S38" s="125">
        <v>5732</v>
      </c>
      <c r="T38" s="125"/>
      <c r="U38" s="125"/>
      <c r="V38" s="125">
        <v>9167</v>
      </c>
      <c r="W38" s="125">
        <v>0</v>
      </c>
      <c r="X38" s="125">
        <v>886</v>
      </c>
      <c r="Y38" s="125">
        <v>41</v>
      </c>
      <c r="Z38" s="126"/>
      <c r="AA38" s="125">
        <v>20</v>
      </c>
      <c r="AB38" s="125">
        <v>0</v>
      </c>
      <c r="AC38" s="125">
        <v>4</v>
      </c>
      <c r="AD38" s="125">
        <v>17</v>
      </c>
      <c r="AE38" s="125">
        <v>9</v>
      </c>
      <c r="AF38" s="125">
        <v>31</v>
      </c>
      <c r="AG38" s="125"/>
      <c r="AH38" s="125"/>
      <c r="AI38" s="125">
        <v>57</v>
      </c>
      <c r="AJ38" s="125">
        <v>0</v>
      </c>
      <c r="AK38" s="125">
        <v>47339</v>
      </c>
      <c r="AL38" s="125">
        <v>2741</v>
      </c>
      <c r="AM38" s="125">
        <v>0</v>
      </c>
      <c r="AN38" s="125">
        <v>0</v>
      </c>
      <c r="AO38" s="125">
        <v>0</v>
      </c>
      <c r="AP38" s="125">
        <v>0</v>
      </c>
      <c r="AQ38" s="125">
        <v>0</v>
      </c>
      <c r="AR38" s="125">
        <v>1262</v>
      </c>
      <c r="AS38" s="125" t="s">
        <v>370</v>
      </c>
      <c r="AT38" s="125">
        <v>604</v>
      </c>
      <c r="AU38" s="125">
        <v>804</v>
      </c>
      <c r="AV38" s="125">
        <v>1366</v>
      </c>
      <c r="AW38" s="125">
        <v>2429</v>
      </c>
      <c r="AX38" s="126"/>
      <c r="AY38" s="126"/>
      <c r="AZ38" s="126">
        <v>0</v>
      </c>
      <c r="BA38" s="126"/>
      <c r="BB38" s="125">
        <v>1717</v>
      </c>
      <c r="BC38" s="125"/>
      <c r="BD38" s="125">
        <v>52181</v>
      </c>
      <c r="BE38" s="125">
        <v>112348</v>
      </c>
      <c r="BF38" s="125">
        <v>200</v>
      </c>
      <c r="BG38" s="125">
        <v>862</v>
      </c>
      <c r="BH38" s="125">
        <v>952</v>
      </c>
      <c r="BI38" s="125">
        <v>3109</v>
      </c>
      <c r="BJ38" s="125">
        <v>222</v>
      </c>
      <c r="BK38" s="125">
        <v>2743</v>
      </c>
      <c r="BL38" s="125"/>
      <c r="BM38" s="125">
        <v>364</v>
      </c>
      <c r="BN38" s="125">
        <v>190</v>
      </c>
      <c r="BO38" s="125">
        <v>0</v>
      </c>
      <c r="BP38" s="125">
        <v>4597</v>
      </c>
      <c r="BQ38" s="125">
        <v>10693</v>
      </c>
      <c r="BR38" s="125">
        <v>33</v>
      </c>
      <c r="BS38" s="125">
        <v>155</v>
      </c>
      <c r="BT38" s="125">
        <v>174</v>
      </c>
      <c r="BU38" s="125"/>
      <c r="BV38" s="125">
        <v>16</v>
      </c>
      <c r="BW38" s="125">
        <v>294</v>
      </c>
      <c r="BX38" s="125"/>
      <c r="BY38" s="125">
        <v>5773</v>
      </c>
      <c r="BZ38" s="125">
        <v>15</v>
      </c>
      <c r="CA38" s="125">
        <v>0</v>
      </c>
      <c r="CB38" s="125">
        <v>11175</v>
      </c>
      <c r="CC38" s="125">
        <v>28257</v>
      </c>
      <c r="CD38" s="125">
        <v>1369</v>
      </c>
      <c r="CE38" s="125">
        <v>4255</v>
      </c>
      <c r="CF38" s="125">
        <v>0</v>
      </c>
      <c r="CG38" s="125">
        <v>0</v>
      </c>
      <c r="CH38" s="125">
        <v>72</v>
      </c>
      <c r="CI38" s="125">
        <v>775</v>
      </c>
      <c r="CJ38" s="125">
        <v>173</v>
      </c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 t="s">
        <v>370</v>
      </c>
      <c r="CZ38" s="125" t="s">
        <v>370</v>
      </c>
      <c r="DA38" s="125" t="s">
        <v>370</v>
      </c>
      <c r="DB38" s="125">
        <v>0</v>
      </c>
      <c r="DC38" s="125">
        <v>0</v>
      </c>
      <c r="DD38" s="125">
        <v>0</v>
      </c>
      <c r="DE38">
        <f t="shared" si="0"/>
        <v>361677</v>
      </c>
      <c r="DG38" s="1">
        <f t="shared" si="14"/>
        <v>245913</v>
      </c>
      <c r="DH38" s="1">
        <f t="shared" si="1"/>
        <v>121988</v>
      </c>
      <c r="DI38" s="127">
        <f t="shared" si="2"/>
        <v>367901</v>
      </c>
      <c r="DK38" s="1">
        <f t="shared" si="3"/>
        <v>55990</v>
      </c>
      <c r="DL38" s="1">
        <f t="shared" si="4"/>
        <v>56867</v>
      </c>
      <c r="DM38" s="1">
        <f t="shared" si="5"/>
        <v>5982</v>
      </c>
      <c r="DN38" s="1">
        <f t="shared" si="6"/>
        <v>2573</v>
      </c>
      <c r="DO38" s="1">
        <f t="shared" si="7"/>
        <v>169040</v>
      </c>
      <c r="DP38" s="1">
        <f t="shared" si="8"/>
        <v>58159</v>
      </c>
      <c r="DQ38" s="1">
        <f t="shared" si="15"/>
        <v>0</v>
      </c>
      <c r="DR38" s="1">
        <f t="shared" si="9"/>
        <v>11489</v>
      </c>
      <c r="DS38" s="1">
        <f t="shared" si="10"/>
        <v>0</v>
      </c>
      <c r="DT38" s="1">
        <f t="shared" si="11"/>
        <v>6397</v>
      </c>
      <c r="DU38" s="1"/>
      <c r="DV38" s="1"/>
      <c r="DW38" s="1"/>
      <c r="DX38" s="1">
        <f t="shared" si="16"/>
        <v>366497</v>
      </c>
      <c r="DZ38" s="1">
        <f t="shared" si="17"/>
        <v>0</v>
      </c>
      <c r="EA38" s="1">
        <f t="shared" si="12"/>
        <v>0</v>
      </c>
      <c r="EC38" s="1">
        <f t="shared" si="18"/>
        <v>366497</v>
      </c>
      <c r="ED38" s="1">
        <f t="shared" si="13"/>
        <v>4820</v>
      </c>
      <c r="EE38" s="1"/>
    </row>
    <row r="39" spans="1:135" x14ac:dyDescent="0.25">
      <c r="A39" s="124">
        <v>33390</v>
      </c>
      <c r="B39" s="125">
        <v>0</v>
      </c>
      <c r="C39" s="125">
        <v>0</v>
      </c>
      <c r="D39" s="125">
        <v>0</v>
      </c>
      <c r="E39" s="125" t="s">
        <v>370</v>
      </c>
      <c r="F39" s="125" t="s">
        <v>370</v>
      </c>
      <c r="G39" s="125">
        <v>0</v>
      </c>
      <c r="H39" s="125">
        <v>0</v>
      </c>
      <c r="I39" s="125">
        <v>0</v>
      </c>
      <c r="J39" s="125">
        <v>0</v>
      </c>
      <c r="K39" s="125"/>
      <c r="L39" s="125">
        <v>33762</v>
      </c>
      <c r="M39" s="125">
        <v>2766</v>
      </c>
      <c r="N39" s="125"/>
      <c r="O39" s="125">
        <v>6350</v>
      </c>
      <c r="P39" s="125">
        <v>1104</v>
      </c>
      <c r="Q39" s="125">
        <v>1262</v>
      </c>
      <c r="R39" s="125">
        <v>1603</v>
      </c>
      <c r="S39" s="125">
        <v>5982</v>
      </c>
      <c r="T39" s="125"/>
      <c r="U39" s="125"/>
      <c r="V39" s="125">
        <v>9143</v>
      </c>
      <c r="W39" s="125">
        <v>0</v>
      </c>
      <c r="X39" s="125">
        <v>889</v>
      </c>
      <c r="Y39" s="125">
        <v>40</v>
      </c>
      <c r="Z39" s="126"/>
      <c r="AA39" s="125">
        <v>19</v>
      </c>
      <c r="AB39" s="125">
        <v>0</v>
      </c>
      <c r="AC39" s="125">
        <v>5</v>
      </c>
      <c r="AD39" s="125">
        <v>19</v>
      </c>
      <c r="AE39" s="125">
        <v>8</v>
      </c>
      <c r="AF39" s="125">
        <v>34</v>
      </c>
      <c r="AG39" s="125"/>
      <c r="AH39" s="125"/>
      <c r="AI39" s="125">
        <v>56</v>
      </c>
      <c r="AJ39" s="125">
        <v>0</v>
      </c>
      <c r="AK39" s="125">
        <v>47766</v>
      </c>
      <c r="AL39" s="125">
        <v>2766</v>
      </c>
      <c r="AM39" s="125">
        <v>0</v>
      </c>
      <c r="AN39" s="125">
        <v>0</v>
      </c>
      <c r="AO39" s="125">
        <v>0</v>
      </c>
      <c r="AP39" s="125">
        <v>0</v>
      </c>
      <c r="AQ39" s="125">
        <v>0</v>
      </c>
      <c r="AR39" s="125">
        <v>1343</v>
      </c>
      <c r="AS39" s="125" t="s">
        <v>370</v>
      </c>
      <c r="AT39" s="125">
        <v>601</v>
      </c>
      <c r="AU39" s="125">
        <v>808</v>
      </c>
      <c r="AV39" s="125">
        <v>1383</v>
      </c>
      <c r="AW39" s="125">
        <v>2539</v>
      </c>
      <c r="AX39" s="126"/>
      <c r="AY39" s="126"/>
      <c r="AZ39" s="126">
        <v>0</v>
      </c>
      <c r="BA39" s="126"/>
      <c r="BB39" s="125">
        <v>1740</v>
      </c>
      <c r="BC39" s="125"/>
      <c r="BD39" s="125">
        <v>52690</v>
      </c>
      <c r="BE39" s="125">
        <v>113405</v>
      </c>
      <c r="BF39" s="125">
        <v>196</v>
      </c>
      <c r="BG39" s="125">
        <v>853</v>
      </c>
      <c r="BH39" s="125">
        <v>959</v>
      </c>
      <c r="BI39" s="125">
        <v>3112</v>
      </c>
      <c r="BJ39" s="125">
        <v>220</v>
      </c>
      <c r="BK39" s="125">
        <v>2793</v>
      </c>
      <c r="BL39" s="125"/>
      <c r="BM39" s="125">
        <v>278</v>
      </c>
      <c r="BN39" s="125">
        <v>200</v>
      </c>
      <c r="BO39" s="125">
        <v>0</v>
      </c>
      <c r="BP39" s="125">
        <v>4936</v>
      </c>
      <c r="BQ39" s="125">
        <v>11296</v>
      </c>
      <c r="BR39" s="125">
        <v>32</v>
      </c>
      <c r="BS39" s="125">
        <v>230</v>
      </c>
      <c r="BT39" s="125">
        <v>246</v>
      </c>
      <c r="BU39" s="125"/>
      <c r="BV39" s="125">
        <v>15</v>
      </c>
      <c r="BW39" s="125">
        <v>296</v>
      </c>
      <c r="BX39" s="125"/>
      <c r="BY39" s="125">
        <v>5779</v>
      </c>
      <c r="BZ39" s="125">
        <v>16</v>
      </c>
      <c r="CA39" s="125">
        <v>0</v>
      </c>
      <c r="CB39" s="125">
        <v>11418</v>
      </c>
      <c r="CC39" s="125">
        <v>29862</v>
      </c>
      <c r="CD39" s="125">
        <v>1358</v>
      </c>
      <c r="CE39" s="125">
        <v>4686</v>
      </c>
      <c r="CF39" s="125">
        <v>0</v>
      </c>
      <c r="CG39" s="125">
        <v>0</v>
      </c>
      <c r="CH39" s="125">
        <v>71</v>
      </c>
      <c r="CI39" s="125">
        <v>793</v>
      </c>
      <c r="CJ39" s="125">
        <v>173</v>
      </c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 t="s">
        <v>370</v>
      </c>
      <c r="CZ39" s="125" t="s">
        <v>370</v>
      </c>
      <c r="DA39" s="125" t="s">
        <v>370</v>
      </c>
      <c r="DB39" s="125">
        <v>0</v>
      </c>
      <c r="DC39" s="125">
        <v>0</v>
      </c>
      <c r="DD39" s="125">
        <v>0</v>
      </c>
      <c r="DE39">
        <f t="shared" si="0"/>
        <v>367901</v>
      </c>
      <c r="DG39" s="1">
        <f t="shared" si="14"/>
        <v>247219</v>
      </c>
      <c r="DH39" s="1">
        <f t="shared" si="1"/>
        <v>122880</v>
      </c>
      <c r="DI39" s="127">
        <f t="shared" si="2"/>
        <v>370099</v>
      </c>
      <c r="DK39" s="1">
        <f t="shared" si="3"/>
        <v>53164</v>
      </c>
      <c r="DL39" s="1">
        <f t="shared" si="4"/>
        <v>57443</v>
      </c>
      <c r="DM39" s="1">
        <f t="shared" si="5"/>
        <v>9219</v>
      </c>
      <c r="DN39" s="1">
        <f t="shared" si="6"/>
        <v>2668</v>
      </c>
      <c r="DO39" s="1">
        <f t="shared" si="7"/>
        <v>170365</v>
      </c>
      <c r="DP39" s="1">
        <f t="shared" si="8"/>
        <v>58987</v>
      </c>
      <c r="DQ39" s="1">
        <f t="shared" si="15"/>
        <v>0</v>
      </c>
      <c r="DR39" s="1">
        <f t="shared" si="9"/>
        <v>11452</v>
      </c>
      <c r="DS39" s="1">
        <f t="shared" si="10"/>
        <v>0</v>
      </c>
      <c r="DT39" s="1">
        <f t="shared" si="11"/>
        <v>6389</v>
      </c>
      <c r="DU39" s="1"/>
      <c r="DV39" s="1"/>
      <c r="DW39" s="1"/>
      <c r="DX39" s="1">
        <f t="shared" si="16"/>
        <v>369687</v>
      </c>
      <c r="DZ39" s="1">
        <f t="shared" si="17"/>
        <v>0</v>
      </c>
      <c r="EA39" s="1">
        <f t="shared" si="12"/>
        <v>0</v>
      </c>
      <c r="EC39" s="1">
        <f t="shared" si="18"/>
        <v>369687</v>
      </c>
      <c r="ED39" s="1">
        <f t="shared" si="13"/>
        <v>1786</v>
      </c>
      <c r="EE39" s="1"/>
    </row>
    <row r="40" spans="1:135" x14ac:dyDescent="0.25">
      <c r="A40" s="124">
        <v>33420</v>
      </c>
      <c r="B40" s="125">
        <v>0</v>
      </c>
      <c r="C40" s="125">
        <v>0</v>
      </c>
      <c r="D40" s="125">
        <v>0</v>
      </c>
      <c r="E40" s="125" t="s">
        <v>370</v>
      </c>
      <c r="F40" s="125" t="s">
        <v>370</v>
      </c>
      <c r="G40" s="125">
        <v>0</v>
      </c>
      <c r="H40" s="125">
        <v>0</v>
      </c>
      <c r="I40" s="125">
        <v>0</v>
      </c>
      <c r="J40" s="125">
        <v>0</v>
      </c>
      <c r="K40" s="125"/>
      <c r="L40" s="125">
        <v>33797</v>
      </c>
      <c r="M40" s="125">
        <v>2819</v>
      </c>
      <c r="N40" s="125"/>
      <c r="O40" s="125">
        <v>6404</v>
      </c>
      <c r="P40" s="125">
        <v>1104</v>
      </c>
      <c r="Q40" s="125">
        <v>1271</v>
      </c>
      <c r="R40" s="125">
        <v>1624</v>
      </c>
      <c r="S40" s="125">
        <v>9219</v>
      </c>
      <c r="T40" s="125"/>
      <c r="U40" s="125"/>
      <c r="V40" s="125">
        <v>6145</v>
      </c>
      <c r="W40" s="125">
        <v>0</v>
      </c>
      <c r="X40" s="125">
        <v>888</v>
      </c>
      <c r="Y40" s="125">
        <v>40</v>
      </c>
      <c r="Z40" s="126"/>
      <c r="AA40" s="125">
        <v>21</v>
      </c>
      <c r="AB40" s="125">
        <v>0</v>
      </c>
      <c r="AC40" s="125">
        <v>6</v>
      </c>
      <c r="AD40" s="125">
        <v>19</v>
      </c>
      <c r="AE40" s="125">
        <v>7</v>
      </c>
      <c r="AF40" s="125">
        <v>36</v>
      </c>
      <c r="AG40" s="125"/>
      <c r="AH40" s="125"/>
      <c r="AI40" s="125">
        <v>53</v>
      </c>
      <c r="AJ40" s="125">
        <v>0</v>
      </c>
      <c r="AK40" s="125">
        <v>48119</v>
      </c>
      <c r="AL40" s="125">
        <v>2773</v>
      </c>
      <c r="AM40" s="125">
        <v>0</v>
      </c>
      <c r="AN40" s="125">
        <v>0</v>
      </c>
      <c r="AO40" s="125">
        <v>0</v>
      </c>
      <c r="AP40" s="125">
        <v>0</v>
      </c>
      <c r="AQ40" s="125">
        <v>0</v>
      </c>
      <c r="AR40" s="125">
        <v>1343</v>
      </c>
      <c r="AS40" s="125" t="s">
        <v>370</v>
      </c>
      <c r="AT40" s="125">
        <v>584</v>
      </c>
      <c r="AU40" s="125">
        <v>832</v>
      </c>
      <c r="AV40" s="125">
        <v>1396</v>
      </c>
      <c r="AW40" s="125">
        <v>2632</v>
      </c>
      <c r="AX40" s="126"/>
      <c r="AY40" s="126"/>
      <c r="AZ40" s="126">
        <v>0</v>
      </c>
      <c r="BA40" s="126"/>
      <c r="BB40" s="125">
        <v>1748</v>
      </c>
      <c r="BC40" s="125"/>
      <c r="BD40" s="125">
        <v>52512</v>
      </c>
      <c r="BE40" s="125">
        <v>113225</v>
      </c>
      <c r="BF40" s="125">
        <v>195</v>
      </c>
      <c r="BG40" s="125">
        <v>894</v>
      </c>
      <c r="BH40" s="125">
        <v>988</v>
      </c>
      <c r="BI40" s="125">
        <v>3120</v>
      </c>
      <c r="BJ40" s="125">
        <v>212</v>
      </c>
      <c r="BK40" s="125">
        <v>2776</v>
      </c>
      <c r="BL40" s="125"/>
      <c r="BM40" s="125">
        <v>297</v>
      </c>
      <c r="BN40" s="125">
        <v>192</v>
      </c>
      <c r="BO40" s="125">
        <v>0</v>
      </c>
      <c r="BP40" s="125">
        <v>5019</v>
      </c>
      <c r="BQ40" s="125">
        <v>11549</v>
      </c>
      <c r="BR40" s="125">
        <v>33</v>
      </c>
      <c r="BS40" s="125">
        <v>291</v>
      </c>
      <c r="BT40" s="125">
        <v>313</v>
      </c>
      <c r="BU40" s="125"/>
      <c r="BV40" s="125">
        <v>15</v>
      </c>
      <c r="BW40" s="125">
        <v>298</v>
      </c>
      <c r="BX40" s="125"/>
      <c r="BY40" s="125">
        <v>5681</v>
      </c>
      <c r="BZ40" s="125">
        <v>12</v>
      </c>
      <c r="CA40" s="125">
        <v>0</v>
      </c>
      <c r="CB40" s="125">
        <v>11376</v>
      </c>
      <c r="CC40" s="125">
        <v>30639</v>
      </c>
      <c r="CD40" s="125">
        <v>1442</v>
      </c>
      <c r="CE40" s="125">
        <v>5123</v>
      </c>
      <c r="CF40" s="125">
        <v>0</v>
      </c>
      <c r="CG40" s="125">
        <v>0</v>
      </c>
      <c r="CH40" s="125">
        <v>76</v>
      </c>
      <c r="CI40" s="125">
        <v>769</v>
      </c>
      <c r="CJ40" s="125">
        <v>172</v>
      </c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 t="s">
        <v>370</v>
      </c>
      <c r="CZ40" s="125" t="s">
        <v>370</v>
      </c>
      <c r="DA40" s="125" t="s">
        <v>370</v>
      </c>
      <c r="DB40" s="125">
        <v>0</v>
      </c>
      <c r="DC40" s="125">
        <v>0</v>
      </c>
      <c r="DD40" s="125">
        <v>0</v>
      </c>
      <c r="DE40">
        <f t="shared" si="0"/>
        <v>370099</v>
      </c>
      <c r="DG40" s="1">
        <f t="shared" si="14"/>
        <v>251819</v>
      </c>
      <c r="DH40" s="1">
        <f t="shared" si="1"/>
        <v>124056</v>
      </c>
      <c r="DI40" s="127">
        <f t="shared" si="2"/>
        <v>375875</v>
      </c>
      <c r="DK40" s="1">
        <f t="shared" si="3"/>
        <v>56557</v>
      </c>
      <c r="DL40" s="1">
        <f t="shared" si="4"/>
        <v>57829</v>
      </c>
      <c r="DM40" s="1">
        <f t="shared" si="5"/>
        <v>6444</v>
      </c>
      <c r="DN40" s="1">
        <f t="shared" si="6"/>
        <v>2780</v>
      </c>
      <c r="DO40" s="1">
        <f t="shared" si="7"/>
        <v>173727</v>
      </c>
      <c r="DP40" s="1">
        <f t="shared" si="8"/>
        <v>59013</v>
      </c>
      <c r="DQ40" s="1">
        <f t="shared" si="15"/>
        <v>0</v>
      </c>
      <c r="DR40" s="1">
        <f t="shared" si="9"/>
        <v>11709</v>
      </c>
      <c r="DS40" s="1">
        <f t="shared" si="10"/>
        <v>0</v>
      </c>
      <c r="DT40" s="1">
        <f t="shared" si="11"/>
        <v>6325</v>
      </c>
      <c r="DU40" s="1"/>
      <c r="DV40" s="1"/>
      <c r="DW40" s="1"/>
      <c r="DX40" s="1">
        <f t="shared" si="16"/>
        <v>374384</v>
      </c>
      <c r="DZ40" s="1">
        <f t="shared" si="17"/>
        <v>0</v>
      </c>
      <c r="EA40" s="1">
        <f t="shared" si="12"/>
        <v>0</v>
      </c>
      <c r="EC40" s="1">
        <f t="shared" si="18"/>
        <v>374384</v>
      </c>
      <c r="ED40" s="1">
        <f t="shared" si="13"/>
        <v>4285</v>
      </c>
      <c r="EE40" s="1"/>
    </row>
    <row r="41" spans="1:135" x14ac:dyDescent="0.25">
      <c r="A41" s="124">
        <v>33451</v>
      </c>
      <c r="B41" s="125">
        <v>0</v>
      </c>
      <c r="C41" s="125">
        <v>0</v>
      </c>
      <c r="D41" s="125">
        <v>0</v>
      </c>
      <c r="E41" s="125" t="s">
        <v>370</v>
      </c>
      <c r="F41" s="125" t="s">
        <v>370</v>
      </c>
      <c r="G41" s="125">
        <v>0</v>
      </c>
      <c r="H41" s="125">
        <v>0</v>
      </c>
      <c r="I41" s="125">
        <v>0</v>
      </c>
      <c r="J41" s="125">
        <v>0</v>
      </c>
      <c r="K41" s="125"/>
      <c r="L41" s="125">
        <v>33893</v>
      </c>
      <c r="M41" s="125">
        <v>2852</v>
      </c>
      <c r="N41" s="125"/>
      <c r="O41" s="125">
        <v>6494</v>
      </c>
      <c r="P41" s="125">
        <v>1124</v>
      </c>
      <c r="Q41" s="125">
        <v>1260</v>
      </c>
      <c r="R41" s="125">
        <v>1671</v>
      </c>
      <c r="S41" s="125">
        <v>6444</v>
      </c>
      <c r="T41" s="125"/>
      <c r="U41" s="125"/>
      <c r="V41" s="125">
        <v>9263</v>
      </c>
      <c r="W41" s="125">
        <v>0</v>
      </c>
      <c r="X41" s="125">
        <v>892</v>
      </c>
      <c r="Y41" s="125">
        <v>40</v>
      </c>
      <c r="Z41" s="126"/>
      <c r="AA41" s="125">
        <v>23</v>
      </c>
      <c r="AB41" s="125">
        <v>0</v>
      </c>
      <c r="AC41" s="125">
        <v>6</v>
      </c>
      <c r="AD41" s="125">
        <v>19</v>
      </c>
      <c r="AE41" s="125">
        <v>7</v>
      </c>
      <c r="AF41" s="125">
        <v>36</v>
      </c>
      <c r="AG41" s="125"/>
      <c r="AH41" s="125"/>
      <c r="AI41" s="125">
        <v>55</v>
      </c>
      <c r="AJ41" s="125">
        <v>0</v>
      </c>
      <c r="AK41" s="125">
        <v>48455</v>
      </c>
      <c r="AL41" s="125">
        <v>2800</v>
      </c>
      <c r="AM41" s="125">
        <v>0</v>
      </c>
      <c r="AN41" s="125">
        <v>0</v>
      </c>
      <c r="AO41" s="125">
        <v>0</v>
      </c>
      <c r="AP41" s="125">
        <v>0</v>
      </c>
      <c r="AQ41" s="125">
        <v>0</v>
      </c>
      <c r="AR41" s="125">
        <v>1401</v>
      </c>
      <c r="AS41" s="125" t="s">
        <v>370</v>
      </c>
      <c r="AT41" s="125">
        <v>592</v>
      </c>
      <c r="AU41" s="125">
        <v>842</v>
      </c>
      <c r="AV41" s="125">
        <v>1416</v>
      </c>
      <c r="AW41" s="125">
        <v>2744</v>
      </c>
      <c r="AX41" s="126"/>
      <c r="AY41" s="126"/>
      <c r="AZ41" s="126">
        <v>0</v>
      </c>
      <c r="BA41" s="126"/>
      <c r="BB41" s="125">
        <v>1727</v>
      </c>
      <c r="BC41" s="125"/>
      <c r="BD41" s="125">
        <v>53073</v>
      </c>
      <c r="BE41" s="125">
        <v>114432</v>
      </c>
      <c r="BF41" s="125">
        <v>189</v>
      </c>
      <c r="BG41" s="125">
        <v>900</v>
      </c>
      <c r="BH41" s="125">
        <v>1005</v>
      </c>
      <c r="BI41" s="125">
        <v>3087</v>
      </c>
      <c r="BJ41" s="125">
        <v>216</v>
      </c>
      <c r="BK41" s="125">
        <v>2760</v>
      </c>
      <c r="BL41" s="125"/>
      <c r="BM41" s="125">
        <v>401</v>
      </c>
      <c r="BN41" s="125">
        <v>182</v>
      </c>
      <c r="BO41" s="125">
        <v>0</v>
      </c>
      <c r="BP41" s="125">
        <v>5342</v>
      </c>
      <c r="BQ41" s="125">
        <v>11909</v>
      </c>
      <c r="BR41" s="125">
        <v>36</v>
      </c>
      <c r="BS41" s="125">
        <v>342</v>
      </c>
      <c r="BT41" s="125">
        <v>358</v>
      </c>
      <c r="BU41" s="125"/>
      <c r="BV41" s="125">
        <v>12</v>
      </c>
      <c r="BW41" s="125">
        <v>289</v>
      </c>
      <c r="BX41" s="125"/>
      <c r="BY41" s="125">
        <v>5695</v>
      </c>
      <c r="BZ41" s="125">
        <v>8</v>
      </c>
      <c r="CA41" s="125">
        <v>0</v>
      </c>
      <c r="CB41" s="125">
        <v>11638</v>
      </c>
      <c r="CC41" s="125">
        <v>32037</v>
      </c>
      <c r="CD41" s="125">
        <v>1977</v>
      </c>
      <c r="CE41" s="125">
        <v>4983</v>
      </c>
      <c r="CF41" s="125">
        <v>0</v>
      </c>
      <c r="CG41" s="125">
        <v>0</v>
      </c>
      <c r="CH41" s="125">
        <v>71</v>
      </c>
      <c r="CI41" s="125">
        <v>744</v>
      </c>
      <c r="CJ41" s="125">
        <v>133</v>
      </c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 t="s">
        <v>370</v>
      </c>
      <c r="CZ41" s="125" t="s">
        <v>370</v>
      </c>
      <c r="DA41" s="125" t="s">
        <v>370</v>
      </c>
      <c r="DB41" s="125">
        <v>0</v>
      </c>
      <c r="DC41" s="125">
        <v>0</v>
      </c>
      <c r="DD41" s="125">
        <v>0</v>
      </c>
      <c r="DE41">
        <f t="shared" si="0"/>
        <v>375875</v>
      </c>
      <c r="DG41" s="1">
        <f t="shared" si="14"/>
        <v>256918</v>
      </c>
      <c r="DH41" s="1">
        <f t="shared" si="1"/>
        <v>125278</v>
      </c>
      <c r="DI41" s="127">
        <f t="shared" si="2"/>
        <v>382196</v>
      </c>
      <c r="DK41" s="1">
        <f t="shared" si="3"/>
        <v>56786</v>
      </c>
      <c r="DL41" s="1">
        <f t="shared" si="4"/>
        <v>58275</v>
      </c>
      <c r="DM41" s="1">
        <f t="shared" si="5"/>
        <v>6822</v>
      </c>
      <c r="DN41" s="1">
        <f t="shared" si="6"/>
        <v>2906</v>
      </c>
      <c r="DO41" s="1">
        <f t="shared" si="7"/>
        <v>177777</v>
      </c>
      <c r="DP41" s="1">
        <f t="shared" si="8"/>
        <v>60058</v>
      </c>
      <c r="DQ41" s="1">
        <f t="shared" si="15"/>
        <v>0</v>
      </c>
      <c r="DR41" s="1">
        <f t="shared" si="9"/>
        <v>11841</v>
      </c>
      <c r="DS41" s="1">
        <f t="shared" si="10"/>
        <v>0</v>
      </c>
      <c r="DT41" s="1">
        <f t="shared" si="11"/>
        <v>6295</v>
      </c>
      <c r="DU41" s="1"/>
      <c r="DV41" s="1"/>
      <c r="DW41" s="1"/>
      <c r="DX41" s="1">
        <f t="shared" si="16"/>
        <v>380760</v>
      </c>
      <c r="DZ41" s="1">
        <f t="shared" si="17"/>
        <v>0</v>
      </c>
      <c r="EA41" s="1">
        <f t="shared" si="12"/>
        <v>0</v>
      </c>
      <c r="EC41" s="1">
        <f t="shared" si="18"/>
        <v>380760</v>
      </c>
      <c r="ED41" s="1">
        <f t="shared" si="13"/>
        <v>4885</v>
      </c>
      <c r="EE41" s="1"/>
    </row>
    <row r="42" spans="1:135" x14ac:dyDescent="0.25">
      <c r="A42" s="124">
        <v>33482</v>
      </c>
      <c r="B42" s="125">
        <v>0</v>
      </c>
      <c r="C42" s="125">
        <v>0</v>
      </c>
      <c r="D42" s="125">
        <v>0</v>
      </c>
      <c r="E42" s="125" t="s">
        <v>370</v>
      </c>
      <c r="F42" s="125" t="s">
        <v>370</v>
      </c>
      <c r="G42" s="125">
        <v>0</v>
      </c>
      <c r="H42" s="125">
        <v>0</v>
      </c>
      <c r="I42" s="125">
        <v>0</v>
      </c>
      <c r="J42" s="125">
        <v>0</v>
      </c>
      <c r="K42" s="125"/>
      <c r="L42" s="125">
        <v>33920</v>
      </c>
      <c r="M42" s="125">
        <v>2884</v>
      </c>
      <c r="N42" s="125"/>
      <c r="O42" s="125">
        <v>6554</v>
      </c>
      <c r="P42" s="125">
        <v>1115</v>
      </c>
      <c r="Q42" s="125">
        <v>1286</v>
      </c>
      <c r="R42" s="125">
        <v>1761</v>
      </c>
      <c r="S42" s="125">
        <v>6822</v>
      </c>
      <c r="T42" s="125"/>
      <c r="U42" s="125"/>
      <c r="V42" s="125">
        <v>9266</v>
      </c>
      <c r="W42" s="125">
        <v>0</v>
      </c>
      <c r="X42" s="125">
        <v>897</v>
      </c>
      <c r="Y42" s="125">
        <v>40</v>
      </c>
      <c r="Z42" s="126"/>
      <c r="AA42" s="125">
        <v>24</v>
      </c>
      <c r="AB42" s="125">
        <v>0</v>
      </c>
      <c r="AC42" s="125">
        <v>6</v>
      </c>
      <c r="AD42" s="125">
        <v>19</v>
      </c>
      <c r="AE42" s="125">
        <v>9</v>
      </c>
      <c r="AF42" s="125">
        <v>35</v>
      </c>
      <c r="AG42" s="125"/>
      <c r="AH42" s="125"/>
      <c r="AI42" s="125">
        <v>54</v>
      </c>
      <c r="AJ42" s="125">
        <v>0</v>
      </c>
      <c r="AK42" s="125">
        <v>48839</v>
      </c>
      <c r="AL42" s="125">
        <v>2856</v>
      </c>
      <c r="AM42" s="125">
        <v>0</v>
      </c>
      <c r="AN42" s="125">
        <v>0</v>
      </c>
      <c r="AO42" s="125">
        <v>0</v>
      </c>
      <c r="AP42" s="125">
        <v>0</v>
      </c>
      <c r="AQ42" s="125">
        <v>0</v>
      </c>
      <c r="AR42" s="125">
        <v>1403</v>
      </c>
      <c r="AS42" s="125" t="s">
        <v>370</v>
      </c>
      <c r="AT42" s="125">
        <v>593</v>
      </c>
      <c r="AU42" s="125">
        <v>855</v>
      </c>
      <c r="AV42" s="125">
        <v>1434</v>
      </c>
      <c r="AW42" s="125">
        <v>2871</v>
      </c>
      <c r="AX42" s="126"/>
      <c r="AY42" s="126"/>
      <c r="AZ42" s="126">
        <v>0</v>
      </c>
      <c r="BA42" s="126"/>
      <c r="BB42" s="125">
        <v>1735</v>
      </c>
      <c r="BC42" s="125"/>
      <c r="BD42" s="125">
        <v>53514</v>
      </c>
      <c r="BE42" s="125">
        <v>115634</v>
      </c>
      <c r="BF42" s="125">
        <v>194</v>
      </c>
      <c r="BG42" s="125">
        <v>920</v>
      </c>
      <c r="BH42" s="125">
        <v>1049</v>
      </c>
      <c r="BI42" s="125">
        <v>3083</v>
      </c>
      <c r="BJ42" s="125">
        <v>207</v>
      </c>
      <c r="BK42" s="125">
        <v>2734</v>
      </c>
      <c r="BL42" s="125"/>
      <c r="BM42" s="125">
        <v>589</v>
      </c>
      <c r="BN42" s="125">
        <v>182</v>
      </c>
      <c r="BO42" s="125">
        <v>0</v>
      </c>
      <c r="BP42" s="125">
        <v>5603</v>
      </c>
      <c r="BQ42" s="125">
        <v>12264</v>
      </c>
      <c r="BR42" s="125">
        <v>35</v>
      </c>
      <c r="BS42" s="125">
        <v>379</v>
      </c>
      <c r="BT42" s="125">
        <v>397</v>
      </c>
      <c r="BU42" s="125"/>
      <c r="BV42" s="125">
        <v>10</v>
      </c>
      <c r="BW42" s="125">
        <v>284</v>
      </c>
      <c r="BX42" s="125"/>
      <c r="BY42" s="125">
        <v>5665</v>
      </c>
      <c r="BZ42" s="125">
        <v>7</v>
      </c>
      <c r="CA42" s="125">
        <v>0</v>
      </c>
      <c r="CB42" s="125">
        <v>11772</v>
      </c>
      <c r="CC42" s="125">
        <v>33445</v>
      </c>
      <c r="CD42" s="125">
        <v>2580</v>
      </c>
      <c r="CE42" s="125">
        <v>5474</v>
      </c>
      <c r="CF42" s="125">
        <v>0</v>
      </c>
      <c r="CG42" s="125">
        <v>0</v>
      </c>
      <c r="CH42" s="125">
        <v>69</v>
      </c>
      <c r="CI42" s="125">
        <v>700</v>
      </c>
      <c r="CJ42" s="125">
        <v>128</v>
      </c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 t="s">
        <v>370</v>
      </c>
      <c r="CZ42" s="125" t="s">
        <v>370</v>
      </c>
      <c r="DA42" s="125" t="s">
        <v>370</v>
      </c>
      <c r="DB42" s="125">
        <v>0</v>
      </c>
      <c r="DC42" s="125">
        <v>0</v>
      </c>
      <c r="DD42" s="125">
        <v>0</v>
      </c>
      <c r="DE42">
        <f t="shared" si="0"/>
        <v>382196</v>
      </c>
      <c r="DG42" s="1">
        <f t="shared" si="14"/>
        <v>259913</v>
      </c>
      <c r="DH42" s="1">
        <f t="shared" si="1"/>
        <v>126777</v>
      </c>
      <c r="DI42" s="127">
        <f t="shared" si="2"/>
        <v>386690</v>
      </c>
      <c r="DK42" s="1">
        <f t="shared" si="3"/>
        <v>57170</v>
      </c>
      <c r="DL42" s="1">
        <f t="shared" si="4"/>
        <v>58764</v>
      </c>
      <c r="DM42" s="1">
        <f t="shared" si="5"/>
        <v>7247</v>
      </c>
      <c r="DN42" s="1">
        <f t="shared" si="6"/>
        <v>3096</v>
      </c>
      <c r="DO42" s="1">
        <f t="shared" si="7"/>
        <v>180462</v>
      </c>
      <c r="DP42" s="1">
        <f t="shared" si="8"/>
        <v>61005</v>
      </c>
      <c r="DQ42" s="1">
        <f t="shared" si="15"/>
        <v>0</v>
      </c>
      <c r="DR42" s="1">
        <f t="shared" si="9"/>
        <v>11795</v>
      </c>
      <c r="DS42" s="1">
        <f t="shared" si="10"/>
        <v>0</v>
      </c>
      <c r="DT42" s="1">
        <f t="shared" si="11"/>
        <v>6298</v>
      </c>
      <c r="DU42" s="1"/>
      <c r="DV42" s="1"/>
      <c r="DW42" s="1"/>
      <c r="DX42" s="1">
        <f t="shared" si="16"/>
        <v>385837</v>
      </c>
      <c r="DZ42" s="1">
        <f t="shared" si="17"/>
        <v>0</v>
      </c>
      <c r="EA42" s="1">
        <f t="shared" si="12"/>
        <v>0</v>
      </c>
      <c r="EC42" s="1">
        <f t="shared" si="18"/>
        <v>385837</v>
      </c>
      <c r="ED42" s="1">
        <f t="shared" si="13"/>
        <v>3641</v>
      </c>
      <c r="EE42" s="1"/>
    </row>
    <row r="43" spans="1:135" x14ac:dyDescent="0.25">
      <c r="A43" s="124">
        <v>33512</v>
      </c>
      <c r="B43" s="125">
        <v>0</v>
      </c>
      <c r="C43" s="125">
        <v>0</v>
      </c>
      <c r="D43" s="125">
        <v>0</v>
      </c>
      <c r="E43" s="125" t="s">
        <v>370</v>
      </c>
      <c r="F43" s="125" t="s">
        <v>370</v>
      </c>
      <c r="G43" s="125">
        <v>0</v>
      </c>
      <c r="H43" s="125">
        <v>0</v>
      </c>
      <c r="I43" s="125">
        <v>0</v>
      </c>
      <c r="J43" s="125">
        <v>0</v>
      </c>
      <c r="K43" s="125"/>
      <c r="L43" s="125">
        <v>34097</v>
      </c>
      <c r="M43" s="125">
        <v>2888</v>
      </c>
      <c r="N43" s="125"/>
      <c r="O43" s="125">
        <v>6597</v>
      </c>
      <c r="P43" s="125">
        <v>1141</v>
      </c>
      <c r="Q43" s="125">
        <v>1309</v>
      </c>
      <c r="R43" s="125">
        <v>1812</v>
      </c>
      <c r="S43" s="125">
        <v>7247</v>
      </c>
      <c r="T43" s="125"/>
      <c r="U43" s="125"/>
      <c r="V43" s="125">
        <v>9326</v>
      </c>
      <c r="W43" s="125">
        <v>0</v>
      </c>
      <c r="X43" s="125">
        <v>898</v>
      </c>
      <c r="Y43" s="125">
        <v>40</v>
      </c>
      <c r="Z43" s="126"/>
      <c r="AA43" s="125">
        <v>23</v>
      </c>
      <c r="AB43" s="125">
        <v>0</v>
      </c>
      <c r="AC43" s="125">
        <v>6</v>
      </c>
      <c r="AD43" s="125">
        <v>18</v>
      </c>
      <c r="AE43" s="125">
        <v>8</v>
      </c>
      <c r="AF43" s="125">
        <v>36</v>
      </c>
      <c r="AG43" s="125"/>
      <c r="AH43" s="125"/>
      <c r="AI43" s="125">
        <v>52</v>
      </c>
      <c r="AJ43" s="125">
        <v>0</v>
      </c>
      <c r="AK43" s="125">
        <v>49289</v>
      </c>
      <c r="AL43" s="125">
        <v>2863</v>
      </c>
      <c r="AM43" s="125">
        <v>0</v>
      </c>
      <c r="AN43" s="125">
        <v>0</v>
      </c>
      <c r="AO43" s="125">
        <v>0</v>
      </c>
      <c r="AP43" s="125">
        <v>0</v>
      </c>
      <c r="AQ43" s="125">
        <v>0</v>
      </c>
      <c r="AR43" s="125">
        <v>1445</v>
      </c>
      <c r="AS43" s="125" t="s">
        <v>370</v>
      </c>
      <c r="AT43" s="125">
        <v>601</v>
      </c>
      <c r="AU43" s="125">
        <v>867</v>
      </c>
      <c r="AV43" s="125">
        <v>1444</v>
      </c>
      <c r="AW43" s="125">
        <v>3060</v>
      </c>
      <c r="AX43" s="126"/>
      <c r="AY43" s="126"/>
      <c r="AZ43" s="126">
        <v>0</v>
      </c>
      <c r="BA43" s="126"/>
      <c r="BB43" s="125">
        <v>1710</v>
      </c>
      <c r="BC43" s="125"/>
      <c r="BD43" s="125">
        <v>53633</v>
      </c>
      <c r="BE43" s="125">
        <v>115887</v>
      </c>
      <c r="BF43" s="125">
        <v>195</v>
      </c>
      <c r="BG43" s="125">
        <v>860</v>
      </c>
      <c r="BH43" s="125">
        <v>952</v>
      </c>
      <c r="BI43" s="125">
        <v>3082</v>
      </c>
      <c r="BJ43" s="125">
        <v>204</v>
      </c>
      <c r="BK43" s="125">
        <v>2744</v>
      </c>
      <c r="BL43" s="125"/>
      <c r="BM43" s="125">
        <v>673</v>
      </c>
      <c r="BN43" s="125">
        <v>179</v>
      </c>
      <c r="BO43" s="125">
        <v>0</v>
      </c>
      <c r="BP43" s="125">
        <v>5780</v>
      </c>
      <c r="BQ43" s="125">
        <v>12567</v>
      </c>
      <c r="BR43" s="125">
        <v>36</v>
      </c>
      <c r="BS43" s="125">
        <v>412</v>
      </c>
      <c r="BT43" s="125">
        <v>452</v>
      </c>
      <c r="BU43" s="125"/>
      <c r="BV43" s="125">
        <v>7</v>
      </c>
      <c r="BW43" s="125">
        <v>277</v>
      </c>
      <c r="BX43" s="125"/>
      <c r="BY43" s="125">
        <v>5593</v>
      </c>
      <c r="BZ43" s="125">
        <v>9</v>
      </c>
      <c r="CA43" s="125">
        <v>0</v>
      </c>
      <c r="CB43" s="125">
        <v>11721</v>
      </c>
      <c r="CC43" s="125">
        <v>34577</v>
      </c>
      <c r="CD43" s="125">
        <v>3211</v>
      </c>
      <c r="CE43" s="125">
        <v>5977</v>
      </c>
      <c r="CF43" s="125">
        <v>0</v>
      </c>
      <c r="CG43" s="125">
        <v>0</v>
      </c>
      <c r="CH43" s="125">
        <v>74</v>
      </c>
      <c r="CI43" s="125">
        <v>676</v>
      </c>
      <c r="CJ43" s="125">
        <v>135</v>
      </c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 t="s">
        <v>370</v>
      </c>
      <c r="CZ43" s="125" t="s">
        <v>370</v>
      </c>
      <c r="DA43" s="125" t="s">
        <v>370</v>
      </c>
      <c r="DB43" s="125">
        <v>0</v>
      </c>
      <c r="DC43" s="125">
        <v>0</v>
      </c>
      <c r="DD43" s="125">
        <v>0</v>
      </c>
      <c r="DE43">
        <f t="shared" si="0"/>
        <v>386690</v>
      </c>
      <c r="DG43" s="1">
        <f t="shared" si="14"/>
        <v>266401</v>
      </c>
      <c r="DH43" s="1">
        <f t="shared" si="1"/>
        <v>128309</v>
      </c>
      <c r="DI43" s="127">
        <f t="shared" si="2"/>
        <v>394710</v>
      </c>
      <c r="DK43" s="1">
        <f t="shared" si="3"/>
        <v>57454</v>
      </c>
      <c r="DL43" s="1">
        <f t="shared" si="4"/>
        <v>59264</v>
      </c>
      <c r="DM43" s="1">
        <f t="shared" si="5"/>
        <v>7634</v>
      </c>
      <c r="DN43" s="1">
        <f t="shared" si="6"/>
        <v>3243</v>
      </c>
      <c r="DO43" s="1">
        <f t="shared" si="7"/>
        <v>185409</v>
      </c>
      <c r="DP43" s="1">
        <f t="shared" si="8"/>
        <v>61358</v>
      </c>
      <c r="DQ43" s="1">
        <f t="shared" si="15"/>
        <v>0</v>
      </c>
      <c r="DR43" s="1">
        <f t="shared" si="9"/>
        <v>11887</v>
      </c>
      <c r="DS43" s="1">
        <f t="shared" si="10"/>
        <v>0</v>
      </c>
      <c r="DT43" s="1">
        <f t="shared" si="11"/>
        <v>6288</v>
      </c>
      <c r="DU43" s="1"/>
      <c r="DV43" s="1"/>
      <c r="DW43" s="1"/>
      <c r="DX43" s="1">
        <f t="shared" si="16"/>
        <v>392537</v>
      </c>
      <c r="DZ43" s="1">
        <f t="shared" si="17"/>
        <v>0</v>
      </c>
      <c r="EA43" s="1">
        <f t="shared" si="12"/>
        <v>0</v>
      </c>
      <c r="EC43" s="1">
        <f t="shared" si="18"/>
        <v>392537</v>
      </c>
      <c r="ED43" s="1">
        <f t="shared" si="13"/>
        <v>5847</v>
      </c>
      <c r="EE43" s="1"/>
    </row>
    <row r="44" spans="1:135" x14ac:dyDescent="0.25">
      <c r="A44" s="124">
        <v>33543</v>
      </c>
      <c r="B44" s="125">
        <v>0</v>
      </c>
      <c r="C44" s="125">
        <v>0</v>
      </c>
      <c r="D44" s="125">
        <v>0</v>
      </c>
      <c r="E44" s="125" t="s">
        <v>370</v>
      </c>
      <c r="F44" s="125" t="s">
        <v>370</v>
      </c>
      <c r="G44" s="125">
        <v>0</v>
      </c>
      <c r="H44" s="125">
        <v>0</v>
      </c>
      <c r="I44" s="125">
        <v>0</v>
      </c>
      <c r="J44" s="125">
        <v>0</v>
      </c>
      <c r="K44" s="125"/>
      <c r="L44" s="125">
        <v>34183</v>
      </c>
      <c r="M44" s="125">
        <v>2929</v>
      </c>
      <c r="N44" s="125"/>
      <c r="O44" s="125">
        <v>6611</v>
      </c>
      <c r="P44" s="125">
        <v>1177</v>
      </c>
      <c r="Q44" s="125">
        <v>1313</v>
      </c>
      <c r="R44" s="125">
        <v>1884</v>
      </c>
      <c r="S44" s="125">
        <v>7634</v>
      </c>
      <c r="T44" s="125"/>
      <c r="U44" s="125"/>
      <c r="V44" s="125">
        <v>9357</v>
      </c>
      <c r="W44" s="125">
        <v>0</v>
      </c>
      <c r="X44" s="125">
        <v>913</v>
      </c>
      <c r="Y44" s="125">
        <v>41</v>
      </c>
      <c r="Z44" s="126"/>
      <c r="AA44" s="125">
        <v>23</v>
      </c>
      <c r="AB44" s="125">
        <v>0</v>
      </c>
      <c r="AC44" s="125">
        <v>6</v>
      </c>
      <c r="AD44" s="125">
        <v>17</v>
      </c>
      <c r="AE44" s="125">
        <v>7</v>
      </c>
      <c r="AF44" s="125">
        <v>38</v>
      </c>
      <c r="AG44" s="125"/>
      <c r="AH44" s="125"/>
      <c r="AI44" s="125">
        <v>52</v>
      </c>
      <c r="AJ44" s="125">
        <v>0</v>
      </c>
      <c r="AK44" s="125">
        <v>49919</v>
      </c>
      <c r="AL44" s="125">
        <v>2892</v>
      </c>
      <c r="AM44" s="125">
        <v>0</v>
      </c>
      <c r="AN44" s="125">
        <v>0</v>
      </c>
      <c r="AO44" s="125">
        <v>0</v>
      </c>
      <c r="AP44" s="125">
        <v>0</v>
      </c>
      <c r="AQ44" s="125">
        <v>0</v>
      </c>
      <c r="AR44" s="125">
        <v>1472</v>
      </c>
      <c r="AS44" s="125" t="s">
        <v>370</v>
      </c>
      <c r="AT44" s="125">
        <v>614</v>
      </c>
      <c r="AU44" s="125">
        <v>860</v>
      </c>
      <c r="AV44" s="125">
        <v>1459</v>
      </c>
      <c r="AW44" s="125">
        <v>3205</v>
      </c>
      <c r="AX44" s="126"/>
      <c r="AY44" s="126"/>
      <c r="AZ44" s="126">
        <v>0</v>
      </c>
      <c r="BA44" s="126"/>
      <c r="BB44" s="125">
        <v>1703</v>
      </c>
      <c r="BC44" s="125"/>
      <c r="BD44" s="125">
        <v>54754</v>
      </c>
      <c r="BE44" s="125">
        <v>118014</v>
      </c>
      <c r="BF44" s="125">
        <v>201</v>
      </c>
      <c r="BG44" s="125">
        <v>895</v>
      </c>
      <c r="BH44" s="125">
        <v>1006</v>
      </c>
      <c r="BI44" s="125">
        <v>3112</v>
      </c>
      <c r="BJ44" s="125">
        <v>203</v>
      </c>
      <c r="BK44" s="125">
        <v>2709</v>
      </c>
      <c r="BL44" s="125"/>
      <c r="BM44" s="125">
        <v>769</v>
      </c>
      <c r="BN44" s="125">
        <v>175</v>
      </c>
      <c r="BO44" s="125">
        <v>0</v>
      </c>
      <c r="BP44" s="125">
        <v>5981</v>
      </c>
      <c r="BQ44" s="125">
        <v>12933</v>
      </c>
      <c r="BR44" s="125">
        <v>36</v>
      </c>
      <c r="BS44" s="125">
        <v>418</v>
      </c>
      <c r="BT44" s="125">
        <v>470</v>
      </c>
      <c r="BU44" s="125"/>
      <c r="BV44" s="125">
        <v>8</v>
      </c>
      <c r="BW44" s="125">
        <v>266</v>
      </c>
      <c r="BX44" s="125"/>
      <c r="BY44" s="125">
        <v>5613</v>
      </c>
      <c r="BZ44" s="125">
        <v>11</v>
      </c>
      <c r="CA44" s="125">
        <v>0</v>
      </c>
      <c r="CB44" s="125">
        <v>11822</v>
      </c>
      <c r="CC44" s="125">
        <v>35783</v>
      </c>
      <c r="CD44" s="125">
        <v>3838</v>
      </c>
      <c r="CE44" s="125">
        <v>6545</v>
      </c>
      <c r="CF44" s="125">
        <v>0</v>
      </c>
      <c r="CG44" s="125">
        <v>0</v>
      </c>
      <c r="CH44" s="125">
        <v>65</v>
      </c>
      <c r="CI44" s="125">
        <v>637</v>
      </c>
      <c r="CJ44" s="125">
        <v>137</v>
      </c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 t="s">
        <v>370</v>
      </c>
      <c r="CZ44" s="125" t="s">
        <v>370</v>
      </c>
      <c r="DA44" s="125" t="s">
        <v>370</v>
      </c>
      <c r="DB44" s="125">
        <v>0</v>
      </c>
      <c r="DC44" s="125">
        <v>0</v>
      </c>
      <c r="DD44" s="125">
        <v>0</v>
      </c>
      <c r="DE44">
        <f t="shared" si="0"/>
        <v>394710</v>
      </c>
      <c r="DG44" s="1">
        <f t="shared" si="14"/>
        <v>269160</v>
      </c>
      <c r="DH44" s="1">
        <f t="shared" si="1"/>
        <v>129158</v>
      </c>
      <c r="DI44" s="127">
        <f t="shared" si="2"/>
        <v>398318</v>
      </c>
      <c r="DK44" s="1">
        <f t="shared" si="3"/>
        <v>57590</v>
      </c>
      <c r="DL44" s="1">
        <f t="shared" si="4"/>
        <v>59978</v>
      </c>
      <c r="DM44" s="1">
        <f t="shared" si="5"/>
        <v>7911</v>
      </c>
      <c r="DN44" s="1">
        <f t="shared" si="6"/>
        <v>3348</v>
      </c>
      <c r="DO44" s="1">
        <f t="shared" si="7"/>
        <v>187942</v>
      </c>
      <c r="DP44" s="1">
        <f t="shared" si="8"/>
        <v>62817</v>
      </c>
      <c r="DQ44" s="1">
        <f t="shared" si="15"/>
        <v>0</v>
      </c>
      <c r="DR44" s="1">
        <f t="shared" si="9"/>
        <v>11646</v>
      </c>
      <c r="DS44" s="1">
        <f t="shared" si="10"/>
        <v>0</v>
      </c>
      <c r="DT44" s="1">
        <f t="shared" si="11"/>
        <v>6264</v>
      </c>
      <c r="DU44" s="1"/>
      <c r="DV44" s="1"/>
      <c r="DW44" s="1"/>
      <c r="DX44" s="1">
        <f t="shared" si="16"/>
        <v>397496</v>
      </c>
      <c r="DZ44" s="1">
        <f t="shared" si="17"/>
        <v>0</v>
      </c>
      <c r="EA44" s="1">
        <f t="shared" si="12"/>
        <v>0</v>
      </c>
      <c r="EC44" s="1">
        <f t="shared" si="18"/>
        <v>397496</v>
      </c>
      <c r="ED44" s="1">
        <f t="shared" si="13"/>
        <v>2786</v>
      </c>
      <c r="EE44" s="1"/>
    </row>
    <row r="45" spans="1:135" x14ac:dyDescent="0.25">
      <c r="A45" s="124">
        <v>33573</v>
      </c>
      <c r="B45" s="125">
        <v>0</v>
      </c>
      <c r="C45" s="125">
        <v>0</v>
      </c>
      <c r="D45" s="125">
        <v>0</v>
      </c>
      <c r="E45" s="125" t="s">
        <v>370</v>
      </c>
      <c r="F45" s="125" t="s">
        <v>370</v>
      </c>
      <c r="G45" s="125">
        <v>0</v>
      </c>
      <c r="H45" s="125">
        <v>0</v>
      </c>
      <c r="I45" s="125">
        <v>0</v>
      </c>
      <c r="J45" s="125">
        <v>0</v>
      </c>
      <c r="K45" s="125"/>
      <c r="L45" s="125">
        <v>34195</v>
      </c>
      <c r="M45" s="125">
        <v>2930</v>
      </c>
      <c r="N45" s="125"/>
      <c r="O45" s="125">
        <v>6667</v>
      </c>
      <c r="P45" s="125">
        <v>1181</v>
      </c>
      <c r="Q45" s="125">
        <v>1307</v>
      </c>
      <c r="R45" s="125">
        <v>1937</v>
      </c>
      <c r="S45" s="125">
        <v>7911</v>
      </c>
      <c r="T45" s="125"/>
      <c r="U45" s="125"/>
      <c r="V45" s="125">
        <v>9373</v>
      </c>
      <c r="W45" s="125">
        <v>0</v>
      </c>
      <c r="X45" s="125">
        <v>909</v>
      </c>
      <c r="Y45" s="125">
        <v>40</v>
      </c>
      <c r="Z45" s="126"/>
      <c r="AA45" s="125">
        <v>23</v>
      </c>
      <c r="AB45" s="125">
        <v>0</v>
      </c>
      <c r="AC45" s="125">
        <v>6</v>
      </c>
      <c r="AD45" s="125">
        <v>17</v>
      </c>
      <c r="AE45" s="125">
        <v>6</v>
      </c>
      <c r="AF45" s="125">
        <v>38</v>
      </c>
      <c r="AG45" s="125"/>
      <c r="AH45" s="125"/>
      <c r="AI45" s="125">
        <v>49</v>
      </c>
      <c r="AJ45" s="125">
        <v>0</v>
      </c>
      <c r="AK45" s="125">
        <v>50251</v>
      </c>
      <c r="AL45" s="125">
        <v>2920</v>
      </c>
      <c r="AM45" s="125">
        <v>0</v>
      </c>
      <c r="AN45" s="125">
        <v>0</v>
      </c>
      <c r="AO45" s="125">
        <v>0</v>
      </c>
      <c r="AP45" s="125">
        <v>0</v>
      </c>
      <c r="AQ45" s="125">
        <v>0</v>
      </c>
      <c r="AR45" s="125">
        <v>1460</v>
      </c>
      <c r="AS45" s="125" t="s">
        <v>370</v>
      </c>
      <c r="AT45" s="125">
        <v>603</v>
      </c>
      <c r="AU45" s="125">
        <v>882</v>
      </c>
      <c r="AV45" s="125">
        <v>1476</v>
      </c>
      <c r="AW45" s="125">
        <v>3310</v>
      </c>
      <c r="AX45" s="126"/>
      <c r="AY45" s="126"/>
      <c r="AZ45" s="126">
        <v>0</v>
      </c>
      <c r="BA45" s="126"/>
      <c r="BB45" s="125">
        <v>1667</v>
      </c>
      <c r="BC45" s="125"/>
      <c r="BD45" s="125">
        <v>55217</v>
      </c>
      <c r="BE45" s="125">
        <v>118998</v>
      </c>
      <c r="BF45" s="125">
        <v>200</v>
      </c>
      <c r="BG45" s="125">
        <v>988</v>
      </c>
      <c r="BH45" s="125">
        <v>1086</v>
      </c>
      <c r="BI45" s="125">
        <v>3097</v>
      </c>
      <c r="BJ45" s="125">
        <v>192</v>
      </c>
      <c r="BK45" s="125">
        <v>2700</v>
      </c>
      <c r="BL45" s="125"/>
      <c r="BM45" s="125">
        <v>688</v>
      </c>
      <c r="BN45" s="125">
        <v>172</v>
      </c>
      <c r="BO45" s="125">
        <v>0</v>
      </c>
      <c r="BP45" s="125">
        <v>5973</v>
      </c>
      <c r="BQ45" s="125">
        <v>12948</v>
      </c>
      <c r="BR45" s="125">
        <v>35</v>
      </c>
      <c r="BS45" s="125">
        <v>442</v>
      </c>
      <c r="BT45" s="125">
        <v>484</v>
      </c>
      <c r="BU45" s="125"/>
      <c r="BV45" s="125">
        <v>9</v>
      </c>
      <c r="BW45" s="125">
        <v>267</v>
      </c>
      <c r="BX45" s="125"/>
      <c r="BY45" s="125">
        <v>5584</v>
      </c>
      <c r="BZ45" s="125">
        <v>13</v>
      </c>
      <c r="CA45" s="125">
        <v>0</v>
      </c>
      <c r="CB45" s="125">
        <v>11591</v>
      </c>
      <c r="CC45" s="125">
        <v>36484</v>
      </c>
      <c r="CD45" s="125">
        <v>4341</v>
      </c>
      <c r="CE45" s="125">
        <v>6843</v>
      </c>
      <c r="CF45" s="125">
        <v>0</v>
      </c>
      <c r="CG45" s="125">
        <v>0</v>
      </c>
      <c r="CH45" s="125">
        <v>55</v>
      </c>
      <c r="CI45" s="125">
        <v>600</v>
      </c>
      <c r="CJ45" s="125">
        <v>153</v>
      </c>
      <c r="CK45" s="125"/>
      <c r="CL45" s="125"/>
      <c r="CM45" s="125"/>
      <c r="CN45" s="125"/>
      <c r="CO45" s="125"/>
      <c r="CP45" s="125"/>
      <c r="CQ45" s="125"/>
      <c r="CR45" s="125"/>
      <c r="CS45" s="125"/>
      <c r="CT45" s="125"/>
      <c r="CU45" s="125"/>
      <c r="CV45" s="125"/>
      <c r="CW45" s="125"/>
      <c r="CX45" s="125"/>
      <c r="CY45" s="125" t="s">
        <v>370</v>
      </c>
      <c r="CZ45" s="125" t="s">
        <v>370</v>
      </c>
      <c r="DA45" s="125" t="s">
        <v>370</v>
      </c>
      <c r="DB45" s="125">
        <v>0</v>
      </c>
      <c r="DC45" s="125">
        <v>0</v>
      </c>
      <c r="DD45" s="125">
        <v>0</v>
      </c>
      <c r="DE45">
        <f t="shared" si="0"/>
        <v>398318</v>
      </c>
      <c r="DG45" s="1">
        <f t="shared" si="14"/>
        <v>275304</v>
      </c>
      <c r="DH45" s="1">
        <f t="shared" si="1"/>
        <v>130111</v>
      </c>
      <c r="DI45" s="127">
        <f t="shared" si="2"/>
        <v>405415</v>
      </c>
      <c r="DK45" s="1">
        <f t="shared" si="3"/>
        <v>57673</v>
      </c>
      <c r="DL45" s="1">
        <f t="shared" si="4"/>
        <v>60309</v>
      </c>
      <c r="DM45" s="1">
        <f t="shared" si="5"/>
        <v>8184</v>
      </c>
      <c r="DN45" s="1">
        <f t="shared" si="6"/>
        <v>3470</v>
      </c>
      <c r="DO45" s="1">
        <f t="shared" si="7"/>
        <v>192768</v>
      </c>
      <c r="DP45" s="1">
        <f t="shared" si="8"/>
        <v>63308</v>
      </c>
      <c r="DQ45" s="1">
        <f t="shared" si="15"/>
        <v>0</v>
      </c>
      <c r="DR45" s="1">
        <f t="shared" si="9"/>
        <v>11585</v>
      </c>
      <c r="DS45" s="1">
        <f t="shared" si="10"/>
        <v>0</v>
      </c>
      <c r="DT45" s="1">
        <f t="shared" si="11"/>
        <v>6236</v>
      </c>
      <c r="DU45" s="1"/>
      <c r="DV45" s="1"/>
      <c r="DW45" s="1"/>
      <c r="DX45" s="1">
        <f t="shared" si="16"/>
        <v>403533</v>
      </c>
      <c r="DZ45" s="1">
        <f t="shared" si="17"/>
        <v>0</v>
      </c>
      <c r="EA45" s="1">
        <f t="shared" si="12"/>
        <v>0</v>
      </c>
      <c r="EC45" s="1">
        <f t="shared" si="18"/>
        <v>403533</v>
      </c>
      <c r="ED45" s="1">
        <f t="shared" si="13"/>
        <v>5215</v>
      </c>
      <c r="EE45" s="1"/>
    </row>
    <row r="46" spans="1:135" x14ac:dyDescent="0.25">
      <c r="A46" s="124">
        <v>33604</v>
      </c>
      <c r="B46" s="125">
        <v>0</v>
      </c>
      <c r="C46" s="125">
        <v>0</v>
      </c>
      <c r="D46" s="125">
        <v>0</v>
      </c>
      <c r="E46" s="125" t="s">
        <v>370</v>
      </c>
      <c r="F46" s="125" t="s">
        <v>370</v>
      </c>
      <c r="G46" s="125">
        <v>0</v>
      </c>
      <c r="H46" s="125">
        <v>0</v>
      </c>
      <c r="I46" s="125">
        <v>0</v>
      </c>
      <c r="J46" s="125">
        <v>0</v>
      </c>
      <c r="K46" s="125"/>
      <c r="L46" s="125">
        <v>34192</v>
      </c>
      <c r="M46" s="125">
        <v>2947</v>
      </c>
      <c r="N46" s="125"/>
      <c r="O46" s="125">
        <v>6697</v>
      </c>
      <c r="P46" s="125">
        <v>1196</v>
      </c>
      <c r="Q46" s="125">
        <v>1316</v>
      </c>
      <c r="R46" s="125">
        <v>2014</v>
      </c>
      <c r="S46" s="125">
        <v>8184</v>
      </c>
      <c r="T46" s="125"/>
      <c r="U46" s="125"/>
      <c r="V46" s="125">
        <v>9311</v>
      </c>
      <c r="W46" s="125">
        <v>0</v>
      </c>
      <c r="X46" s="125">
        <v>905</v>
      </c>
      <c r="Y46" s="125">
        <v>38</v>
      </c>
      <c r="Z46" s="126"/>
      <c r="AA46" s="125">
        <v>23</v>
      </c>
      <c r="AB46" s="125">
        <v>0</v>
      </c>
      <c r="AC46" s="125">
        <v>6</v>
      </c>
      <c r="AD46" s="125">
        <v>18</v>
      </c>
      <c r="AE46" s="125">
        <v>7</v>
      </c>
      <c r="AF46" s="125">
        <v>40</v>
      </c>
      <c r="AG46" s="125"/>
      <c r="AH46" s="125"/>
      <c r="AI46" s="125">
        <v>49</v>
      </c>
      <c r="AJ46" s="125">
        <v>0</v>
      </c>
      <c r="AK46" s="125">
        <v>50695</v>
      </c>
      <c r="AL46" s="125">
        <v>2939</v>
      </c>
      <c r="AM46" s="125">
        <v>0</v>
      </c>
      <c r="AN46" s="125">
        <v>0</v>
      </c>
      <c r="AO46" s="125">
        <v>0</v>
      </c>
      <c r="AP46" s="125">
        <v>0</v>
      </c>
      <c r="AQ46" s="125">
        <v>0</v>
      </c>
      <c r="AR46" s="125">
        <v>1461</v>
      </c>
      <c r="AS46" s="125" t="s">
        <v>370</v>
      </c>
      <c r="AT46" s="125">
        <v>609</v>
      </c>
      <c r="AU46" s="125">
        <v>904</v>
      </c>
      <c r="AV46" s="125">
        <v>1486</v>
      </c>
      <c r="AW46" s="125">
        <v>3430</v>
      </c>
      <c r="AX46" s="126"/>
      <c r="AY46" s="126"/>
      <c r="AZ46" s="126">
        <v>0</v>
      </c>
      <c r="BA46" s="126"/>
      <c r="BB46" s="125">
        <v>1644</v>
      </c>
      <c r="BC46" s="125"/>
      <c r="BD46" s="125">
        <v>56441</v>
      </c>
      <c r="BE46" s="125">
        <v>121292</v>
      </c>
      <c r="BF46" s="125">
        <v>198</v>
      </c>
      <c r="BG46" s="125">
        <v>1085</v>
      </c>
      <c r="BH46" s="125">
        <v>1185</v>
      </c>
      <c r="BI46" s="125">
        <v>3090</v>
      </c>
      <c r="BJ46" s="125">
        <v>199</v>
      </c>
      <c r="BK46" s="125">
        <v>2694</v>
      </c>
      <c r="BL46" s="125"/>
      <c r="BM46" s="125">
        <v>707</v>
      </c>
      <c r="BN46" s="125">
        <v>171</v>
      </c>
      <c r="BO46" s="125">
        <v>0</v>
      </c>
      <c r="BP46" s="125">
        <v>6036</v>
      </c>
      <c r="BQ46" s="125">
        <v>13119</v>
      </c>
      <c r="BR46" s="125">
        <v>35</v>
      </c>
      <c r="BS46" s="125">
        <v>446</v>
      </c>
      <c r="BT46" s="125">
        <v>490</v>
      </c>
      <c r="BU46" s="125"/>
      <c r="BV46" s="125">
        <v>11</v>
      </c>
      <c r="BW46" s="125">
        <v>254</v>
      </c>
      <c r="BX46" s="125"/>
      <c r="BY46" s="125">
        <v>5613</v>
      </c>
      <c r="BZ46" s="125">
        <v>17</v>
      </c>
      <c r="CA46" s="125">
        <v>0</v>
      </c>
      <c r="CB46" s="125">
        <v>11530</v>
      </c>
      <c r="CC46" s="125">
        <v>37832</v>
      </c>
      <c r="CD46" s="125">
        <v>4923</v>
      </c>
      <c r="CE46" s="125">
        <v>7114</v>
      </c>
      <c r="CF46" s="125">
        <v>0</v>
      </c>
      <c r="CG46" s="125">
        <v>0</v>
      </c>
      <c r="CH46" s="125">
        <v>55</v>
      </c>
      <c r="CI46" s="125">
        <v>602</v>
      </c>
      <c r="CJ46" s="125">
        <v>165</v>
      </c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 t="s">
        <v>370</v>
      </c>
      <c r="CZ46" s="125" t="s">
        <v>370</v>
      </c>
      <c r="DA46" s="125" t="s">
        <v>370</v>
      </c>
      <c r="DB46" s="125">
        <v>0</v>
      </c>
      <c r="DC46" s="125">
        <v>0</v>
      </c>
      <c r="DD46" s="125">
        <v>0</v>
      </c>
      <c r="DE46">
        <f t="shared" si="0"/>
        <v>405415</v>
      </c>
      <c r="DG46" s="1">
        <f t="shared" si="14"/>
        <v>280855</v>
      </c>
      <c r="DH46" s="1">
        <f t="shared" si="1"/>
        <v>131087</v>
      </c>
      <c r="DI46" s="127">
        <f t="shared" si="2"/>
        <v>411942</v>
      </c>
      <c r="DK46" s="1">
        <f t="shared" si="3"/>
        <v>57599</v>
      </c>
      <c r="DL46" s="1">
        <f t="shared" si="4"/>
        <v>60784</v>
      </c>
      <c r="DM46" s="1">
        <f t="shared" si="5"/>
        <v>8416</v>
      </c>
      <c r="DN46" s="1">
        <f t="shared" si="6"/>
        <v>3558</v>
      </c>
      <c r="DO46" s="1">
        <f t="shared" si="7"/>
        <v>197044</v>
      </c>
      <c r="DP46" s="1">
        <f t="shared" si="8"/>
        <v>64715</v>
      </c>
      <c r="DQ46" s="1">
        <f t="shared" si="15"/>
        <v>0</v>
      </c>
      <c r="DR46" s="1">
        <f t="shared" si="9"/>
        <v>11906</v>
      </c>
      <c r="DS46" s="1">
        <f t="shared" si="10"/>
        <v>0</v>
      </c>
      <c r="DT46" s="1">
        <f t="shared" si="11"/>
        <v>6313</v>
      </c>
      <c r="DU46" s="1"/>
      <c r="DV46" s="1"/>
      <c r="DW46" s="1"/>
      <c r="DX46" s="1">
        <f t="shared" si="16"/>
        <v>410335</v>
      </c>
      <c r="DZ46" s="1">
        <f t="shared" si="17"/>
        <v>0</v>
      </c>
      <c r="EA46" s="1">
        <f t="shared" si="12"/>
        <v>0</v>
      </c>
      <c r="EC46" s="1">
        <f t="shared" si="18"/>
        <v>410335</v>
      </c>
      <c r="ED46" s="1">
        <f t="shared" si="13"/>
        <v>4920</v>
      </c>
      <c r="EE46" s="1"/>
    </row>
    <row r="47" spans="1:135" x14ac:dyDescent="0.25">
      <c r="A47" s="124">
        <v>33635</v>
      </c>
      <c r="B47" s="125">
        <v>0</v>
      </c>
      <c r="C47" s="125">
        <v>0</v>
      </c>
      <c r="D47" s="125">
        <v>0</v>
      </c>
      <c r="E47" s="125" t="s">
        <v>370</v>
      </c>
      <c r="F47" s="125" t="s">
        <v>370</v>
      </c>
      <c r="G47" s="125">
        <v>0</v>
      </c>
      <c r="H47" s="125">
        <v>0</v>
      </c>
      <c r="I47" s="125">
        <v>0</v>
      </c>
      <c r="J47" s="125">
        <v>0</v>
      </c>
      <c r="K47" s="125"/>
      <c r="L47" s="125">
        <v>34173</v>
      </c>
      <c r="M47" s="125">
        <v>2922</v>
      </c>
      <c r="N47" s="125"/>
      <c r="O47" s="125">
        <v>6676</v>
      </c>
      <c r="P47" s="125">
        <v>1182</v>
      </c>
      <c r="Q47" s="125">
        <v>1328</v>
      </c>
      <c r="R47" s="125">
        <v>2067</v>
      </c>
      <c r="S47" s="125">
        <v>8416</v>
      </c>
      <c r="T47" s="125"/>
      <c r="U47" s="125"/>
      <c r="V47" s="125">
        <v>9251</v>
      </c>
      <c r="W47" s="125">
        <v>0</v>
      </c>
      <c r="X47" s="125">
        <v>906</v>
      </c>
      <c r="Y47" s="125">
        <v>40</v>
      </c>
      <c r="Z47" s="126"/>
      <c r="AA47" s="125">
        <v>25</v>
      </c>
      <c r="AB47" s="125">
        <v>0</v>
      </c>
      <c r="AC47" s="125">
        <v>7</v>
      </c>
      <c r="AD47" s="125">
        <v>18</v>
      </c>
      <c r="AE47" s="125">
        <v>7</v>
      </c>
      <c r="AF47" s="125">
        <v>39</v>
      </c>
      <c r="AG47" s="125"/>
      <c r="AH47" s="125"/>
      <c r="AI47" s="125">
        <v>48</v>
      </c>
      <c r="AJ47" s="125">
        <v>0</v>
      </c>
      <c r="AK47" s="125">
        <v>51411</v>
      </c>
      <c r="AL47" s="125">
        <v>2946</v>
      </c>
      <c r="AM47" s="125">
        <v>0</v>
      </c>
      <c r="AN47" s="125">
        <v>0</v>
      </c>
      <c r="AO47" s="125">
        <v>0</v>
      </c>
      <c r="AP47" s="125">
        <v>0</v>
      </c>
      <c r="AQ47" s="125">
        <v>0</v>
      </c>
      <c r="AR47" s="125">
        <v>1448</v>
      </c>
      <c r="AS47" s="125" t="s">
        <v>370</v>
      </c>
      <c r="AT47" s="125">
        <v>606</v>
      </c>
      <c r="AU47" s="125">
        <v>917</v>
      </c>
      <c r="AV47" s="125">
        <v>1516</v>
      </c>
      <c r="AW47" s="125">
        <v>3519</v>
      </c>
      <c r="AX47" s="126"/>
      <c r="AY47" s="126"/>
      <c r="AZ47" s="126">
        <v>0</v>
      </c>
      <c r="BA47" s="126"/>
      <c r="BB47" s="125">
        <v>1619</v>
      </c>
      <c r="BC47" s="125"/>
      <c r="BD47" s="125">
        <v>57256</v>
      </c>
      <c r="BE47" s="125">
        <v>122880</v>
      </c>
      <c r="BF47" s="125">
        <v>206</v>
      </c>
      <c r="BG47" s="125">
        <v>1138</v>
      </c>
      <c r="BH47" s="125">
        <v>1263</v>
      </c>
      <c r="BI47" s="125">
        <v>3111</v>
      </c>
      <c r="BJ47" s="125">
        <v>204</v>
      </c>
      <c r="BK47" s="125">
        <v>2739</v>
      </c>
      <c r="BL47" s="125"/>
      <c r="BM47" s="125">
        <v>702</v>
      </c>
      <c r="BN47" s="125">
        <v>172</v>
      </c>
      <c r="BO47" s="125">
        <v>0</v>
      </c>
      <c r="BP47" s="125">
        <v>6013</v>
      </c>
      <c r="BQ47" s="125">
        <v>12986</v>
      </c>
      <c r="BR47" s="125">
        <v>37</v>
      </c>
      <c r="BS47" s="125">
        <v>483</v>
      </c>
      <c r="BT47" s="125">
        <v>517</v>
      </c>
      <c r="BU47" s="125"/>
      <c r="BV47" s="125">
        <v>10</v>
      </c>
      <c r="BW47" s="125">
        <v>257</v>
      </c>
      <c r="BX47" s="125"/>
      <c r="BY47" s="125">
        <v>5682</v>
      </c>
      <c r="BZ47" s="125">
        <v>20</v>
      </c>
      <c r="CA47" s="125">
        <v>0</v>
      </c>
      <c r="CB47" s="125">
        <v>11851</v>
      </c>
      <c r="CC47" s="125">
        <v>39458</v>
      </c>
      <c r="CD47" s="125">
        <v>5572</v>
      </c>
      <c r="CE47" s="125">
        <v>7462</v>
      </c>
      <c r="CF47" s="125">
        <v>0</v>
      </c>
      <c r="CG47" s="125">
        <v>0</v>
      </c>
      <c r="CH47" s="125">
        <v>55</v>
      </c>
      <c r="CI47" s="125">
        <v>598</v>
      </c>
      <c r="CJ47" s="125">
        <v>183</v>
      </c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 t="s">
        <v>370</v>
      </c>
      <c r="CZ47" s="125" t="s">
        <v>370</v>
      </c>
      <c r="DA47" s="125" t="s">
        <v>370</v>
      </c>
      <c r="DB47" s="125">
        <v>0</v>
      </c>
      <c r="DC47" s="125">
        <v>0</v>
      </c>
      <c r="DD47" s="125">
        <v>0</v>
      </c>
      <c r="DE47">
        <f t="shared" si="0"/>
        <v>411942</v>
      </c>
      <c r="DG47" s="1">
        <f t="shared" si="14"/>
        <v>283830</v>
      </c>
      <c r="DH47" s="1">
        <f t="shared" si="1"/>
        <v>132235</v>
      </c>
      <c r="DI47" s="127">
        <f t="shared" si="2"/>
        <v>416065</v>
      </c>
      <c r="DK47" s="1">
        <f t="shared" si="3"/>
        <v>57679</v>
      </c>
      <c r="DL47" s="1">
        <f t="shared" si="4"/>
        <v>61514</v>
      </c>
      <c r="DM47" s="1">
        <f t="shared" si="5"/>
        <v>8717</v>
      </c>
      <c r="DN47" s="1">
        <f t="shared" si="6"/>
        <v>3747</v>
      </c>
      <c r="DO47" s="1">
        <f t="shared" si="7"/>
        <v>199642</v>
      </c>
      <c r="DP47" s="1">
        <f t="shared" si="8"/>
        <v>65592</v>
      </c>
      <c r="DQ47" s="1">
        <f t="shared" si="15"/>
        <v>0</v>
      </c>
      <c r="DR47" s="1">
        <f t="shared" si="9"/>
        <v>12046</v>
      </c>
      <c r="DS47" s="1">
        <f t="shared" si="10"/>
        <v>0</v>
      </c>
      <c r="DT47" s="1">
        <f t="shared" si="11"/>
        <v>6289</v>
      </c>
      <c r="DU47" s="1"/>
      <c r="DV47" s="1"/>
      <c r="DW47" s="1"/>
      <c r="DX47" s="1">
        <f t="shared" si="16"/>
        <v>415226</v>
      </c>
      <c r="DZ47" s="1">
        <f t="shared" si="17"/>
        <v>0</v>
      </c>
      <c r="EA47" s="1">
        <f t="shared" si="12"/>
        <v>0</v>
      </c>
      <c r="EC47" s="1">
        <f t="shared" si="18"/>
        <v>415226</v>
      </c>
      <c r="ED47" s="1">
        <f t="shared" si="13"/>
        <v>3284</v>
      </c>
      <c r="EE47" s="1"/>
    </row>
    <row r="48" spans="1:135" x14ac:dyDescent="0.25">
      <c r="A48" s="124">
        <v>33664</v>
      </c>
      <c r="B48" s="125">
        <v>0</v>
      </c>
      <c r="C48" s="125">
        <v>0</v>
      </c>
      <c r="D48" s="125">
        <v>0</v>
      </c>
      <c r="E48" s="125" t="s">
        <v>370</v>
      </c>
      <c r="F48" s="125" t="s">
        <v>370</v>
      </c>
      <c r="G48" s="125">
        <v>0</v>
      </c>
      <c r="H48" s="125">
        <v>0</v>
      </c>
      <c r="I48" s="125">
        <v>0</v>
      </c>
      <c r="J48" s="125">
        <v>0</v>
      </c>
      <c r="K48" s="125"/>
      <c r="L48" s="125">
        <v>34182</v>
      </c>
      <c r="M48" s="125">
        <v>2935</v>
      </c>
      <c r="N48" s="125"/>
      <c r="O48" s="125">
        <v>6706</v>
      </c>
      <c r="P48" s="125">
        <v>1222</v>
      </c>
      <c r="Q48" s="125">
        <v>1329</v>
      </c>
      <c r="R48" s="125">
        <v>2162</v>
      </c>
      <c r="S48" s="125">
        <v>8717</v>
      </c>
      <c r="T48" s="125"/>
      <c r="U48" s="125"/>
      <c r="V48" s="125">
        <v>9143</v>
      </c>
      <c r="W48" s="125">
        <v>0</v>
      </c>
      <c r="X48" s="125">
        <v>913</v>
      </c>
      <c r="Y48" s="125">
        <v>39</v>
      </c>
      <c r="Z48" s="126"/>
      <c r="AA48" s="125">
        <v>26</v>
      </c>
      <c r="AB48" s="125">
        <v>0</v>
      </c>
      <c r="AC48" s="125">
        <v>7</v>
      </c>
      <c r="AD48" s="125">
        <v>18</v>
      </c>
      <c r="AE48" s="125">
        <v>7</v>
      </c>
      <c r="AF48" s="125">
        <v>41</v>
      </c>
      <c r="AG48" s="125"/>
      <c r="AH48" s="125"/>
      <c r="AI48" s="125">
        <v>44</v>
      </c>
      <c r="AJ48" s="125">
        <v>0</v>
      </c>
      <c r="AK48" s="125">
        <v>51980</v>
      </c>
      <c r="AL48" s="125">
        <v>2942</v>
      </c>
      <c r="AM48" s="125">
        <v>0</v>
      </c>
      <c r="AN48" s="125">
        <v>0</v>
      </c>
      <c r="AO48" s="125">
        <v>0</v>
      </c>
      <c r="AP48" s="125">
        <v>0</v>
      </c>
      <c r="AQ48" s="125">
        <v>0</v>
      </c>
      <c r="AR48" s="125">
        <v>1472</v>
      </c>
      <c r="AS48" s="125" t="s">
        <v>370</v>
      </c>
      <c r="AT48" s="125">
        <v>598</v>
      </c>
      <c r="AU48" s="125">
        <v>918</v>
      </c>
      <c r="AV48" s="125">
        <v>1529</v>
      </c>
      <c r="AW48" s="125">
        <v>3706</v>
      </c>
      <c r="AX48" s="126"/>
      <c r="AY48" s="126"/>
      <c r="AZ48" s="126">
        <v>0</v>
      </c>
      <c r="BA48" s="126"/>
      <c r="BB48" s="125">
        <v>1599</v>
      </c>
      <c r="BC48" s="125"/>
      <c r="BD48" s="125">
        <v>57525</v>
      </c>
      <c r="BE48" s="125">
        <v>123490</v>
      </c>
      <c r="BF48" s="125">
        <v>211</v>
      </c>
      <c r="BG48" s="125">
        <v>1180</v>
      </c>
      <c r="BH48" s="125">
        <v>1314</v>
      </c>
      <c r="BI48" s="125">
        <v>3100</v>
      </c>
      <c r="BJ48" s="125">
        <v>215</v>
      </c>
      <c r="BK48" s="125">
        <v>2734</v>
      </c>
      <c r="BL48" s="125"/>
      <c r="BM48" s="125">
        <v>703</v>
      </c>
      <c r="BN48" s="125">
        <v>168</v>
      </c>
      <c r="BO48" s="125">
        <v>0</v>
      </c>
      <c r="BP48" s="125">
        <v>5944</v>
      </c>
      <c r="BQ48" s="125">
        <v>12756</v>
      </c>
      <c r="BR48" s="125">
        <v>37</v>
      </c>
      <c r="BS48" s="125">
        <v>501</v>
      </c>
      <c r="BT48" s="125">
        <v>535</v>
      </c>
      <c r="BU48" s="125"/>
      <c r="BV48" s="125">
        <v>8</v>
      </c>
      <c r="BW48" s="125">
        <v>244</v>
      </c>
      <c r="BX48" s="125"/>
      <c r="BY48" s="125">
        <v>5705</v>
      </c>
      <c r="BZ48" s="125">
        <v>30</v>
      </c>
      <c r="CA48" s="125">
        <v>0</v>
      </c>
      <c r="CB48" s="125">
        <v>11995</v>
      </c>
      <c r="CC48" s="125">
        <v>40754</v>
      </c>
      <c r="CD48" s="125">
        <v>6227</v>
      </c>
      <c r="CE48" s="125">
        <v>7653</v>
      </c>
      <c r="CF48" s="125">
        <v>0</v>
      </c>
      <c r="CG48" s="125">
        <v>0</v>
      </c>
      <c r="CH48" s="125">
        <v>51</v>
      </c>
      <c r="CI48" s="125">
        <v>572</v>
      </c>
      <c r="CJ48" s="125">
        <v>178</v>
      </c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 t="s">
        <v>370</v>
      </c>
      <c r="CZ48" s="125" t="s">
        <v>370</v>
      </c>
      <c r="DA48" s="125" t="s">
        <v>370</v>
      </c>
      <c r="DB48" s="125">
        <v>0</v>
      </c>
      <c r="DC48" s="125">
        <v>0</v>
      </c>
      <c r="DD48" s="125">
        <v>0</v>
      </c>
      <c r="DE48">
        <f t="shared" si="0"/>
        <v>416065</v>
      </c>
      <c r="DG48" s="1">
        <f t="shared" si="14"/>
        <v>288505</v>
      </c>
      <c r="DH48" s="1">
        <f t="shared" si="1"/>
        <v>133992</v>
      </c>
      <c r="DI48" s="127">
        <f t="shared" si="2"/>
        <v>422497</v>
      </c>
      <c r="DK48" s="1">
        <f t="shared" si="3"/>
        <v>58046</v>
      </c>
      <c r="DL48" s="1">
        <f t="shared" si="4"/>
        <v>62092</v>
      </c>
      <c r="DM48" s="1">
        <f t="shared" si="5"/>
        <v>9032</v>
      </c>
      <c r="DN48" s="1">
        <f t="shared" si="6"/>
        <v>3892</v>
      </c>
      <c r="DO48" s="1">
        <f t="shared" si="7"/>
        <v>203465</v>
      </c>
      <c r="DP48" s="1">
        <f t="shared" si="8"/>
        <v>65853</v>
      </c>
      <c r="DQ48" s="1">
        <f t="shared" si="15"/>
        <v>0</v>
      </c>
      <c r="DR48" s="1">
        <f t="shared" si="9"/>
        <v>12498</v>
      </c>
      <c r="DS48" s="1">
        <f t="shared" si="10"/>
        <v>0</v>
      </c>
      <c r="DT48" s="1">
        <f t="shared" si="11"/>
        <v>6285</v>
      </c>
      <c r="DU48" s="1"/>
      <c r="DV48" s="1"/>
      <c r="DW48" s="1"/>
      <c r="DX48" s="1">
        <f t="shared" si="16"/>
        <v>421163</v>
      </c>
      <c r="DZ48" s="1">
        <f t="shared" si="17"/>
        <v>0</v>
      </c>
      <c r="EA48" s="1">
        <f t="shared" si="12"/>
        <v>0</v>
      </c>
      <c r="EC48" s="1">
        <f t="shared" si="18"/>
        <v>421163</v>
      </c>
      <c r="ED48" s="1">
        <f t="shared" si="13"/>
        <v>5098</v>
      </c>
      <c r="EE48" s="1"/>
    </row>
    <row r="49" spans="1:135" x14ac:dyDescent="0.25">
      <c r="A49" s="124">
        <v>33695</v>
      </c>
      <c r="B49" s="125">
        <v>0</v>
      </c>
      <c r="C49" s="125">
        <v>0</v>
      </c>
      <c r="D49" s="125">
        <v>0</v>
      </c>
      <c r="E49" s="125" t="s">
        <v>370</v>
      </c>
      <c r="F49" s="125" t="s">
        <v>370</v>
      </c>
      <c r="G49" s="125">
        <v>0</v>
      </c>
      <c r="H49" s="125">
        <v>0</v>
      </c>
      <c r="I49" s="125">
        <v>0</v>
      </c>
      <c r="J49" s="125">
        <v>0</v>
      </c>
      <c r="K49" s="125"/>
      <c r="L49" s="125">
        <v>34307</v>
      </c>
      <c r="M49" s="125">
        <v>2983</v>
      </c>
      <c r="N49" s="125"/>
      <c r="O49" s="125">
        <v>6817</v>
      </c>
      <c r="P49" s="125">
        <v>1227</v>
      </c>
      <c r="Q49" s="125">
        <v>1321</v>
      </c>
      <c r="R49" s="125">
        <v>2275</v>
      </c>
      <c r="S49" s="125">
        <v>9032</v>
      </c>
      <c r="T49" s="125"/>
      <c r="U49" s="125"/>
      <c r="V49" s="125">
        <v>9116</v>
      </c>
      <c r="W49" s="125">
        <v>0</v>
      </c>
      <c r="X49" s="125">
        <v>909</v>
      </c>
      <c r="Y49" s="125">
        <v>41</v>
      </c>
      <c r="Z49" s="126"/>
      <c r="AA49" s="125">
        <v>27</v>
      </c>
      <c r="AB49" s="125">
        <v>0</v>
      </c>
      <c r="AC49" s="125">
        <v>6</v>
      </c>
      <c r="AD49" s="125">
        <v>17</v>
      </c>
      <c r="AE49" s="125">
        <v>9</v>
      </c>
      <c r="AF49" s="125">
        <v>44</v>
      </c>
      <c r="AG49" s="125"/>
      <c r="AH49" s="125"/>
      <c r="AI49" s="125">
        <v>46</v>
      </c>
      <c r="AJ49" s="125">
        <v>0</v>
      </c>
      <c r="AK49" s="125">
        <v>52806</v>
      </c>
      <c r="AL49" s="125">
        <v>2966</v>
      </c>
      <c r="AM49" s="125">
        <v>0</v>
      </c>
      <c r="AN49" s="125">
        <v>0</v>
      </c>
      <c r="AO49" s="125">
        <v>0</v>
      </c>
      <c r="AP49" s="125">
        <v>0</v>
      </c>
      <c r="AQ49" s="125">
        <v>0</v>
      </c>
      <c r="AR49" s="125">
        <v>1555</v>
      </c>
      <c r="AS49" s="125" t="s">
        <v>370</v>
      </c>
      <c r="AT49" s="125">
        <v>603</v>
      </c>
      <c r="AU49" s="125">
        <v>927</v>
      </c>
      <c r="AV49" s="125">
        <v>1532</v>
      </c>
      <c r="AW49" s="125">
        <v>3848</v>
      </c>
      <c r="AX49" s="126"/>
      <c r="AY49" s="126"/>
      <c r="AZ49" s="126">
        <v>0</v>
      </c>
      <c r="BA49" s="126"/>
      <c r="BB49" s="125">
        <v>1578</v>
      </c>
      <c r="BC49" s="125"/>
      <c r="BD49" s="125">
        <v>57810</v>
      </c>
      <c r="BE49" s="125">
        <v>124313</v>
      </c>
      <c r="BF49" s="125">
        <v>212</v>
      </c>
      <c r="BG49" s="125">
        <v>1230</v>
      </c>
      <c r="BH49" s="125">
        <v>1391</v>
      </c>
      <c r="BI49" s="125">
        <v>3149</v>
      </c>
      <c r="BJ49" s="125">
        <v>223</v>
      </c>
      <c r="BK49" s="125">
        <v>2682</v>
      </c>
      <c r="BL49" s="125"/>
      <c r="BM49" s="125">
        <v>703</v>
      </c>
      <c r="BN49" s="125">
        <v>169</v>
      </c>
      <c r="BO49" s="125">
        <v>0</v>
      </c>
      <c r="BP49" s="125">
        <v>5996</v>
      </c>
      <c r="BQ49" s="125">
        <v>12774</v>
      </c>
      <c r="BR49" s="125">
        <v>37</v>
      </c>
      <c r="BS49" s="125">
        <v>518</v>
      </c>
      <c r="BT49" s="125">
        <v>572</v>
      </c>
      <c r="BU49" s="125"/>
      <c r="BV49" s="125">
        <v>5</v>
      </c>
      <c r="BW49" s="125">
        <v>242</v>
      </c>
      <c r="BX49" s="125"/>
      <c r="BY49" s="125">
        <v>5761</v>
      </c>
      <c r="BZ49" s="125">
        <v>36</v>
      </c>
      <c r="CA49" s="125">
        <v>0</v>
      </c>
      <c r="CB49" s="125">
        <v>12449</v>
      </c>
      <c r="CC49" s="125">
        <v>42585</v>
      </c>
      <c r="CD49" s="125">
        <v>7046</v>
      </c>
      <c r="CE49" s="125">
        <v>7828</v>
      </c>
      <c r="CF49" s="125">
        <v>0</v>
      </c>
      <c r="CG49" s="125">
        <v>0</v>
      </c>
      <c r="CH49" s="125">
        <v>49</v>
      </c>
      <c r="CI49" s="125">
        <v>557</v>
      </c>
      <c r="CJ49" s="125">
        <v>168</v>
      </c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 t="s">
        <v>370</v>
      </c>
      <c r="CZ49" s="125" t="s">
        <v>370</v>
      </c>
      <c r="DA49" s="125" t="s">
        <v>370</v>
      </c>
      <c r="DB49" s="125">
        <v>0</v>
      </c>
      <c r="DC49" s="125">
        <v>0</v>
      </c>
      <c r="DD49" s="125">
        <v>0</v>
      </c>
      <c r="DE49">
        <f t="shared" si="0"/>
        <v>422497</v>
      </c>
      <c r="DG49" s="1">
        <f t="shared" si="14"/>
        <v>291909</v>
      </c>
      <c r="DH49" s="1">
        <f t="shared" si="1"/>
        <v>135224</v>
      </c>
      <c r="DI49" s="127">
        <f t="shared" si="2"/>
        <v>427133</v>
      </c>
      <c r="DK49" s="1">
        <f t="shared" si="3"/>
        <v>58237</v>
      </c>
      <c r="DL49" s="1">
        <f t="shared" si="4"/>
        <v>63022</v>
      </c>
      <c r="DM49" s="1">
        <f t="shared" si="5"/>
        <v>9267</v>
      </c>
      <c r="DN49" s="1">
        <f t="shared" si="6"/>
        <v>3983</v>
      </c>
      <c r="DO49" s="1">
        <f t="shared" si="7"/>
        <v>206253</v>
      </c>
      <c r="DP49" s="1">
        <f t="shared" si="8"/>
        <v>66257</v>
      </c>
      <c r="DQ49" s="1">
        <f t="shared" si="15"/>
        <v>0</v>
      </c>
      <c r="DR49" s="1">
        <f t="shared" si="9"/>
        <v>12723</v>
      </c>
      <c r="DS49" s="1">
        <f t="shared" si="10"/>
        <v>0</v>
      </c>
      <c r="DT49" s="1">
        <f t="shared" si="11"/>
        <v>6328</v>
      </c>
      <c r="DU49" s="1"/>
      <c r="DV49" s="1"/>
      <c r="DW49" s="1"/>
      <c r="DX49" s="1">
        <f t="shared" si="16"/>
        <v>426070</v>
      </c>
      <c r="DZ49" s="1">
        <f t="shared" si="17"/>
        <v>0</v>
      </c>
      <c r="EA49" s="1">
        <f t="shared" si="12"/>
        <v>0</v>
      </c>
      <c r="EC49" s="1">
        <f t="shared" si="18"/>
        <v>426070</v>
      </c>
      <c r="ED49" s="1">
        <f t="shared" si="13"/>
        <v>3573</v>
      </c>
      <c r="EE49" s="1"/>
    </row>
    <row r="50" spans="1:135" x14ac:dyDescent="0.25">
      <c r="A50" s="124">
        <v>33725</v>
      </c>
      <c r="B50" s="125">
        <v>0</v>
      </c>
      <c r="C50" s="125">
        <v>0</v>
      </c>
      <c r="D50" s="125">
        <v>0</v>
      </c>
      <c r="E50" s="125" t="s">
        <v>370</v>
      </c>
      <c r="F50" s="125" t="s">
        <v>370</v>
      </c>
      <c r="G50" s="125">
        <v>0</v>
      </c>
      <c r="H50" s="125">
        <v>0</v>
      </c>
      <c r="I50" s="125">
        <v>0</v>
      </c>
      <c r="J50" s="125">
        <v>0</v>
      </c>
      <c r="K50" s="125"/>
      <c r="L50" s="125">
        <v>34329</v>
      </c>
      <c r="M50" s="125">
        <v>2980</v>
      </c>
      <c r="N50" s="125"/>
      <c r="O50" s="125">
        <v>6887</v>
      </c>
      <c r="P50" s="125">
        <v>1219</v>
      </c>
      <c r="Q50" s="125">
        <v>1325</v>
      </c>
      <c r="R50" s="125">
        <v>2294</v>
      </c>
      <c r="S50" s="125">
        <v>9267</v>
      </c>
      <c r="T50" s="125"/>
      <c r="U50" s="125"/>
      <c r="V50" s="125">
        <v>9203</v>
      </c>
      <c r="W50" s="125">
        <v>0</v>
      </c>
      <c r="X50" s="125">
        <v>907</v>
      </c>
      <c r="Y50" s="125">
        <v>38</v>
      </c>
      <c r="Z50" s="126"/>
      <c r="AA50" s="125">
        <v>28</v>
      </c>
      <c r="AB50" s="125">
        <v>0</v>
      </c>
      <c r="AC50" s="125">
        <v>6</v>
      </c>
      <c r="AD50" s="125">
        <v>17</v>
      </c>
      <c r="AE50" s="125">
        <v>9</v>
      </c>
      <c r="AF50" s="125">
        <v>48</v>
      </c>
      <c r="AG50" s="125"/>
      <c r="AH50" s="125"/>
      <c r="AI50" s="125">
        <v>49</v>
      </c>
      <c r="AJ50" s="125">
        <v>0</v>
      </c>
      <c r="AK50" s="125">
        <v>53458</v>
      </c>
      <c r="AL50" s="125">
        <v>2997</v>
      </c>
      <c r="AM50" s="125">
        <v>0</v>
      </c>
      <c r="AN50" s="125">
        <v>0</v>
      </c>
      <c r="AO50" s="125">
        <v>0</v>
      </c>
      <c r="AP50" s="125">
        <v>0</v>
      </c>
      <c r="AQ50" s="125">
        <v>0</v>
      </c>
      <c r="AR50" s="125">
        <v>1571</v>
      </c>
      <c r="AS50" s="125" t="s">
        <v>370</v>
      </c>
      <c r="AT50" s="125">
        <v>616</v>
      </c>
      <c r="AU50" s="125">
        <v>925</v>
      </c>
      <c r="AV50" s="125">
        <v>1548</v>
      </c>
      <c r="AW50" s="125">
        <v>3935</v>
      </c>
      <c r="AX50" s="126"/>
      <c r="AY50" s="126"/>
      <c r="AZ50" s="126">
        <v>0</v>
      </c>
      <c r="BA50" s="126"/>
      <c r="BB50" s="125">
        <v>1568</v>
      </c>
      <c r="BC50" s="125"/>
      <c r="BD50" s="125">
        <v>57956</v>
      </c>
      <c r="BE50" s="125">
        <v>124720</v>
      </c>
      <c r="BF50" s="125">
        <v>214</v>
      </c>
      <c r="BG50" s="125">
        <v>1181</v>
      </c>
      <c r="BH50" s="125">
        <v>1340</v>
      </c>
      <c r="BI50" s="125">
        <v>3150</v>
      </c>
      <c r="BJ50" s="125">
        <v>232</v>
      </c>
      <c r="BK50" s="125">
        <v>2724</v>
      </c>
      <c r="BL50" s="125"/>
      <c r="BM50" s="125">
        <v>655</v>
      </c>
      <c r="BN50" s="125">
        <v>162</v>
      </c>
      <c r="BO50" s="125">
        <v>0</v>
      </c>
      <c r="BP50" s="125">
        <v>6202</v>
      </c>
      <c r="BQ50" s="125">
        <v>13119</v>
      </c>
      <c r="BR50" s="125">
        <v>36</v>
      </c>
      <c r="BS50" s="125">
        <v>611</v>
      </c>
      <c r="BT50" s="125">
        <v>670</v>
      </c>
      <c r="BU50" s="125"/>
      <c r="BV50" s="125">
        <v>7</v>
      </c>
      <c r="BW50" s="125">
        <v>240</v>
      </c>
      <c r="BX50" s="125"/>
      <c r="BY50" s="125">
        <v>5818</v>
      </c>
      <c r="BZ50" s="125">
        <v>39</v>
      </c>
      <c r="CA50" s="125">
        <v>0</v>
      </c>
      <c r="CB50" s="125">
        <v>12676</v>
      </c>
      <c r="CC50" s="125">
        <v>43619</v>
      </c>
      <c r="CD50" s="125">
        <v>7762</v>
      </c>
      <c r="CE50" s="125">
        <v>8030</v>
      </c>
      <c r="CF50" s="125">
        <v>0</v>
      </c>
      <c r="CG50" s="125">
        <v>0</v>
      </c>
      <c r="CH50" s="125">
        <v>47</v>
      </c>
      <c r="CI50" s="125">
        <v>541</v>
      </c>
      <c r="CJ50" s="125">
        <v>158</v>
      </c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 t="s">
        <v>370</v>
      </c>
      <c r="CZ50" s="125" t="s">
        <v>370</v>
      </c>
      <c r="DA50" s="125" t="s">
        <v>370</v>
      </c>
      <c r="DB50" s="125">
        <v>0</v>
      </c>
      <c r="DC50" s="125">
        <v>0</v>
      </c>
      <c r="DD50" s="125">
        <v>0</v>
      </c>
      <c r="DE50">
        <f t="shared" si="0"/>
        <v>427133</v>
      </c>
      <c r="DG50" s="1">
        <f t="shared" si="14"/>
        <v>294072</v>
      </c>
      <c r="DH50" s="1">
        <f t="shared" si="1"/>
        <v>136576</v>
      </c>
      <c r="DI50" s="127">
        <f t="shared" si="2"/>
        <v>430648</v>
      </c>
      <c r="DK50" s="1">
        <f t="shared" si="3"/>
        <v>58583</v>
      </c>
      <c r="DL50" s="1">
        <f t="shared" si="4"/>
        <v>63737</v>
      </c>
      <c r="DM50" s="1">
        <f t="shared" si="5"/>
        <v>9482</v>
      </c>
      <c r="DN50" s="1">
        <f t="shared" si="6"/>
        <v>4063</v>
      </c>
      <c r="DO50" s="1">
        <f t="shared" si="7"/>
        <v>208193</v>
      </c>
      <c r="DP50" s="1">
        <f t="shared" si="8"/>
        <v>66605</v>
      </c>
      <c r="DQ50" s="1">
        <f t="shared" si="15"/>
        <v>0</v>
      </c>
      <c r="DR50" s="1">
        <f t="shared" si="9"/>
        <v>12770</v>
      </c>
      <c r="DS50" s="1">
        <f t="shared" si="10"/>
        <v>0</v>
      </c>
      <c r="DT50" s="1">
        <f t="shared" si="11"/>
        <v>6344</v>
      </c>
      <c r="DU50" s="1"/>
      <c r="DV50" s="1"/>
      <c r="DW50" s="1"/>
      <c r="DX50" s="1">
        <f t="shared" si="16"/>
        <v>429777</v>
      </c>
      <c r="DZ50" s="1">
        <f t="shared" si="17"/>
        <v>0</v>
      </c>
      <c r="EA50" s="1">
        <f t="shared" si="12"/>
        <v>0</v>
      </c>
      <c r="EC50" s="1">
        <f t="shared" si="18"/>
        <v>429777</v>
      </c>
      <c r="ED50" s="1">
        <f t="shared" si="13"/>
        <v>2644</v>
      </c>
      <c r="EE50" s="1"/>
    </row>
    <row r="51" spans="1:135" x14ac:dyDescent="0.25">
      <c r="A51" s="124">
        <v>33756</v>
      </c>
      <c r="B51" s="125">
        <v>0</v>
      </c>
      <c r="C51" s="125">
        <v>0</v>
      </c>
      <c r="D51" s="125">
        <v>0</v>
      </c>
      <c r="E51" s="125" t="s">
        <v>370</v>
      </c>
      <c r="F51" s="125" t="s">
        <v>370</v>
      </c>
      <c r="G51" s="125">
        <v>0</v>
      </c>
      <c r="H51" s="125">
        <v>0</v>
      </c>
      <c r="I51" s="125">
        <v>0</v>
      </c>
      <c r="J51" s="125">
        <v>0</v>
      </c>
      <c r="K51" s="125"/>
      <c r="L51" s="125">
        <v>34435</v>
      </c>
      <c r="M51" s="125">
        <v>2967</v>
      </c>
      <c r="N51" s="125"/>
      <c r="O51" s="125">
        <v>6983</v>
      </c>
      <c r="P51" s="125">
        <v>1231</v>
      </c>
      <c r="Q51" s="125">
        <v>1331</v>
      </c>
      <c r="R51" s="125">
        <v>2370</v>
      </c>
      <c r="S51" s="125">
        <v>9482</v>
      </c>
      <c r="T51" s="125"/>
      <c r="U51" s="125"/>
      <c r="V51" s="125">
        <v>9266</v>
      </c>
      <c r="W51" s="125">
        <v>0</v>
      </c>
      <c r="X51" s="125">
        <v>912</v>
      </c>
      <c r="Y51" s="125">
        <v>37</v>
      </c>
      <c r="Z51" s="126"/>
      <c r="AA51" s="125">
        <v>30</v>
      </c>
      <c r="AB51" s="125">
        <v>0</v>
      </c>
      <c r="AC51" s="125">
        <v>6</v>
      </c>
      <c r="AD51" s="125">
        <v>17</v>
      </c>
      <c r="AE51" s="125">
        <v>8</v>
      </c>
      <c r="AF51" s="125">
        <v>49</v>
      </c>
      <c r="AG51" s="125"/>
      <c r="AH51" s="125"/>
      <c r="AI51" s="125">
        <v>46</v>
      </c>
      <c r="AJ51" s="125">
        <v>0</v>
      </c>
      <c r="AK51" s="125">
        <v>54037</v>
      </c>
      <c r="AL51" s="125">
        <v>3041</v>
      </c>
      <c r="AM51" s="125">
        <v>0</v>
      </c>
      <c r="AN51" s="125">
        <v>0</v>
      </c>
      <c r="AO51" s="125">
        <v>0</v>
      </c>
      <c r="AP51" s="125">
        <v>0</v>
      </c>
      <c r="AQ51" s="125">
        <v>0</v>
      </c>
      <c r="AR51" s="125">
        <v>1643</v>
      </c>
      <c r="AS51" s="125" t="s">
        <v>370</v>
      </c>
      <c r="AT51" s="125">
        <v>614</v>
      </c>
      <c r="AU51" s="125">
        <v>931</v>
      </c>
      <c r="AV51" s="125">
        <v>1558</v>
      </c>
      <c r="AW51" s="125">
        <v>4014</v>
      </c>
      <c r="AX51" s="126"/>
      <c r="AY51" s="126"/>
      <c r="AZ51" s="126">
        <v>0</v>
      </c>
      <c r="BA51" s="126"/>
      <c r="BB51" s="125">
        <v>1568</v>
      </c>
      <c r="BC51" s="125"/>
      <c r="BD51" s="125">
        <v>57858</v>
      </c>
      <c r="BE51" s="125">
        <v>124779</v>
      </c>
      <c r="BF51" s="125">
        <v>216</v>
      </c>
      <c r="BG51" s="125">
        <v>1122</v>
      </c>
      <c r="BH51" s="125">
        <v>1283</v>
      </c>
      <c r="BI51" s="125">
        <v>3144</v>
      </c>
      <c r="BJ51" s="125">
        <v>227</v>
      </c>
      <c r="BK51" s="125">
        <v>2740</v>
      </c>
      <c r="BL51" s="125"/>
      <c r="BM51" s="125">
        <v>685</v>
      </c>
      <c r="BN51" s="125">
        <v>161</v>
      </c>
      <c r="BO51" s="125">
        <v>0</v>
      </c>
      <c r="BP51" s="125">
        <v>6454</v>
      </c>
      <c r="BQ51" s="125">
        <v>13528</v>
      </c>
      <c r="BR51" s="125">
        <v>34</v>
      </c>
      <c r="BS51" s="125">
        <v>646</v>
      </c>
      <c r="BT51" s="125">
        <v>688</v>
      </c>
      <c r="BU51" s="125"/>
      <c r="BV51" s="125">
        <v>7</v>
      </c>
      <c r="BW51" s="125">
        <v>244</v>
      </c>
      <c r="BX51" s="125"/>
      <c r="BY51" s="125">
        <v>5802</v>
      </c>
      <c r="BZ51" s="125">
        <v>39</v>
      </c>
      <c r="CA51" s="125">
        <v>0</v>
      </c>
      <c r="CB51" s="125">
        <v>12725</v>
      </c>
      <c r="CC51" s="125">
        <v>44378</v>
      </c>
      <c r="CD51" s="125">
        <v>8446</v>
      </c>
      <c r="CE51" s="125">
        <v>8145</v>
      </c>
      <c r="CF51" s="125">
        <v>0</v>
      </c>
      <c r="CG51" s="125">
        <v>0</v>
      </c>
      <c r="CH51" s="125">
        <v>45</v>
      </c>
      <c r="CI51" s="125">
        <v>523</v>
      </c>
      <c r="CJ51" s="125">
        <v>153</v>
      </c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 t="s">
        <v>370</v>
      </c>
      <c r="CZ51" s="125" t="s">
        <v>370</v>
      </c>
      <c r="DA51" s="125" t="s">
        <v>370</v>
      </c>
      <c r="DB51" s="125">
        <v>0</v>
      </c>
      <c r="DC51" s="125">
        <v>0</v>
      </c>
      <c r="DD51" s="125">
        <v>0</v>
      </c>
      <c r="DE51">
        <f t="shared" si="0"/>
        <v>430648</v>
      </c>
      <c r="DG51" s="1">
        <f t="shared" si="14"/>
        <v>294995</v>
      </c>
      <c r="DH51" s="1">
        <f t="shared" si="1"/>
        <v>137789</v>
      </c>
      <c r="DI51" s="127">
        <f t="shared" si="2"/>
        <v>432784</v>
      </c>
      <c r="DK51" s="1">
        <f t="shared" si="3"/>
        <v>58913</v>
      </c>
      <c r="DL51" s="1">
        <f t="shared" si="4"/>
        <v>64448</v>
      </c>
      <c r="DM51" s="1">
        <f t="shared" si="5"/>
        <v>9611</v>
      </c>
      <c r="DN51" s="1">
        <f t="shared" si="6"/>
        <v>4173</v>
      </c>
      <c r="DO51" s="1">
        <f t="shared" si="7"/>
        <v>209276</v>
      </c>
      <c r="DP51" s="1">
        <f t="shared" si="8"/>
        <v>66765</v>
      </c>
      <c r="DQ51" s="1">
        <f t="shared" si="15"/>
        <v>0</v>
      </c>
      <c r="DR51" s="1">
        <f t="shared" si="9"/>
        <v>12815</v>
      </c>
      <c r="DS51" s="1">
        <f t="shared" si="10"/>
        <v>0</v>
      </c>
      <c r="DT51" s="1">
        <f t="shared" si="11"/>
        <v>6303</v>
      </c>
      <c r="DU51" s="1"/>
      <c r="DV51" s="1"/>
      <c r="DW51" s="1"/>
      <c r="DX51" s="1">
        <f t="shared" si="16"/>
        <v>432304</v>
      </c>
      <c r="DZ51" s="1">
        <f t="shared" si="17"/>
        <v>0</v>
      </c>
      <c r="EA51" s="1">
        <f t="shared" si="12"/>
        <v>0</v>
      </c>
      <c r="EC51" s="1">
        <f t="shared" si="18"/>
        <v>432304</v>
      </c>
      <c r="ED51" s="1">
        <f t="shared" si="13"/>
        <v>1656</v>
      </c>
      <c r="EE51" s="1"/>
    </row>
    <row r="52" spans="1:135" x14ac:dyDescent="0.25">
      <c r="A52" s="124">
        <v>33786</v>
      </c>
      <c r="B52" s="125">
        <v>0</v>
      </c>
      <c r="C52" s="125">
        <v>0</v>
      </c>
      <c r="D52" s="125">
        <v>0</v>
      </c>
      <c r="E52" s="125" t="s">
        <v>370</v>
      </c>
      <c r="F52" s="125" t="s">
        <v>370</v>
      </c>
      <c r="G52" s="125">
        <v>0</v>
      </c>
      <c r="H52" s="125">
        <v>0</v>
      </c>
      <c r="I52" s="125">
        <v>0</v>
      </c>
      <c r="J52" s="125">
        <v>0</v>
      </c>
      <c r="K52" s="125"/>
      <c r="L52" s="125">
        <v>34516</v>
      </c>
      <c r="M52" s="125">
        <v>2991</v>
      </c>
      <c r="N52" s="125"/>
      <c r="O52" s="125">
        <v>7123</v>
      </c>
      <c r="P52" s="125">
        <v>1260</v>
      </c>
      <c r="Q52" s="125">
        <v>1329</v>
      </c>
      <c r="R52" s="125">
        <v>2409</v>
      </c>
      <c r="S52" s="125">
        <v>9611</v>
      </c>
      <c r="T52" s="125"/>
      <c r="U52" s="125"/>
      <c r="V52" s="125">
        <v>9285</v>
      </c>
      <c r="W52" s="125">
        <v>0</v>
      </c>
      <c r="X52" s="125">
        <v>907</v>
      </c>
      <c r="Y52" s="125">
        <v>35</v>
      </c>
      <c r="Z52" s="126"/>
      <c r="AA52" s="125">
        <v>30</v>
      </c>
      <c r="AB52" s="125">
        <v>0</v>
      </c>
      <c r="AC52" s="125">
        <v>5</v>
      </c>
      <c r="AD52" s="125">
        <v>18</v>
      </c>
      <c r="AE52" s="125">
        <v>9</v>
      </c>
      <c r="AF52" s="125">
        <v>50</v>
      </c>
      <c r="AG52" s="125"/>
      <c r="AH52" s="125"/>
      <c r="AI52" s="125">
        <v>45</v>
      </c>
      <c r="AJ52" s="125">
        <v>0</v>
      </c>
      <c r="AK52" s="125">
        <v>54639</v>
      </c>
      <c r="AL52" s="125">
        <v>3057</v>
      </c>
      <c r="AM52" s="125">
        <v>0</v>
      </c>
      <c r="AN52" s="125">
        <v>0</v>
      </c>
      <c r="AO52" s="125">
        <v>0</v>
      </c>
      <c r="AP52" s="125">
        <v>0</v>
      </c>
      <c r="AQ52" s="125">
        <v>0</v>
      </c>
      <c r="AR52" s="125">
        <v>1660</v>
      </c>
      <c r="AS52" s="125" t="s">
        <v>370</v>
      </c>
      <c r="AT52" s="125">
        <v>619</v>
      </c>
      <c r="AU52" s="125">
        <v>933</v>
      </c>
      <c r="AV52" s="125">
        <v>1578</v>
      </c>
      <c r="AW52" s="125">
        <v>4123</v>
      </c>
      <c r="AX52" s="126"/>
      <c r="AY52" s="126"/>
      <c r="AZ52" s="126">
        <v>0</v>
      </c>
      <c r="BA52" s="126"/>
      <c r="BB52" s="125">
        <v>1557</v>
      </c>
      <c r="BC52" s="125"/>
      <c r="BD52" s="125">
        <v>57452</v>
      </c>
      <c r="BE52" s="125">
        <v>124075</v>
      </c>
      <c r="BF52" s="125">
        <v>211</v>
      </c>
      <c r="BG52" s="125">
        <v>1098</v>
      </c>
      <c r="BH52" s="125">
        <v>1231</v>
      </c>
      <c r="BI52" s="125">
        <v>3118</v>
      </c>
      <c r="BJ52" s="125">
        <v>218</v>
      </c>
      <c r="BK52" s="125">
        <v>2723</v>
      </c>
      <c r="BL52" s="125"/>
      <c r="BM52" s="125">
        <v>642</v>
      </c>
      <c r="BN52" s="125">
        <v>159</v>
      </c>
      <c r="BO52" s="125">
        <v>0</v>
      </c>
      <c r="BP52" s="125">
        <v>6744</v>
      </c>
      <c r="BQ52" s="125">
        <v>13842</v>
      </c>
      <c r="BR52" s="125">
        <v>37</v>
      </c>
      <c r="BS52" s="125">
        <v>665</v>
      </c>
      <c r="BT52" s="125">
        <v>736</v>
      </c>
      <c r="BU52" s="125"/>
      <c r="BV52" s="125">
        <v>7</v>
      </c>
      <c r="BW52" s="125">
        <v>251</v>
      </c>
      <c r="BX52" s="125"/>
      <c r="BY52" s="125">
        <v>5642</v>
      </c>
      <c r="BZ52" s="125">
        <v>23</v>
      </c>
      <c r="CA52" s="125">
        <v>0</v>
      </c>
      <c r="CB52" s="125">
        <v>12774</v>
      </c>
      <c r="CC52" s="125">
        <v>45069</v>
      </c>
      <c r="CD52" s="125">
        <v>9246</v>
      </c>
      <c r="CE52" s="125">
        <v>8319</v>
      </c>
      <c r="CF52" s="125">
        <v>0</v>
      </c>
      <c r="CG52" s="125">
        <v>0</v>
      </c>
      <c r="CH52" s="125">
        <v>41</v>
      </c>
      <c r="CI52" s="125">
        <v>507</v>
      </c>
      <c r="CJ52" s="125">
        <v>165</v>
      </c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 t="s">
        <v>370</v>
      </c>
      <c r="CZ52" s="125" t="s">
        <v>370</v>
      </c>
      <c r="DA52" s="125" t="s">
        <v>370</v>
      </c>
      <c r="DB52" s="125">
        <v>0</v>
      </c>
      <c r="DC52" s="125">
        <v>0</v>
      </c>
      <c r="DD52" s="125">
        <v>0</v>
      </c>
      <c r="DE52">
        <f t="shared" si="0"/>
        <v>432784</v>
      </c>
      <c r="DG52" s="1">
        <f t="shared" si="14"/>
        <v>299487</v>
      </c>
      <c r="DH52" s="1">
        <f t="shared" si="1"/>
        <v>139094</v>
      </c>
      <c r="DI52" s="127">
        <f t="shared" si="2"/>
        <v>438581</v>
      </c>
      <c r="DK52" s="1">
        <f t="shared" si="3"/>
        <v>59129</v>
      </c>
      <c r="DL52" s="1">
        <f t="shared" si="4"/>
        <v>65092</v>
      </c>
      <c r="DM52" s="1">
        <f t="shared" si="5"/>
        <v>9795</v>
      </c>
      <c r="DN52" s="1">
        <f t="shared" si="6"/>
        <v>4271</v>
      </c>
      <c r="DO52" s="1">
        <f t="shared" si="7"/>
        <v>212800</v>
      </c>
      <c r="DP52" s="1">
        <f t="shared" si="8"/>
        <v>66601</v>
      </c>
      <c r="DQ52" s="1">
        <f t="shared" si="15"/>
        <v>0</v>
      </c>
      <c r="DR52" s="1">
        <f t="shared" si="9"/>
        <v>13075</v>
      </c>
      <c r="DS52" s="1">
        <f t="shared" si="10"/>
        <v>0</v>
      </c>
      <c r="DT52" s="1">
        <f t="shared" si="11"/>
        <v>6278</v>
      </c>
      <c r="DU52" s="1"/>
      <c r="DV52" s="1"/>
      <c r="DW52" s="1"/>
      <c r="DX52" s="1">
        <f t="shared" si="16"/>
        <v>437041</v>
      </c>
      <c r="DZ52" s="1">
        <f t="shared" si="17"/>
        <v>0</v>
      </c>
      <c r="EA52" s="1">
        <f t="shared" si="12"/>
        <v>0</v>
      </c>
      <c r="EC52" s="1">
        <f t="shared" si="18"/>
        <v>437041</v>
      </c>
      <c r="ED52" s="1">
        <f t="shared" si="13"/>
        <v>4257</v>
      </c>
      <c r="EE52" s="1"/>
    </row>
    <row r="53" spans="1:135" x14ac:dyDescent="0.25">
      <c r="A53" s="124">
        <v>33817</v>
      </c>
      <c r="B53" s="125">
        <v>0</v>
      </c>
      <c r="C53" s="125">
        <v>0</v>
      </c>
      <c r="D53" s="125">
        <v>0</v>
      </c>
      <c r="E53" s="125" t="s">
        <v>370</v>
      </c>
      <c r="F53" s="125" t="s">
        <v>370</v>
      </c>
      <c r="G53" s="125">
        <v>0</v>
      </c>
      <c r="H53" s="125">
        <v>0</v>
      </c>
      <c r="I53" s="125">
        <v>0</v>
      </c>
      <c r="J53" s="125">
        <v>0</v>
      </c>
      <c r="K53" s="125"/>
      <c r="L53" s="125">
        <v>34523</v>
      </c>
      <c r="M53" s="125">
        <v>3022</v>
      </c>
      <c r="N53" s="125"/>
      <c r="O53" s="125">
        <v>7192</v>
      </c>
      <c r="P53" s="125">
        <v>1267</v>
      </c>
      <c r="Q53" s="125">
        <v>1336</v>
      </c>
      <c r="R53" s="125">
        <v>2481</v>
      </c>
      <c r="S53" s="125">
        <v>9795</v>
      </c>
      <c r="T53" s="125"/>
      <c r="U53" s="125"/>
      <c r="V53" s="125">
        <v>9308</v>
      </c>
      <c r="W53" s="125">
        <v>0</v>
      </c>
      <c r="X53" s="125">
        <v>907</v>
      </c>
      <c r="Y53" s="125">
        <v>36</v>
      </c>
      <c r="Z53" s="126"/>
      <c r="AA53" s="125">
        <v>30</v>
      </c>
      <c r="AB53" s="125">
        <v>0</v>
      </c>
      <c r="AC53" s="125">
        <v>7</v>
      </c>
      <c r="AD53" s="125">
        <v>19</v>
      </c>
      <c r="AE53" s="125">
        <v>9</v>
      </c>
      <c r="AF53" s="125">
        <v>49</v>
      </c>
      <c r="AG53" s="125"/>
      <c r="AH53" s="125"/>
      <c r="AI53" s="125">
        <v>42</v>
      </c>
      <c r="AJ53" s="125">
        <v>0</v>
      </c>
      <c r="AK53" s="125">
        <v>55345</v>
      </c>
      <c r="AL53" s="125">
        <v>3079</v>
      </c>
      <c r="AM53" s="125">
        <v>0</v>
      </c>
      <c r="AN53" s="125">
        <v>0</v>
      </c>
      <c r="AO53" s="125">
        <v>0</v>
      </c>
      <c r="AP53" s="125">
        <v>0</v>
      </c>
      <c r="AQ53" s="125">
        <v>0</v>
      </c>
      <c r="AR53" s="125">
        <v>1712</v>
      </c>
      <c r="AS53" s="125" t="s">
        <v>370</v>
      </c>
      <c r="AT53" s="125">
        <v>633</v>
      </c>
      <c r="AU53" s="125">
        <v>949</v>
      </c>
      <c r="AV53" s="125">
        <v>1585</v>
      </c>
      <c r="AW53" s="125">
        <v>4222</v>
      </c>
      <c r="AX53" s="126"/>
      <c r="AY53" s="126"/>
      <c r="AZ53" s="126">
        <v>0</v>
      </c>
      <c r="BA53" s="126"/>
      <c r="BB53" s="125">
        <v>1546</v>
      </c>
      <c r="BC53" s="125"/>
      <c r="BD53" s="125">
        <v>57851</v>
      </c>
      <c r="BE53" s="125">
        <v>124752</v>
      </c>
      <c r="BF53" s="125">
        <v>209</v>
      </c>
      <c r="BG53" s="125">
        <v>1185</v>
      </c>
      <c r="BH53" s="125">
        <v>1062</v>
      </c>
      <c r="BI53" s="125">
        <v>3086</v>
      </c>
      <c r="BJ53" s="125">
        <v>211</v>
      </c>
      <c r="BK53" s="125">
        <v>2726</v>
      </c>
      <c r="BL53" s="125"/>
      <c r="BM53" s="125">
        <v>697</v>
      </c>
      <c r="BN53" s="125">
        <v>157</v>
      </c>
      <c r="BO53" s="125">
        <v>0</v>
      </c>
      <c r="BP53" s="125">
        <v>6908</v>
      </c>
      <c r="BQ53" s="125">
        <v>13889</v>
      </c>
      <c r="BR53" s="125">
        <v>36</v>
      </c>
      <c r="BS53" s="125">
        <v>693</v>
      </c>
      <c r="BT53" s="125">
        <v>746</v>
      </c>
      <c r="BU53" s="125"/>
      <c r="BV53" s="125">
        <v>8</v>
      </c>
      <c r="BW53" s="125">
        <v>257</v>
      </c>
      <c r="BX53" s="125"/>
      <c r="BY53" s="125">
        <v>5403</v>
      </c>
      <c r="BZ53" s="125">
        <v>26</v>
      </c>
      <c r="CA53" s="125">
        <v>0</v>
      </c>
      <c r="CB53" s="125">
        <v>13033</v>
      </c>
      <c r="CC53" s="125">
        <v>45489</v>
      </c>
      <c r="CD53" s="125">
        <v>11742</v>
      </c>
      <c r="CE53" s="125">
        <v>8615</v>
      </c>
      <c r="CF53" s="125">
        <v>0</v>
      </c>
      <c r="CG53" s="125">
        <v>0</v>
      </c>
      <c r="CH53" s="125">
        <v>42</v>
      </c>
      <c r="CI53" s="125">
        <v>496</v>
      </c>
      <c r="CJ53" s="125">
        <v>168</v>
      </c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 t="s">
        <v>370</v>
      </c>
      <c r="CZ53" s="125" t="s">
        <v>370</v>
      </c>
      <c r="DA53" s="125" t="s">
        <v>370</v>
      </c>
      <c r="DB53" s="125">
        <v>0</v>
      </c>
      <c r="DC53" s="125">
        <v>0</v>
      </c>
      <c r="DD53" s="125">
        <v>0</v>
      </c>
      <c r="DE53">
        <f t="shared" si="0"/>
        <v>438581</v>
      </c>
      <c r="DG53" s="1">
        <f t="shared" si="14"/>
        <v>302286</v>
      </c>
      <c r="DH53" s="1">
        <f t="shared" si="1"/>
        <v>140109</v>
      </c>
      <c r="DI53" s="127">
        <f t="shared" si="2"/>
        <v>442395</v>
      </c>
      <c r="DK53" s="1">
        <f t="shared" si="3"/>
        <v>59241</v>
      </c>
      <c r="DL53" s="1">
        <f t="shared" si="4"/>
        <v>65899</v>
      </c>
      <c r="DM53" s="1">
        <f t="shared" si="5"/>
        <v>9983</v>
      </c>
      <c r="DN53" s="1">
        <f t="shared" si="6"/>
        <v>4372</v>
      </c>
      <c r="DO53" s="1">
        <f t="shared" si="7"/>
        <v>215773</v>
      </c>
      <c r="DP53" s="1">
        <f t="shared" si="8"/>
        <v>67334</v>
      </c>
      <c r="DQ53" s="1">
        <f t="shared" si="15"/>
        <v>0</v>
      </c>
      <c r="DR53" s="1">
        <f t="shared" si="9"/>
        <v>13065</v>
      </c>
      <c r="DS53" s="1">
        <f t="shared" si="10"/>
        <v>0</v>
      </c>
      <c r="DT53" s="1">
        <f t="shared" si="11"/>
        <v>6259</v>
      </c>
      <c r="DU53" s="1"/>
      <c r="DV53" s="1"/>
      <c r="DW53" s="1"/>
      <c r="DX53" s="1">
        <f t="shared" si="16"/>
        <v>441926</v>
      </c>
      <c r="DZ53" s="1">
        <f t="shared" si="17"/>
        <v>0</v>
      </c>
      <c r="EA53" s="1">
        <f t="shared" si="12"/>
        <v>0</v>
      </c>
      <c r="EC53" s="1">
        <f t="shared" si="18"/>
        <v>441926</v>
      </c>
      <c r="ED53" s="1">
        <f t="shared" si="13"/>
        <v>3345</v>
      </c>
      <c r="EE53" s="1"/>
    </row>
    <row r="54" spans="1:135" x14ac:dyDescent="0.25">
      <c r="A54" s="124">
        <v>33848</v>
      </c>
      <c r="B54" s="125">
        <v>0</v>
      </c>
      <c r="C54" s="125">
        <v>0</v>
      </c>
      <c r="D54" s="125">
        <v>0</v>
      </c>
      <c r="E54" s="125" t="s">
        <v>370</v>
      </c>
      <c r="F54" s="125" t="s">
        <v>370</v>
      </c>
      <c r="G54" s="125">
        <v>0</v>
      </c>
      <c r="H54" s="125">
        <v>0</v>
      </c>
      <c r="I54" s="125">
        <v>0</v>
      </c>
      <c r="J54" s="125">
        <v>0</v>
      </c>
      <c r="K54" s="125"/>
      <c r="L54" s="125">
        <v>34574</v>
      </c>
      <c r="M54" s="125">
        <v>3043</v>
      </c>
      <c r="N54" s="125"/>
      <c r="O54" s="125">
        <v>7197</v>
      </c>
      <c r="P54" s="125">
        <v>1288</v>
      </c>
      <c r="Q54" s="125">
        <v>1343</v>
      </c>
      <c r="R54" s="125">
        <v>2499</v>
      </c>
      <c r="S54" s="125">
        <v>9983</v>
      </c>
      <c r="T54" s="125"/>
      <c r="U54" s="125"/>
      <c r="V54" s="125">
        <v>9297</v>
      </c>
      <c r="W54" s="125">
        <v>0</v>
      </c>
      <c r="X54" s="125">
        <v>918</v>
      </c>
      <c r="Y54" s="125">
        <v>37</v>
      </c>
      <c r="Z54" s="126"/>
      <c r="AA54" s="125">
        <v>27</v>
      </c>
      <c r="AB54" s="125">
        <v>0</v>
      </c>
      <c r="AC54" s="125">
        <v>6</v>
      </c>
      <c r="AD54" s="125">
        <v>18</v>
      </c>
      <c r="AE54" s="125">
        <v>9</v>
      </c>
      <c r="AF54" s="125">
        <v>51</v>
      </c>
      <c r="AG54" s="125"/>
      <c r="AH54" s="125"/>
      <c r="AI54" s="125">
        <v>42</v>
      </c>
      <c r="AJ54" s="125">
        <v>0</v>
      </c>
      <c r="AK54" s="125">
        <v>55953</v>
      </c>
      <c r="AL54" s="125">
        <v>3099</v>
      </c>
      <c r="AM54" s="125">
        <v>0</v>
      </c>
      <c r="AN54" s="125">
        <v>0</v>
      </c>
      <c r="AO54" s="125">
        <v>8</v>
      </c>
      <c r="AP54" s="125">
        <v>0</v>
      </c>
      <c r="AQ54" s="125">
        <v>0</v>
      </c>
      <c r="AR54" s="125">
        <v>1678</v>
      </c>
      <c r="AS54" s="125" t="s">
        <v>370</v>
      </c>
      <c r="AT54" s="125">
        <v>635</v>
      </c>
      <c r="AU54" s="125">
        <v>967</v>
      </c>
      <c r="AV54" s="125">
        <v>1590</v>
      </c>
      <c r="AW54" s="125">
        <v>4313</v>
      </c>
      <c r="AX54" s="126"/>
      <c r="AY54" s="126"/>
      <c r="AZ54" s="126">
        <v>0</v>
      </c>
      <c r="BA54" s="126"/>
      <c r="BB54" s="125">
        <v>1534</v>
      </c>
      <c r="BC54" s="125"/>
      <c r="BD54" s="125">
        <v>57678</v>
      </c>
      <c r="BE54" s="125">
        <v>124588</v>
      </c>
      <c r="BF54" s="125">
        <v>212</v>
      </c>
      <c r="BG54" s="125">
        <v>1032</v>
      </c>
      <c r="BH54" s="125">
        <v>1122</v>
      </c>
      <c r="BI54" s="125">
        <v>3097</v>
      </c>
      <c r="BJ54" s="125">
        <v>197</v>
      </c>
      <c r="BK54" s="125">
        <v>2685</v>
      </c>
      <c r="BL54" s="125"/>
      <c r="BM54" s="125">
        <v>691</v>
      </c>
      <c r="BN54" s="125">
        <v>151</v>
      </c>
      <c r="BO54" s="125">
        <v>0</v>
      </c>
      <c r="BP54" s="125">
        <v>7073</v>
      </c>
      <c r="BQ54" s="125">
        <v>14061</v>
      </c>
      <c r="BR54" s="125">
        <v>35</v>
      </c>
      <c r="BS54" s="125">
        <v>715</v>
      </c>
      <c r="BT54" s="125">
        <v>799</v>
      </c>
      <c r="BU54" s="125"/>
      <c r="BV54" s="125">
        <v>6</v>
      </c>
      <c r="BW54" s="125">
        <v>265</v>
      </c>
      <c r="BX54" s="125"/>
      <c r="BY54" s="125">
        <v>5177</v>
      </c>
      <c r="BZ54" s="125">
        <v>24</v>
      </c>
      <c r="CA54" s="125">
        <v>0</v>
      </c>
      <c r="CB54" s="125">
        <v>13027</v>
      </c>
      <c r="CC54" s="125">
        <v>46070</v>
      </c>
      <c r="CD54" s="125">
        <v>13986</v>
      </c>
      <c r="CE54" s="125">
        <v>8913</v>
      </c>
      <c r="CF54" s="125">
        <v>0</v>
      </c>
      <c r="CG54" s="125">
        <v>0</v>
      </c>
      <c r="CH54" s="125">
        <v>38</v>
      </c>
      <c r="CI54" s="125">
        <v>483</v>
      </c>
      <c r="CJ54" s="125">
        <v>161</v>
      </c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 t="s">
        <v>370</v>
      </c>
      <c r="CZ54" s="125" t="s">
        <v>370</v>
      </c>
      <c r="DA54" s="125" t="s">
        <v>370</v>
      </c>
      <c r="DB54" s="125">
        <v>0</v>
      </c>
      <c r="DC54" s="125">
        <v>0</v>
      </c>
      <c r="DD54" s="125">
        <v>0</v>
      </c>
      <c r="DE54">
        <f t="shared" si="0"/>
        <v>442395</v>
      </c>
      <c r="DG54" s="1">
        <f t="shared" si="14"/>
        <v>305560</v>
      </c>
      <c r="DH54" s="1">
        <f t="shared" si="1"/>
        <v>141243</v>
      </c>
      <c r="DI54" s="127">
        <f t="shared" si="2"/>
        <v>446803</v>
      </c>
      <c r="DK54" s="1">
        <f t="shared" si="3"/>
        <v>59454</v>
      </c>
      <c r="DL54" s="1">
        <f t="shared" si="4"/>
        <v>66513</v>
      </c>
      <c r="DM54" s="1">
        <f t="shared" si="5"/>
        <v>10133</v>
      </c>
      <c r="DN54" s="1">
        <f t="shared" si="6"/>
        <v>4471</v>
      </c>
      <c r="DO54" s="1">
        <f t="shared" si="7"/>
        <v>218721</v>
      </c>
      <c r="DP54" s="1">
        <f t="shared" si="8"/>
        <v>67189</v>
      </c>
      <c r="DQ54" s="1">
        <f t="shared" si="15"/>
        <v>0</v>
      </c>
      <c r="DR54" s="1">
        <f t="shared" si="9"/>
        <v>13100</v>
      </c>
      <c r="DS54" s="1">
        <f t="shared" si="10"/>
        <v>0</v>
      </c>
      <c r="DT54" s="1">
        <f t="shared" si="11"/>
        <v>6345</v>
      </c>
      <c r="DU54" s="1"/>
      <c r="DV54" s="1"/>
      <c r="DW54" s="1"/>
      <c r="DX54" s="1">
        <f t="shared" si="16"/>
        <v>445926</v>
      </c>
      <c r="DZ54" s="1">
        <f t="shared" si="17"/>
        <v>0</v>
      </c>
      <c r="EA54" s="1">
        <f t="shared" si="12"/>
        <v>0</v>
      </c>
      <c r="EC54" s="1">
        <f t="shared" si="18"/>
        <v>445926</v>
      </c>
      <c r="ED54" s="1">
        <f t="shared" si="13"/>
        <v>3531</v>
      </c>
      <c r="EE54" s="1"/>
    </row>
    <row r="55" spans="1:135" x14ac:dyDescent="0.25">
      <c r="A55" s="124">
        <v>33878</v>
      </c>
      <c r="B55" s="125">
        <v>0</v>
      </c>
      <c r="C55" s="125">
        <v>0</v>
      </c>
      <c r="D55" s="125">
        <v>0</v>
      </c>
      <c r="E55" s="125" t="s">
        <v>370</v>
      </c>
      <c r="F55" s="125" t="s">
        <v>370</v>
      </c>
      <c r="G55" s="125">
        <v>0</v>
      </c>
      <c r="H55" s="125">
        <v>0</v>
      </c>
      <c r="I55" s="125">
        <v>0</v>
      </c>
      <c r="J55" s="125">
        <v>0</v>
      </c>
      <c r="K55" s="125"/>
      <c r="L55" s="125">
        <v>34649</v>
      </c>
      <c r="M55" s="125">
        <v>3063</v>
      </c>
      <c r="N55" s="125"/>
      <c r="O55" s="125">
        <v>7292</v>
      </c>
      <c r="P55" s="125">
        <v>1309</v>
      </c>
      <c r="Q55" s="125">
        <v>1333</v>
      </c>
      <c r="R55" s="125">
        <v>2531</v>
      </c>
      <c r="S55" s="125">
        <v>10133</v>
      </c>
      <c r="T55" s="125"/>
      <c r="U55" s="125"/>
      <c r="V55" s="125">
        <v>9277</v>
      </c>
      <c r="W55" s="125">
        <v>0</v>
      </c>
      <c r="X55" s="125">
        <v>913</v>
      </c>
      <c r="Y55" s="125">
        <v>36</v>
      </c>
      <c r="Z55" s="126"/>
      <c r="AA55" s="125">
        <v>27</v>
      </c>
      <c r="AB55" s="125">
        <v>0</v>
      </c>
      <c r="AC55" s="125">
        <v>5</v>
      </c>
      <c r="AD55" s="125">
        <v>20</v>
      </c>
      <c r="AE55" s="125">
        <v>10</v>
      </c>
      <c r="AF55" s="125">
        <v>51</v>
      </c>
      <c r="AG55" s="125"/>
      <c r="AH55" s="125"/>
      <c r="AI55" s="125">
        <v>39</v>
      </c>
      <c r="AJ55" s="125">
        <v>0</v>
      </c>
      <c r="AK55" s="125">
        <v>56621</v>
      </c>
      <c r="AL55" s="125">
        <v>3088</v>
      </c>
      <c r="AM55" s="125">
        <v>0</v>
      </c>
      <c r="AN55" s="125">
        <v>0</v>
      </c>
      <c r="AO55" s="125">
        <v>9</v>
      </c>
      <c r="AP55" s="125">
        <v>0</v>
      </c>
      <c r="AQ55" s="125">
        <v>0</v>
      </c>
      <c r="AR55" s="125">
        <v>1696</v>
      </c>
      <c r="AS55" s="125" t="s">
        <v>370</v>
      </c>
      <c r="AT55" s="125">
        <v>650</v>
      </c>
      <c r="AU55" s="125">
        <v>974</v>
      </c>
      <c r="AV55" s="125">
        <v>1594</v>
      </c>
      <c r="AW55" s="125">
        <v>4411</v>
      </c>
      <c r="AX55" s="126"/>
      <c r="AY55" s="126"/>
      <c r="AZ55" s="126">
        <v>0</v>
      </c>
      <c r="BA55" s="126"/>
      <c r="BB55" s="125">
        <v>1512</v>
      </c>
      <c r="BC55" s="125"/>
      <c r="BD55" s="125">
        <v>57776</v>
      </c>
      <c r="BE55" s="125">
        <v>124886</v>
      </c>
      <c r="BF55" s="125">
        <v>220</v>
      </c>
      <c r="BG55" s="125">
        <v>1034</v>
      </c>
      <c r="BH55" s="125">
        <v>1157</v>
      </c>
      <c r="BI55" s="125">
        <v>3116</v>
      </c>
      <c r="BJ55" s="125">
        <v>191</v>
      </c>
      <c r="BK55" s="125">
        <v>2728</v>
      </c>
      <c r="BL55" s="125"/>
      <c r="BM55" s="125">
        <v>754</v>
      </c>
      <c r="BN55" s="125">
        <v>151</v>
      </c>
      <c r="BO55" s="125">
        <v>0</v>
      </c>
      <c r="BP55" s="125">
        <v>7114</v>
      </c>
      <c r="BQ55" s="125">
        <v>13929</v>
      </c>
      <c r="BR55" s="125">
        <v>34</v>
      </c>
      <c r="BS55" s="125">
        <v>716</v>
      </c>
      <c r="BT55" s="125">
        <v>781</v>
      </c>
      <c r="BU55" s="125"/>
      <c r="BV55" s="125">
        <v>6</v>
      </c>
      <c r="BW55" s="125">
        <v>281</v>
      </c>
      <c r="BX55" s="125"/>
      <c r="BY55" s="125">
        <v>4950</v>
      </c>
      <c r="BZ55" s="125">
        <v>19</v>
      </c>
      <c r="CA55" s="125">
        <v>0</v>
      </c>
      <c r="CB55" s="125">
        <v>13072</v>
      </c>
      <c r="CC55" s="125">
        <v>46664</v>
      </c>
      <c r="CD55" s="125">
        <v>16186</v>
      </c>
      <c r="CE55" s="125">
        <v>9131</v>
      </c>
      <c r="CF55" s="125">
        <v>0</v>
      </c>
      <c r="CG55" s="125">
        <v>0</v>
      </c>
      <c r="CH55" s="125">
        <v>28</v>
      </c>
      <c r="CI55" s="125">
        <v>476</v>
      </c>
      <c r="CJ55" s="125">
        <v>160</v>
      </c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 t="s">
        <v>370</v>
      </c>
      <c r="CZ55" s="125" t="s">
        <v>370</v>
      </c>
      <c r="DA55" s="125" t="s">
        <v>370</v>
      </c>
      <c r="DB55" s="125">
        <v>0</v>
      </c>
      <c r="DC55" s="125">
        <v>0</v>
      </c>
      <c r="DD55" s="125">
        <v>0</v>
      </c>
      <c r="DE55">
        <f t="shared" si="0"/>
        <v>446803</v>
      </c>
      <c r="DG55" s="1">
        <f t="shared" si="14"/>
        <v>309592</v>
      </c>
      <c r="DH55" s="1">
        <f t="shared" si="1"/>
        <v>142314</v>
      </c>
      <c r="DI55" s="127">
        <f t="shared" si="2"/>
        <v>451906</v>
      </c>
      <c r="DK55" s="1">
        <f t="shared" si="3"/>
        <v>59584</v>
      </c>
      <c r="DL55" s="1">
        <f t="shared" si="4"/>
        <v>67185</v>
      </c>
      <c r="DM55" s="1">
        <f t="shared" si="5"/>
        <v>10277</v>
      </c>
      <c r="DN55" s="1">
        <f t="shared" si="6"/>
        <v>4549</v>
      </c>
      <c r="DO55" s="1">
        <f t="shared" si="7"/>
        <v>222516</v>
      </c>
      <c r="DP55" s="1">
        <f t="shared" si="8"/>
        <v>67394</v>
      </c>
      <c r="DQ55" s="1">
        <f t="shared" si="15"/>
        <v>0</v>
      </c>
      <c r="DR55" s="1">
        <f t="shared" si="9"/>
        <v>12977</v>
      </c>
      <c r="DS55" s="1">
        <f t="shared" si="10"/>
        <v>0</v>
      </c>
      <c r="DT55" s="1">
        <f t="shared" si="11"/>
        <v>6374</v>
      </c>
      <c r="DU55" s="1"/>
      <c r="DV55" s="1"/>
      <c r="DW55" s="1"/>
      <c r="DX55" s="1">
        <f t="shared" si="16"/>
        <v>450856</v>
      </c>
      <c r="DZ55" s="1">
        <f t="shared" si="17"/>
        <v>0</v>
      </c>
      <c r="EA55" s="1">
        <f t="shared" si="12"/>
        <v>0</v>
      </c>
      <c r="EC55" s="1">
        <f t="shared" si="18"/>
        <v>450856</v>
      </c>
      <c r="ED55" s="1">
        <f t="shared" si="13"/>
        <v>4053</v>
      </c>
      <c r="EE55" s="1"/>
    </row>
    <row r="56" spans="1:135" x14ac:dyDescent="0.25">
      <c r="A56" s="124">
        <v>33909</v>
      </c>
      <c r="B56" s="125">
        <v>0</v>
      </c>
      <c r="C56" s="125">
        <v>0</v>
      </c>
      <c r="D56" s="125">
        <v>0</v>
      </c>
      <c r="E56" s="125" t="s">
        <v>370</v>
      </c>
      <c r="F56" s="125" t="s">
        <v>370</v>
      </c>
      <c r="G56" s="125">
        <v>0</v>
      </c>
      <c r="H56" s="125">
        <v>0</v>
      </c>
      <c r="I56" s="125">
        <v>0</v>
      </c>
      <c r="J56" s="125">
        <v>0</v>
      </c>
      <c r="K56" s="125"/>
      <c r="L56" s="125">
        <v>34687</v>
      </c>
      <c r="M56" s="125">
        <v>3087</v>
      </c>
      <c r="N56" s="125"/>
      <c r="O56" s="125">
        <v>7333</v>
      </c>
      <c r="P56" s="125">
        <v>1314</v>
      </c>
      <c r="Q56" s="125">
        <v>1357</v>
      </c>
      <c r="R56" s="125">
        <v>2581</v>
      </c>
      <c r="S56" s="125">
        <v>10277</v>
      </c>
      <c r="T56" s="125"/>
      <c r="U56" s="125"/>
      <c r="V56" s="125">
        <v>9225</v>
      </c>
      <c r="W56" s="125">
        <v>0</v>
      </c>
      <c r="X56" s="125">
        <v>915</v>
      </c>
      <c r="Y56" s="125">
        <v>37</v>
      </c>
      <c r="Z56" s="126"/>
      <c r="AA56" s="125">
        <v>26</v>
      </c>
      <c r="AB56" s="125">
        <v>0</v>
      </c>
      <c r="AC56" s="125">
        <v>5</v>
      </c>
      <c r="AD56" s="125">
        <v>19</v>
      </c>
      <c r="AE56" s="125">
        <v>9</v>
      </c>
      <c r="AF56" s="125">
        <v>52</v>
      </c>
      <c r="AG56" s="125"/>
      <c r="AH56" s="125"/>
      <c r="AI56" s="125">
        <v>38</v>
      </c>
      <c r="AJ56" s="125">
        <v>0</v>
      </c>
      <c r="AK56" s="125">
        <v>57262</v>
      </c>
      <c r="AL56" s="125">
        <v>3125</v>
      </c>
      <c r="AM56" s="125">
        <v>0</v>
      </c>
      <c r="AN56" s="125">
        <v>0</v>
      </c>
      <c r="AO56" s="125">
        <v>9</v>
      </c>
      <c r="AP56" s="125">
        <v>0</v>
      </c>
      <c r="AQ56" s="125">
        <v>0</v>
      </c>
      <c r="AR56" s="125">
        <v>1723</v>
      </c>
      <c r="AS56" s="125" t="s">
        <v>370</v>
      </c>
      <c r="AT56" s="125">
        <v>654</v>
      </c>
      <c r="AU56" s="125">
        <v>977</v>
      </c>
      <c r="AV56" s="125">
        <v>1586</v>
      </c>
      <c r="AW56" s="125">
        <v>4488</v>
      </c>
      <c r="AX56" s="126"/>
      <c r="AY56" s="126"/>
      <c r="AZ56" s="126">
        <v>0</v>
      </c>
      <c r="BA56" s="126"/>
      <c r="BB56" s="125">
        <v>1528</v>
      </c>
      <c r="BC56" s="125"/>
      <c r="BD56" s="125">
        <v>57907</v>
      </c>
      <c r="BE56" s="125">
        <v>125410</v>
      </c>
      <c r="BF56" s="125">
        <v>225</v>
      </c>
      <c r="BG56" s="125">
        <v>1057</v>
      </c>
      <c r="BH56" s="125">
        <v>1203</v>
      </c>
      <c r="BI56" s="125">
        <v>3147</v>
      </c>
      <c r="BJ56" s="125">
        <v>211</v>
      </c>
      <c r="BK56" s="125">
        <v>2719</v>
      </c>
      <c r="BL56" s="125"/>
      <c r="BM56" s="125">
        <v>749</v>
      </c>
      <c r="BN56" s="125">
        <v>149</v>
      </c>
      <c r="BO56" s="125">
        <v>0</v>
      </c>
      <c r="BP56" s="125">
        <v>7277</v>
      </c>
      <c r="BQ56" s="125">
        <v>14171</v>
      </c>
      <c r="BR56" s="125">
        <v>33</v>
      </c>
      <c r="BS56" s="125">
        <v>735</v>
      </c>
      <c r="BT56" s="125">
        <v>788</v>
      </c>
      <c r="BU56" s="125"/>
      <c r="BV56" s="125">
        <v>8</v>
      </c>
      <c r="BW56" s="125">
        <v>283</v>
      </c>
      <c r="BX56" s="125"/>
      <c r="BY56" s="125">
        <v>4733</v>
      </c>
      <c r="BZ56" s="125">
        <v>18</v>
      </c>
      <c r="CA56" s="125">
        <v>0</v>
      </c>
      <c r="CB56" s="125">
        <v>12953</v>
      </c>
      <c r="CC56" s="125">
        <v>47583</v>
      </c>
      <c r="CD56" s="125">
        <v>18098</v>
      </c>
      <c r="CE56" s="125">
        <v>9487</v>
      </c>
      <c r="CF56" s="125">
        <v>0</v>
      </c>
      <c r="CG56" s="125">
        <v>0</v>
      </c>
      <c r="CH56" s="125">
        <v>24</v>
      </c>
      <c r="CI56" s="125">
        <v>459</v>
      </c>
      <c r="CJ56" s="125">
        <v>165</v>
      </c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 t="s">
        <v>370</v>
      </c>
      <c r="CZ56" s="125" t="s">
        <v>370</v>
      </c>
      <c r="DA56" s="125" t="s">
        <v>370</v>
      </c>
      <c r="DB56" s="125">
        <v>0</v>
      </c>
      <c r="DC56" s="125">
        <v>0</v>
      </c>
      <c r="DD56" s="125">
        <v>0</v>
      </c>
      <c r="DE56">
        <f t="shared" si="0"/>
        <v>451906</v>
      </c>
      <c r="DG56" s="1">
        <f t="shared" si="14"/>
        <v>311829</v>
      </c>
      <c r="DH56" s="1">
        <f t="shared" si="1"/>
        <v>143171</v>
      </c>
      <c r="DI56" s="127">
        <f t="shared" si="2"/>
        <v>455000</v>
      </c>
      <c r="DK56" s="1">
        <f t="shared" si="3"/>
        <v>59606</v>
      </c>
      <c r="DL56" s="1">
        <f t="shared" si="4"/>
        <v>67904</v>
      </c>
      <c r="DM56" s="1">
        <f t="shared" si="5"/>
        <v>10433</v>
      </c>
      <c r="DN56" s="1">
        <f t="shared" si="6"/>
        <v>4654</v>
      </c>
      <c r="DO56" s="1">
        <f t="shared" si="7"/>
        <v>225072</v>
      </c>
      <c r="DP56" s="1">
        <f t="shared" si="8"/>
        <v>67725</v>
      </c>
      <c r="DQ56" s="1">
        <f t="shared" si="15"/>
        <v>0</v>
      </c>
      <c r="DR56" s="1">
        <f t="shared" si="9"/>
        <v>12780</v>
      </c>
      <c r="DS56" s="1">
        <f t="shared" si="10"/>
        <v>0</v>
      </c>
      <c r="DT56" s="1">
        <f t="shared" si="11"/>
        <v>6361</v>
      </c>
      <c r="DU56" s="1"/>
      <c r="DV56" s="1"/>
      <c r="DW56" s="1"/>
      <c r="DX56" s="1">
        <f t="shared" si="16"/>
        <v>454535</v>
      </c>
      <c r="DZ56" s="1">
        <f t="shared" si="17"/>
        <v>0</v>
      </c>
      <c r="EA56" s="1">
        <f t="shared" si="12"/>
        <v>0</v>
      </c>
      <c r="EC56" s="1">
        <f t="shared" si="18"/>
        <v>454535</v>
      </c>
      <c r="ED56" s="1">
        <f t="shared" si="13"/>
        <v>2629</v>
      </c>
      <c r="EE56" s="1"/>
    </row>
    <row r="57" spans="1:135" x14ac:dyDescent="0.25">
      <c r="A57" s="124">
        <v>33939</v>
      </c>
      <c r="B57" s="125">
        <v>0</v>
      </c>
      <c r="C57" s="125">
        <v>0</v>
      </c>
      <c r="D57" s="125">
        <v>0</v>
      </c>
      <c r="E57" s="125" t="s">
        <v>370</v>
      </c>
      <c r="F57" s="125" t="s">
        <v>370</v>
      </c>
      <c r="G57" s="125">
        <v>0</v>
      </c>
      <c r="H57" s="125">
        <v>0</v>
      </c>
      <c r="I57" s="125">
        <v>0</v>
      </c>
      <c r="J57" s="125">
        <v>0</v>
      </c>
      <c r="K57" s="125"/>
      <c r="L57" s="125">
        <v>34689</v>
      </c>
      <c r="M57" s="125">
        <v>3102</v>
      </c>
      <c r="N57" s="125"/>
      <c r="O57" s="125">
        <v>7358</v>
      </c>
      <c r="P57" s="125">
        <v>1311</v>
      </c>
      <c r="Q57" s="125">
        <v>1350</v>
      </c>
      <c r="R57" s="125">
        <v>2564</v>
      </c>
      <c r="S57" s="125">
        <v>10433</v>
      </c>
      <c r="T57" s="125"/>
      <c r="U57" s="125"/>
      <c r="V57" s="125">
        <v>9232</v>
      </c>
      <c r="W57" s="125">
        <v>0</v>
      </c>
      <c r="X57" s="125">
        <v>910</v>
      </c>
      <c r="Y57" s="125">
        <v>37</v>
      </c>
      <c r="Z57" s="126"/>
      <c r="AA57" s="125">
        <v>27</v>
      </c>
      <c r="AB57" s="125">
        <v>0</v>
      </c>
      <c r="AC57" s="125">
        <v>5</v>
      </c>
      <c r="AD57" s="125">
        <v>19</v>
      </c>
      <c r="AE57" s="125">
        <v>10</v>
      </c>
      <c r="AF57" s="125">
        <v>53</v>
      </c>
      <c r="AG57" s="125"/>
      <c r="AH57" s="125"/>
      <c r="AI57" s="125">
        <v>38</v>
      </c>
      <c r="AJ57" s="125">
        <v>0</v>
      </c>
      <c r="AK57" s="125">
        <v>57783</v>
      </c>
      <c r="AL57" s="125">
        <v>3139</v>
      </c>
      <c r="AM57" s="125">
        <v>0</v>
      </c>
      <c r="AN57" s="125">
        <v>0</v>
      </c>
      <c r="AO57" s="125">
        <v>10</v>
      </c>
      <c r="AP57" s="125">
        <v>0</v>
      </c>
      <c r="AQ57" s="125">
        <v>0</v>
      </c>
      <c r="AR57" s="125">
        <v>1745</v>
      </c>
      <c r="AS57" s="125" t="s">
        <v>370</v>
      </c>
      <c r="AT57" s="125">
        <v>672</v>
      </c>
      <c r="AU57" s="125">
        <v>976</v>
      </c>
      <c r="AV57" s="125">
        <v>1598</v>
      </c>
      <c r="AW57" s="125">
        <v>4591</v>
      </c>
      <c r="AX57" s="126"/>
      <c r="AY57" s="126"/>
      <c r="AZ57" s="126">
        <v>0</v>
      </c>
      <c r="BA57" s="126"/>
      <c r="BB57" s="125">
        <v>1519</v>
      </c>
      <c r="BC57" s="125"/>
      <c r="BD57" s="125">
        <v>57889</v>
      </c>
      <c r="BE57" s="125">
        <v>125708</v>
      </c>
      <c r="BF57" s="125">
        <v>228</v>
      </c>
      <c r="BG57" s="125">
        <v>1088</v>
      </c>
      <c r="BH57" s="125">
        <v>1283</v>
      </c>
      <c r="BI57" s="125">
        <v>3123</v>
      </c>
      <c r="BJ57" s="125">
        <v>207</v>
      </c>
      <c r="BK57" s="125">
        <v>2721</v>
      </c>
      <c r="BL57" s="125"/>
      <c r="BM57" s="125">
        <v>684</v>
      </c>
      <c r="BN57" s="125">
        <v>143</v>
      </c>
      <c r="BO57" s="125">
        <v>0</v>
      </c>
      <c r="BP57" s="125">
        <v>7275</v>
      </c>
      <c r="BQ57" s="125">
        <v>14005</v>
      </c>
      <c r="BR57" s="125">
        <v>33</v>
      </c>
      <c r="BS57" s="125">
        <v>680</v>
      </c>
      <c r="BT57" s="125">
        <v>745</v>
      </c>
      <c r="BU57" s="125"/>
      <c r="BV57" s="125">
        <v>10</v>
      </c>
      <c r="BW57" s="125">
        <v>289</v>
      </c>
      <c r="BX57" s="125"/>
      <c r="BY57" s="125">
        <v>4608</v>
      </c>
      <c r="BZ57" s="125">
        <v>17</v>
      </c>
      <c r="CA57" s="125">
        <v>0</v>
      </c>
      <c r="CB57" s="125">
        <v>12756</v>
      </c>
      <c r="CC57" s="125">
        <v>48192</v>
      </c>
      <c r="CD57" s="125">
        <v>19707</v>
      </c>
      <c r="CE57" s="125">
        <v>9828</v>
      </c>
      <c r="CF57" s="125">
        <v>0</v>
      </c>
      <c r="CG57" s="125">
        <v>0</v>
      </c>
      <c r="CH57" s="125">
        <v>24</v>
      </c>
      <c r="CI57" s="125">
        <v>421</v>
      </c>
      <c r="CJ57" s="125">
        <v>165</v>
      </c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 t="s">
        <v>370</v>
      </c>
      <c r="CZ57" s="125" t="s">
        <v>370</v>
      </c>
      <c r="DA57" s="125" t="s">
        <v>370</v>
      </c>
      <c r="DB57" s="125">
        <v>0</v>
      </c>
      <c r="DC57" s="125">
        <v>0</v>
      </c>
      <c r="DD57" s="125">
        <v>0</v>
      </c>
      <c r="DE57">
        <f t="shared" si="0"/>
        <v>455000</v>
      </c>
      <c r="DG57" s="1">
        <f t="shared" si="14"/>
        <v>317521</v>
      </c>
      <c r="DH57" s="1">
        <f t="shared" si="1"/>
        <v>144287</v>
      </c>
      <c r="DI57" s="127">
        <f t="shared" si="2"/>
        <v>461808</v>
      </c>
      <c r="DK57" s="1">
        <f t="shared" si="3"/>
        <v>59773</v>
      </c>
      <c r="DL57" s="1">
        <f t="shared" si="4"/>
        <v>68478</v>
      </c>
      <c r="DM57" s="1">
        <f t="shared" si="5"/>
        <v>10557</v>
      </c>
      <c r="DN57" s="1">
        <f t="shared" si="6"/>
        <v>4716</v>
      </c>
      <c r="DO57" s="1">
        <f t="shared" si="7"/>
        <v>229727</v>
      </c>
      <c r="DP57" s="1">
        <f t="shared" si="8"/>
        <v>67616</v>
      </c>
      <c r="DQ57" s="1">
        <f t="shared" si="15"/>
        <v>0</v>
      </c>
      <c r="DR57" s="1">
        <f t="shared" si="9"/>
        <v>12868</v>
      </c>
      <c r="DS57" s="1">
        <f t="shared" si="10"/>
        <v>0</v>
      </c>
      <c r="DT57" s="1">
        <f t="shared" si="11"/>
        <v>6443</v>
      </c>
      <c r="DU57" s="1"/>
      <c r="DV57" s="1"/>
      <c r="DW57" s="1"/>
      <c r="DX57" s="1">
        <f t="shared" si="16"/>
        <v>460178</v>
      </c>
      <c r="DZ57" s="1">
        <f t="shared" si="17"/>
        <v>0</v>
      </c>
      <c r="EA57" s="1">
        <f t="shared" si="12"/>
        <v>0</v>
      </c>
      <c r="EC57" s="1">
        <f t="shared" si="18"/>
        <v>460178</v>
      </c>
      <c r="ED57" s="1">
        <f t="shared" si="13"/>
        <v>5178</v>
      </c>
      <c r="EE57" s="1"/>
    </row>
    <row r="58" spans="1:135" x14ac:dyDescent="0.25">
      <c r="A58" s="124">
        <v>33970</v>
      </c>
      <c r="B58" s="125">
        <v>0</v>
      </c>
      <c r="C58" s="125">
        <v>0</v>
      </c>
      <c r="D58" s="125">
        <v>0</v>
      </c>
      <c r="E58" s="125" t="s">
        <v>370</v>
      </c>
      <c r="F58" s="125" t="s">
        <v>370</v>
      </c>
      <c r="G58" s="125">
        <v>0</v>
      </c>
      <c r="H58" s="125">
        <v>0</v>
      </c>
      <c r="I58" s="125">
        <v>0</v>
      </c>
      <c r="J58" s="125">
        <v>0</v>
      </c>
      <c r="K58" s="125"/>
      <c r="L58" s="125">
        <v>34759</v>
      </c>
      <c r="M58" s="125">
        <v>3120</v>
      </c>
      <c r="N58" s="125"/>
      <c r="O58" s="125">
        <v>7379</v>
      </c>
      <c r="P58" s="125">
        <v>1310</v>
      </c>
      <c r="Q58" s="125">
        <v>1356</v>
      </c>
      <c r="R58" s="125">
        <v>2615</v>
      </c>
      <c r="S58" s="125">
        <v>10557</v>
      </c>
      <c r="T58" s="125"/>
      <c r="U58" s="125"/>
      <c r="V58" s="125">
        <v>9234</v>
      </c>
      <c r="W58" s="125">
        <v>0</v>
      </c>
      <c r="X58" s="125">
        <v>906</v>
      </c>
      <c r="Y58" s="125">
        <v>38</v>
      </c>
      <c r="Z58" s="126"/>
      <c r="AA58" s="125">
        <v>27</v>
      </c>
      <c r="AB58" s="125">
        <v>0</v>
      </c>
      <c r="AC58" s="125">
        <v>5</v>
      </c>
      <c r="AD58" s="125">
        <v>19</v>
      </c>
      <c r="AE58" s="125">
        <v>8</v>
      </c>
      <c r="AF58" s="125">
        <v>49</v>
      </c>
      <c r="AG58" s="125"/>
      <c r="AH58" s="125"/>
      <c r="AI58" s="125">
        <v>39</v>
      </c>
      <c r="AJ58" s="125">
        <v>0</v>
      </c>
      <c r="AK58" s="125">
        <v>58465</v>
      </c>
      <c r="AL58" s="125">
        <v>3160</v>
      </c>
      <c r="AM58" s="125">
        <v>0</v>
      </c>
      <c r="AN58" s="125">
        <v>0</v>
      </c>
      <c r="AO58" s="125">
        <v>10</v>
      </c>
      <c r="AP58" s="125">
        <v>0</v>
      </c>
      <c r="AQ58" s="125">
        <v>0</v>
      </c>
      <c r="AR58" s="125">
        <v>1764</v>
      </c>
      <c r="AS58" s="125" t="s">
        <v>370</v>
      </c>
      <c r="AT58" s="125">
        <v>700</v>
      </c>
      <c r="AU58" s="125">
        <v>992</v>
      </c>
      <c r="AV58" s="125">
        <v>1585</v>
      </c>
      <c r="AW58" s="125">
        <v>4657</v>
      </c>
      <c r="AX58" s="126"/>
      <c r="AY58" s="126"/>
      <c r="AZ58" s="126">
        <v>0</v>
      </c>
      <c r="BA58" s="126"/>
      <c r="BB58" s="125">
        <v>1533</v>
      </c>
      <c r="BC58" s="125"/>
      <c r="BD58" s="125">
        <v>58731</v>
      </c>
      <c r="BE58" s="125">
        <v>127347</v>
      </c>
      <c r="BF58" s="125">
        <v>238</v>
      </c>
      <c r="BG58" s="125">
        <v>1210</v>
      </c>
      <c r="BH58" s="125">
        <v>1455</v>
      </c>
      <c r="BI58" s="125">
        <v>3128</v>
      </c>
      <c r="BJ58" s="125">
        <v>211</v>
      </c>
      <c r="BK58" s="125">
        <v>2782</v>
      </c>
      <c r="BL58" s="125"/>
      <c r="BM58" s="125">
        <v>657</v>
      </c>
      <c r="BN58" s="125">
        <v>144</v>
      </c>
      <c r="BO58" s="125">
        <v>0</v>
      </c>
      <c r="BP58" s="125">
        <v>7208</v>
      </c>
      <c r="BQ58" s="125">
        <v>13845</v>
      </c>
      <c r="BR58" s="125">
        <v>33</v>
      </c>
      <c r="BS58" s="125">
        <v>677</v>
      </c>
      <c r="BT58" s="125">
        <v>720</v>
      </c>
      <c r="BU58" s="125"/>
      <c r="BV58" s="125">
        <v>12</v>
      </c>
      <c r="BW58" s="125">
        <v>295</v>
      </c>
      <c r="BX58" s="125"/>
      <c r="BY58" s="125">
        <v>4608</v>
      </c>
      <c r="BZ58" s="125">
        <v>11</v>
      </c>
      <c r="CA58" s="125">
        <v>0</v>
      </c>
      <c r="CB58" s="125">
        <v>12853</v>
      </c>
      <c r="CC58" s="125">
        <v>49228</v>
      </c>
      <c r="CD58" s="125">
        <v>21232</v>
      </c>
      <c r="CE58" s="125">
        <v>10290</v>
      </c>
      <c r="CF58" s="125">
        <v>0</v>
      </c>
      <c r="CG58" s="125">
        <v>0</v>
      </c>
      <c r="CH58" s="125">
        <v>15</v>
      </c>
      <c r="CI58" s="125">
        <v>416</v>
      </c>
      <c r="CJ58" s="125">
        <v>175</v>
      </c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 t="s">
        <v>370</v>
      </c>
      <c r="CZ58" s="125" t="s">
        <v>370</v>
      </c>
      <c r="DA58" s="125" t="s">
        <v>370</v>
      </c>
      <c r="DB58" s="125">
        <v>0</v>
      </c>
      <c r="DC58" s="125">
        <v>0</v>
      </c>
      <c r="DD58" s="125">
        <v>0</v>
      </c>
      <c r="DE58">
        <f t="shared" si="0"/>
        <v>461808</v>
      </c>
      <c r="DG58" s="1">
        <f t="shared" si="14"/>
        <v>320620</v>
      </c>
      <c r="DH58" s="1">
        <f t="shared" si="1"/>
        <v>144889</v>
      </c>
      <c r="DI58" s="127">
        <f t="shared" si="2"/>
        <v>465509</v>
      </c>
      <c r="DK58" s="1">
        <f t="shared" si="3"/>
        <v>59636</v>
      </c>
      <c r="DL58" s="1">
        <f t="shared" si="4"/>
        <v>69241</v>
      </c>
      <c r="DM58" s="1">
        <f t="shared" si="5"/>
        <v>10638</v>
      </c>
      <c r="DN58" s="1">
        <f t="shared" si="6"/>
        <v>4792</v>
      </c>
      <c r="DO58" s="1">
        <f t="shared" si="7"/>
        <v>232433</v>
      </c>
      <c r="DP58" s="1">
        <f t="shared" si="8"/>
        <v>68483</v>
      </c>
      <c r="DQ58" s="1">
        <f t="shared" si="15"/>
        <v>0</v>
      </c>
      <c r="DR58" s="1">
        <f t="shared" si="9"/>
        <v>13019</v>
      </c>
      <c r="DS58" s="1">
        <f t="shared" si="10"/>
        <v>0</v>
      </c>
      <c r="DT58" s="1">
        <f t="shared" si="11"/>
        <v>6491</v>
      </c>
      <c r="DU58" s="1"/>
      <c r="DV58" s="1"/>
      <c r="DW58" s="1"/>
      <c r="DX58" s="1">
        <f t="shared" si="16"/>
        <v>464733</v>
      </c>
      <c r="DZ58" s="1">
        <f t="shared" si="17"/>
        <v>0</v>
      </c>
      <c r="EA58" s="1">
        <f t="shared" si="12"/>
        <v>0</v>
      </c>
      <c r="EC58" s="1">
        <f t="shared" si="18"/>
        <v>464733</v>
      </c>
      <c r="ED58" s="1">
        <f t="shared" si="13"/>
        <v>2925</v>
      </c>
      <c r="EE58" s="1"/>
    </row>
    <row r="59" spans="1:135" x14ac:dyDescent="0.25">
      <c r="A59" s="124">
        <v>34001</v>
      </c>
      <c r="B59" s="125">
        <v>0</v>
      </c>
      <c r="C59" s="125">
        <v>0</v>
      </c>
      <c r="D59" s="125">
        <v>0</v>
      </c>
      <c r="E59" s="125" t="s">
        <v>370</v>
      </c>
      <c r="F59" s="125" t="s">
        <v>370</v>
      </c>
      <c r="G59" s="125">
        <v>0</v>
      </c>
      <c r="H59" s="125">
        <v>0</v>
      </c>
      <c r="I59" s="125">
        <v>0</v>
      </c>
      <c r="J59" s="125">
        <v>0</v>
      </c>
      <c r="K59" s="125"/>
      <c r="L59" s="125">
        <v>34730</v>
      </c>
      <c r="M59" s="125">
        <v>3100</v>
      </c>
      <c r="N59" s="125"/>
      <c r="O59" s="125">
        <v>7374</v>
      </c>
      <c r="P59" s="125">
        <v>1288</v>
      </c>
      <c r="Q59" s="125">
        <v>1386</v>
      </c>
      <c r="R59" s="125">
        <v>2558</v>
      </c>
      <c r="S59" s="125">
        <v>10638</v>
      </c>
      <c r="T59" s="125"/>
      <c r="U59" s="125"/>
      <c r="V59" s="125">
        <v>9200</v>
      </c>
      <c r="W59" s="125">
        <v>0</v>
      </c>
      <c r="X59" s="125">
        <v>906</v>
      </c>
      <c r="Y59" s="125">
        <v>37</v>
      </c>
      <c r="Z59" s="126"/>
      <c r="AA59" s="125">
        <v>26</v>
      </c>
      <c r="AB59" s="125">
        <v>0</v>
      </c>
      <c r="AC59" s="125">
        <v>6</v>
      </c>
      <c r="AD59" s="125">
        <v>19</v>
      </c>
      <c r="AE59" s="125">
        <v>7</v>
      </c>
      <c r="AF59" s="125">
        <v>47</v>
      </c>
      <c r="AG59" s="125"/>
      <c r="AH59" s="125"/>
      <c r="AI59" s="125">
        <v>40</v>
      </c>
      <c r="AJ59" s="125">
        <v>0</v>
      </c>
      <c r="AK59" s="125">
        <v>59040</v>
      </c>
      <c r="AL59" s="125">
        <v>3151</v>
      </c>
      <c r="AM59" s="125">
        <v>0</v>
      </c>
      <c r="AN59" s="125">
        <v>0</v>
      </c>
      <c r="AO59" s="125">
        <v>10</v>
      </c>
      <c r="AP59" s="125">
        <v>0</v>
      </c>
      <c r="AQ59" s="125">
        <v>0</v>
      </c>
      <c r="AR59" s="125">
        <v>1748</v>
      </c>
      <c r="AS59" s="125" t="s">
        <v>370</v>
      </c>
      <c r="AT59" s="125">
        <v>710</v>
      </c>
      <c r="AU59" s="125">
        <v>1031</v>
      </c>
      <c r="AV59" s="125">
        <v>1586</v>
      </c>
      <c r="AW59" s="125">
        <v>4735</v>
      </c>
      <c r="AX59" s="126"/>
      <c r="AY59" s="126"/>
      <c r="AZ59" s="126">
        <v>0</v>
      </c>
      <c r="BA59" s="126"/>
      <c r="BB59" s="125">
        <v>1516</v>
      </c>
      <c r="BC59" s="125"/>
      <c r="BD59" s="125">
        <v>59034</v>
      </c>
      <c r="BE59" s="125">
        <v>127820</v>
      </c>
      <c r="BF59" s="125">
        <v>239</v>
      </c>
      <c r="BG59" s="125">
        <v>1238</v>
      </c>
      <c r="BH59" s="125">
        <v>1464</v>
      </c>
      <c r="BI59" s="125">
        <v>3174</v>
      </c>
      <c r="BJ59" s="125">
        <v>224</v>
      </c>
      <c r="BK59" s="125">
        <v>2786</v>
      </c>
      <c r="BL59" s="125"/>
      <c r="BM59" s="125">
        <v>654</v>
      </c>
      <c r="BN59" s="125">
        <v>141</v>
      </c>
      <c r="BO59" s="125">
        <v>0</v>
      </c>
      <c r="BP59" s="125">
        <v>7011</v>
      </c>
      <c r="BQ59" s="125">
        <v>13494</v>
      </c>
      <c r="BR59" s="125">
        <v>34</v>
      </c>
      <c r="BS59" s="125">
        <v>740</v>
      </c>
      <c r="BT59" s="125">
        <v>796</v>
      </c>
      <c r="BU59" s="125"/>
      <c r="BV59" s="125">
        <v>12</v>
      </c>
      <c r="BW59" s="125">
        <v>292</v>
      </c>
      <c r="BX59" s="125"/>
      <c r="BY59" s="125">
        <v>4533</v>
      </c>
      <c r="BZ59" s="125">
        <v>12</v>
      </c>
      <c r="CA59" s="125">
        <v>0</v>
      </c>
      <c r="CB59" s="125">
        <v>13002</v>
      </c>
      <c r="CC59" s="125">
        <v>50036</v>
      </c>
      <c r="CD59" s="125">
        <v>22493</v>
      </c>
      <c r="CE59" s="125">
        <v>10800</v>
      </c>
      <c r="CF59" s="125">
        <v>0</v>
      </c>
      <c r="CG59" s="125">
        <v>0</v>
      </c>
      <c r="CH59" s="125">
        <v>17</v>
      </c>
      <c r="CI59" s="125">
        <v>398</v>
      </c>
      <c r="CJ59" s="125">
        <v>176</v>
      </c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 t="s">
        <v>370</v>
      </c>
      <c r="CZ59" s="125" t="s">
        <v>370</v>
      </c>
      <c r="DA59" s="125" t="s">
        <v>370</v>
      </c>
      <c r="DB59" s="125">
        <v>0</v>
      </c>
      <c r="DC59" s="125">
        <v>0</v>
      </c>
      <c r="DD59" s="125">
        <v>0</v>
      </c>
      <c r="DE59">
        <f t="shared" si="0"/>
        <v>465509</v>
      </c>
      <c r="DG59" s="1">
        <f t="shared" si="14"/>
        <v>322026</v>
      </c>
      <c r="DH59" s="1">
        <f t="shared" si="1"/>
        <v>145532</v>
      </c>
      <c r="DI59" s="127">
        <f t="shared" si="2"/>
        <v>467558</v>
      </c>
      <c r="DK59" s="1">
        <f t="shared" si="3"/>
        <v>59537</v>
      </c>
      <c r="DL59" s="1">
        <f t="shared" si="4"/>
        <v>69823</v>
      </c>
      <c r="DM59" s="1">
        <f t="shared" si="5"/>
        <v>10783</v>
      </c>
      <c r="DN59" s="1">
        <f t="shared" si="6"/>
        <v>4887</v>
      </c>
      <c r="DO59" s="1">
        <f t="shared" si="7"/>
        <v>234212</v>
      </c>
      <c r="DP59" s="1">
        <f t="shared" si="8"/>
        <v>68677</v>
      </c>
      <c r="DQ59" s="1">
        <f t="shared" si="15"/>
        <v>0</v>
      </c>
      <c r="DR59" s="1">
        <f t="shared" si="9"/>
        <v>12932</v>
      </c>
      <c r="DS59" s="1">
        <f t="shared" si="10"/>
        <v>0</v>
      </c>
      <c r="DT59" s="1">
        <f t="shared" si="11"/>
        <v>6462</v>
      </c>
      <c r="DU59" s="1"/>
      <c r="DV59" s="1"/>
      <c r="DW59" s="1"/>
      <c r="DX59" s="1">
        <f t="shared" si="16"/>
        <v>467313</v>
      </c>
      <c r="DZ59" s="1">
        <f t="shared" si="17"/>
        <v>0</v>
      </c>
      <c r="EA59" s="1">
        <f t="shared" si="12"/>
        <v>0</v>
      </c>
      <c r="EC59" s="1">
        <f t="shared" si="18"/>
        <v>467313</v>
      </c>
      <c r="ED59" s="1">
        <f t="shared" si="13"/>
        <v>1804</v>
      </c>
      <c r="EE59" s="1"/>
    </row>
    <row r="60" spans="1:135" x14ac:dyDescent="0.25">
      <c r="A60" s="124">
        <v>34029</v>
      </c>
      <c r="B60" s="125">
        <v>0</v>
      </c>
      <c r="C60" s="125">
        <v>0</v>
      </c>
      <c r="D60" s="125">
        <v>0</v>
      </c>
      <c r="E60" s="125" t="s">
        <v>370</v>
      </c>
      <c r="F60" s="125" t="s">
        <v>370</v>
      </c>
      <c r="G60" s="125">
        <v>0</v>
      </c>
      <c r="H60" s="125">
        <v>0</v>
      </c>
      <c r="I60" s="125">
        <v>0</v>
      </c>
      <c r="J60" s="125">
        <v>0</v>
      </c>
      <c r="K60" s="125"/>
      <c r="L60" s="125">
        <v>34665</v>
      </c>
      <c r="M60" s="125">
        <v>3128</v>
      </c>
      <c r="N60" s="125"/>
      <c r="O60" s="125">
        <v>7396</v>
      </c>
      <c r="P60" s="125">
        <v>1254</v>
      </c>
      <c r="Q60" s="125">
        <v>1380</v>
      </c>
      <c r="R60" s="125">
        <v>2545</v>
      </c>
      <c r="S60" s="125">
        <v>10783</v>
      </c>
      <c r="T60" s="125"/>
      <c r="U60" s="125"/>
      <c r="V60" s="125">
        <v>9169</v>
      </c>
      <c r="W60" s="125">
        <v>0</v>
      </c>
      <c r="X60" s="125">
        <v>903</v>
      </c>
      <c r="Y60" s="125">
        <v>36</v>
      </c>
      <c r="Z60" s="126"/>
      <c r="AA60" s="125">
        <v>27</v>
      </c>
      <c r="AB60" s="125">
        <v>0</v>
      </c>
      <c r="AC60" s="125">
        <v>6</v>
      </c>
      <c r="AD60" s="125">
        <v>20</v>
      </c>
      <c r="AE60" s="125">
        <v>7</v>
      </c>
      <c r="AF60" s="125">
        <v>44</v>
      </c>
      <c r="AG60" s="125"/>
      <c r="AH60" s="125"/>
      <c r="AI60" s="125">
        <v>41</v>
      </c>
      <c r="AJ60" s="125">
        <v>0</v>
      </c>
      <c r="AK60" s="125">
        <v>59495</v>
      </c>
      <c r="AL60" s="125">
        <v>3177</v>
      </c>
      <c r="AM60" s="125">
        <v>0</v>
      </c>
      <c r="AN60" s="125">
        <v>0</v>
      </c>
      <c r="AO60" s="125">
        <v>12</v>
      </c>
      <c r="AP60" s="125">
        <v>0</v>
      </c>
      <c r="AQ60" s="125">
        <v>0</v>
      </c>
      <c r="AR60" s="125">
        <v>1784</v>
      </c>
      <c r="AS60" s="125" t="s">
        <v>370</v>
      </c>
      <c r="AT60" s="125">
        <v>707</v>
      </c>
      <c r="AU60" s="125">
        <v>1047</v>
      </c>
      <c r="AV60" s="125">
        <v>1587</v>
      </c>
      <c r="AW60" s="125">
        <v>4831</v>
      </c>
      <c r="AX60" s="126"/>
      <c r="AY60" s="126"/>
      <c r="AZ60" s="126">
        <v>0</v>
      </c>
      <c r="BA60" s="126"/>
      <c r="BB60" s="125">
        <v>1488</v>
      </c>
      <c r="BC60" s="125"/>
      <c r="BD60" s="125">
        <v>58877</v>
      </c>
      <c r="BE60" s="125">
        <v>127778</v>
      </c>
      <c r="BF60" s="125">
        <v>232</v>
      </c>
      <c r="BG60" s="125">
        <v>1271</v>
      </c>
      <c r="BH60" s="125">
        <v>1499</v>
      </c>
      <c r="BI60" s="125">
        <v>3162</v>
      </c>
      <c r="BJ60" s="125">
        <v>216</v>
      </c>
      <c r="BK60" s="125">
        <v>2785</v>
      </c>
      <c r="BL60" s="125"/>
      <c r="BM60" s="125">
        <v>563</v>
      </c>
      <c r="BN60" s="125">
        <v>140</v>
      </c>
      <c r="BO60" s="125">
        <v>0</v>
      </c>
      <c r="BP60" s="125">
        <v>6958</v>
      </c>
      <c r="BQ60" s="125">
        <v>13337</v>
      </c>
      <c r="BR60" s="125">
        <v>35</v>
      </c>
      <c r="BS60" s="125">
        <v>751</v>
      </c>
      <c r="BT60" s="125">
        <v>824</v>
      </c>
      <c r="BU60" s="125"/>
      <c r="BV60" s="125">
        <v>10</v>
      </c>
      <c r="BW60" s="125">
        <v>283</v>
      </c>
      <c r="BX60" s="125"/>
      <c r="BY60" s="125">
        <v>4479</v>
      </c>
      <c r="BZ60" s="125">
        <v>10</v>
      </c>
      <c r="CA60" s="125">
        <v>0</v>
      </c>
      <c r="CB60" s="125">
        <v>12914</v>
      </c>
      <c r="CC60" s="125">
        <v>50693</v>
      </c>
      <c r="CD60" s="125">
        <v>23554</v>
      </c>
      <c r="CE60" s="125">
        <v>11059</v>
      </c>
      <c r="CF60" s="125">
        <v>0</v>
      </c>
      <c r="CG60" s="125">
        <v>0</v>
      </c>
      <c r="CH60" s="125">
        <v>18</v>
      </c>
      <c r="CI60" s="125">
        <v>379</v>
      </c>
      <c r="CJ60" s="125">
        <v>199</v>
      </c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 t="s">
        <v>370</v>
      </c>
      <c r="CZ60" s="125" t="s">
        <v>370</v>
      </c>
      <c r="DA60" s="125" t="s">
        <v>370</v>
      </c>
      <c r="DB60" s="125">
        <v>0</v>
      </c>
      <c r="DC60" s="125">
        <v>0</v>
      </c>
      <c r="DD60" s="125">
        <v>0</v>
      </c>
      <c r="DE60">
        <f t="shared" si="0"/>
        <v>467558</v>
      </c>
      <c r="DG60" s="1">
        <f t="shared" si="14"/>
        <v>327639</v>
      </c>
      <c r="DH60" s="1">
        <f t="shared" si="1"/>
        <v>146988</v>
      </c>
      <c r="DI60" s="127">
        <f t="shared" si="2"/>
        <v>474627</v>
      </c>
      <c r="DK60" s="1">
        <f t="shared" si="3"/>
        <v>59640</v>
      </c>
      <c r="DL60" s="1">
        <f t="shared" si="4"/>
        <v>70325</v>
      </c>
      <c r="DM60" s="1">
        <f t="shared" si="5"/>
        <v>10981</v>
      </c>
      <c r="DN60" s="1">
        <f t="shared" si="6"/>
        <v>5148</v>
      </c>
      <c r="DO60" s="1">
        <f t="shared" si="7"/>
        <v>238712</v>
      </c>
      <c r="DP60" s="1">
        <f t="shared" si="8"/>
        <v>68420</v>
      </c>
      <c r="DQ60" s="1">
        <f t="shared" si="15"/>
        <v>0</v>
      </c>
      <c r="DR60" s="1">
        <f t="shared" si="9"/>
        <v>13330</v>
      </c>
      <c r="DS60" s="1">
        <f t="shared" si="10"/>
        <v>0</v>
      </c>
      <c r="DT60" s="1">
        <f t="shared" si="11"/>
        <v>6578</v>
      </c>
      <c r="DU60" s="1"/>
      <c r="DV60" s="1"/>
      <c r="DW60" s="1"/>
      <c r="DX60" s="1">
        <f t="shared" si="16"/>
        <v>473134</v>
      </c>
      <c r="DZ60" s="1">
        <f t="shared" si="17"/>
        <v>0</v>
      </c>
      <c r="EA60" s="1">
        <f t="shared" si="12"/>
        <v>0</v>
      </c>
      <c r="EC60" s="1">
        <f t="shared" si="18"/>
        <v>473134</v>
      </c>
      <c r="ED60" s="1">
        <f t="shared" si="13"/>
        <v>5576</v>
      </c>
      <c r="EE60" s="1"/>
    </row>
    <row r="61" spans="1:135" x14ac:dyDescent="0.25">
      <c r="A61" s="124">
        <v>34060</v>
      </c>
      <c r="B61" s="125">
        <v>0</v>
      </c>
      <c r="C61" s="125">
        <v>0</v>
      </c>
      <c r="D61" s="125">
        <v>0</v>
      </c>
      <c r="E61" s="125" t="s">
        <v>370</v>
      </c>
      <c r="F61" s="125" t="s">
        <v>370</v>
      </c>
      <c r="G61" s="125">
        <v>0</v>
      </c>
      <c r="H61" s="125">
        <v>0</v>
      </c>
      <c r="I61" s="125">
        <v>0</v>
      </c>
      <c r="J61" s="125">
        <v>0</v>
      </c>
      <c r="K61" s="125"/>
      <c r="L61" s="125">
        <v>34701</v>
      </c>
      <c r="M61" s="125">
        <v>3153</v>
      </c>
      <c r="N61" s="125"/>
      <c r="O61" s="125">
        <v>7459</v>
      </c>
      <c r="P61" s="125">
        <v>1244</v>
      </c>
      <c r="Q61" s="125">
        <v>1378</v>
      </c>
      <c r="R61" s="125">
        <v>2565</v>
      </c>
      <c r="S61" s="125">
        <v>10981</v>
      </c>
      <c r="T61" s="125"/>
      <c r="U61" s="125"/>
      <c r="V61" s="125">
        <v>9140</v>
      </c>
      <c r="W61" s="125">
        <v>0</v>
      </c>
      <c r="X61" s="125">
        <v>910</v>
      </c>
      <c r="Y61" s="125">
        <v>35</v>
      </c>
      <c r="Z61" s="126"/>
      <c r="AA61" s="125">
        <v>27</v>
      </c>
      <c r="AB61" s="125">
        <v>0</v>
      </c>
      <c r="AC61" s="125">
        <v>6</v>
      </c>
      <c r="AD61" s="125">
        <v>21</v>
      </c>
      <c r="AE61" s="125">
        <v>7</v>
      </c>
      <c r="AF61" s="125">
        <v>47</v>
      </c>
      <c r="AG61" s="125"/>
      <c r="AH61" s="125"/>
      <c r="AI61" s="125">
        <v>40</v>
      </c>
      <c r="AJ61" s="125">
        <v>0</v>
      </c>
      <c r="AK61" s="125">
        <v>60288</v>
      </c>
      <c r="AL61" s="125">
        <v>3228</v>
      </c>
      <c r="AM61" s="125">
        <v>135</v>
      </c>
      <c r="AN61" s="125">
        <v>0</v>
      </c>
      <c r="AO61" s="125">
        <v>15</v>
      </c>
      <c r="AP61" s="125">
        <v>0</v>
      </c>
      <c r="AQ61" s="125">
        <v>0</v>
      </c>
      <c r="AR61" s="125">
        <v>1804</v>
      </c>
      <c r="AS61" s="125" t="s">
        <v>370</v>
      </c>
      <c r="AT61" s="125">
        <v>717</v>
      </c>
      <c r="AU61" s="125">
        <v>1060</v>
      </c>
      <c r="AV61" s="125">
        <v>1594</v>
      </c>
      <c r="AW61" s="125">
        <v>4951</v>
      </c>
      <c r="AX61" s="126"/>
      <c r="AY61" s="126"/>
      <c r="AZ61" s="126">
        <v>0</v>
      </c>
      <c r="BA61" s="126"/>
      <c r="BB61" s="125">
        <v>1482</v>
      </c>
      <c r="BC61" s="125"/>
      <c r="BD61" s="125">
        <v>59275</v>
      </c>
      <c r="BE61" s="125">
        <v>128408</v>
      </c>
      <c r="BF61" s="125">
        <v>236</v>
      </c>
      <c r="BG61" s="125">
        <v>1353</v>
      </c>
      <c r="BH61" s="125">
        <v>1571</v>
      </c>
      <c r="BI61" s="125">
        <v>3239</v>
      </c>
      <c r="BJ61" s="125">
        <v>221</v>
      </c>
      <c r="BK61" s="125">
        <v>2819</v>
      </c>
      <c r="BL61" s="125"/>
      <c r="BM61" s="125">
        <v>524</v>
      </c>
      <c r="BN61" s="125">
        <v>144</v>
      </c>
      <c r="BO61" s="125">
        <v>0</v>
      </c>
      <c r="BP61" s="125">
        <v>7081</v>
      </c>
      <c r="BQ61" s="125">
        <v>13464</v>
      </c>
      <c r="BR61" s="125">
        <v>33</v>
      </c>
      <c r="BS61" s="125">
        <v>786</v>
      </c>
      <c r="BT61" s="125">
        <v>857</v>
      </c>
      <c r="BU61" s="125"/>
      <c r="BV61" s="125">
        <v>11</v>
      </c>
      <c r="BW61" s="125">
        <v>284</v>
      </c>
      <c r="BX61" s="125"/>
      <c r="BY61" s="125">
        <v>4479</v>
      </c>
      <c r="BZ61" s="125">
        <v>15</v>
      </c>
      <c r="CA61" s="125">
        <v>0</v>
      </c>
      <c r="CB61" s="125">
        <v>13303</v>
      </c>
      <c r="CC61" s="125">
        <v>52103</v>
      </c>
      <c r="CD61" s="125">
        <v>25207</v>
      </c>
      <c r="CE61" s="125">
        <v>11614</v>
      </c>
      <c r="CF61" s="125">
        <v>0</v>
      </c>
      <c r="CG61" s="125">
        <v>0</v>
      </c>
      <c r="CH61" s="125">
        <v>27</v>
      </c>
      <c r="CI61" s="125">
        <v>379</v>
      </c>
      <c r="CJ61" s="125">
        <v>206</v>
      </c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 t="s">
        <v>370</v>
      </c>
      <c r="CZ61" s="125" t="s">
        <v>370</v>
      </c>
      <c r="DA61" s="125" t="s">
        <v>370</v>
      </c>
      <c r="DB61" s="125">
        <v>0</v>
      </c>
      <c r="DC61" s="125">
        <v>0</v>
      </c>
      <c r="DD61" s="125">
        <v>0</v>
      </c>
      <c r="DE61">
        <f t="shared" si="0"/>
        <v>474627</v>
      </c>
      <c r="DG61" s="1">
        <f t="shared" si="14"/>
        <v>330638</v>
      </c>
      <c r="DH61" s="1">
        <f t="shared" si="1"/>
        <v>147989</v>
      </c>
      <c r="DI61" s="127">
        <f t="shared" si="2"/>
        <v>478627</v>
      </c>
      <c r="DK61" s="1">
        <f t="shared" si="3"/>
        <v>59708</v>
      </c>
      <c r="DL61" s="1">
        <f t="shared" si="4"/>
        <v>71219</v>
      </c>
      <c r="DM61" s="1">
        <f t="shared" si="5"/>
        <v>11102</v>
      </c>
      <c r="DN61" s="1">
        <f t="shared" si="6"/>
        <v>5302</v>
      </c>
      <c r="DO61" s="1">
        <f t="shared" si="7"/>
        <v>241254</v>
      </c>
      <c r="DP61" s="1">
        <f t="shared" si="8"/>
        <v>69019</v>
      </c>
      <c r="DQ61" s="1">
        <f t="shared" si="15"/>
        <v>0</v>
      </c>
      <c r="DR61" s="1">
        <f t="shared" si="9"/>
        <v>13526</v>
      </c>
      <c r="DS61" s="1">
        <f t="shared" si="10"/>
        <v>0</v>
      </c>
      <c r="DT61" s="1">
        <f t="shared" si="11"/>
        <v>6648</v>
      </c>
      <c r="DU61" s="1"/>
      <c r="DV61" s="1"/>
      <c r="DW61" s="1"/>
      <c r="DX61" s="1">
        <f t="shared" si="16"/>
        <v>477778</v>
      </c>
      <c r="DZ61" s="1">
        <f t="shared" si="17"/>
        <v>0</v>
      </c>
      <c r="EA61" s="1">
        <f t="shared" si="12"/>
        <v>0</v>
      </c>
      <c r="EC61" s="1">
        <f t="shared" si="18"/>
        <v>477778</v>
      </c>
      <c r="ED61" s="1">
        <f t="shared" si="13"/>
        <v>3151</v>
      </c>
      <c r="EE61" s="1"/>
    </row>
    <row r="62" spans="1:135" x14ac:dyDescent="0.25">
      <c r="A62" s="124">
        <v>34090</v>
      </c>
      <c r="B62" s="125">
        <v>0</v>
      </c>
      <c r="C62" s="125">
        <v>0</v>
      </c>
      <c r="D62" s="125">
        <v>0</v>
      </c>
      <c r="E62" s="125" t="s">
        <v>370</v>
      </c>
      <c r="F62" s="125" t="s">
        <v>370</v>
      </c>
      <c r="G62" s="125">
        <v>0</v>
      </c>
      <c r="H62" s="125">
        <v>0</v>
      </c>
      <c r="I62" s="125">
        <v>0</v>
      </c>
      <c r="J62" s="125">
        <v>0</v>
      </c>
      <c r="K62" s="125"/>
      <c r="L62" s="125">
        <v>34733</v>
      </c>
      <c r="M62" s="125">
        <v>3164</v>
      </c>
      <c r="N62" s="125"/>
      <c r="O62" s="125">
        <v>7501</v>
      </c>
      <c r="P62" s="125">
        <v>1221</v>
      </c>
      <c r="Q62" s="125">
        <v>1389</v>
      </c>
      <c r="R62" s="125">
        <v>2525</v>
      </c>
      <c r="S62" s="125">
        <v>11102</v>
      </c>
      <c r="T62" s="125"/>
      <c r="U62" s="125"/>
      <c r="V62" s="125">
        <v>9175</v>
      </c>
      <c r="W62" s="125">
        <v>0</v>
      </c>
      <c r="X62" s="125">
        <v>910</v>
      </c>
      <c r="Y62" s="125">
        <v>33</v>
      </c>
      <c r="Z62" s="126"/>
      <c r="AA62" s="125">
        <v>27</v>
      </c>
      <c r="AB62" s="125">
        <v>0</v>
      </c>
      <c r="AC62" s="125">
        <v>4</v>
      </c>
      <c r="AD62" s="125">
        <v>22</v>
      </c>
      <c r="AE62" s="125">
        <v>8</v>
      </c>
      <c r="AF62" s="125">
        <v>44</v>
      </c>
      <c r="AG62" s="125"/>
      <c r="AH62" s="125"/>
      <c r="AI62" s="125">
        <v>40</v>
      </c>
      <c r="AJ62" s="125">
        <v>0</v>
      </c>
      <c r="AK62" s="125">
        <v>60837</v>
      </c>
      <c r="AL62" s="125">
        <v>3251</v>
      </c>
      <c r="AM62" s="125">
        <v>184</v>
      </c>
      <c r="AN62" s="125">
        <v>0</v>
      </c>
      <c r="AO62" s="125">
        <v>14</v>
      </c>
      <c r="AP62" s="125">
        <v>0</v>
      </c>
      <c r="AQ62" s="125">
        <v>0</v>
      </c>
      <c r="AR62" s="125">
        <v>1890</v>
      </c>
      <c r="AS62" s="125" t="s">
        <v>370</v>
      </c>
      <c r="AT62" s="125">
        <v>729</v>
      </c>
      <c r="AU62" s="125">
        <v>1058</v>
      </c>
      <c r="AV62" s="125">
        <v>1583</v>
      </c>
      <c r="AW62" s="125">
        <v>5060</v>
      </c>
      <c r="AX62" s="126"/>
      <c r="AY62" s="126"/>
      <c r="AZ62" s="126">
        <v>0</v>
      </c>
      <c r="BA62" s="126"/>
      <c r="BB62" s="125">
        <v>1485</v>
      </c>
      <c r="BC62" s="125"/>
      <c r="BD62" s="125">
        <v>59216</v>
      </c>
      <c r="BE62" s="125">
        <v>128378</v>
      </c>
      <c r="BF62" s="125">
        <v>235</v>
      </c>
      <c r="BG62" s="125">
        <v>1382</v>
      </c>
      <c r="BH62" s="125">
        <v>1622</v>
      </c>
      <c r="BI62" s="125">
        <v>3299</v>
      </c>
      <c r="BJ62" s="125">
        <v>226</v>
      </c>
      <c r="BK62" s="125">
        <v>2838</v>
      </c>
      <c r="BL62" s="125"/>
      <c r="BM62" s="125">
        <v>613</v>
      </c>
      <c r="BN62" s="125">
        <v>145</v>
      </c>
      <c r="BO62" s="125">
        <v>0</v>
      </c>
      <c r="BP62" s="125">
        <v>7197</v>
      </c>
      <c r="BQ62" s="125">
        <v>13574</v>
      </c>
      <c r="BR62" s="125">
        <v>32</v>
      </c>
      <c r="BS62" s="125">
        <v>802</v>
      </c>
      <c r="BT62" s="125">
        <v>864</v>
      </c>
      <c r="BU62" s="125"/>
      <c r="BV62" s="125">
        <v>13</v>
      </c>
      <c r="BW62" s="125">
        <v>276</v>
      </c>
      <c r="BX62" s="125"/>
      <c r="BY62" s="125">
        <v>4511</v>
      </c>
      <c r="BZ62" s="125">
        <v>18</v>
      </c>
      <c r="CA62" s="125">
        <v>0</v>
      </c>
      <c r="CB62" s="125">
        <v>13495</v>
      </c>
      <c r="CC62" s="125">
        <v>52918</v>
      </c>
      <c r="CD62" s="125">
        <v>26465</v>
      </c>
      <c r="CE62" s="125">
        <v>11926</v>
      </c>
      <c r="CF62" s="125">
        <v>0</v>
      </c>
      <c r="CG62" s="125">
        <v>0</v>
      </c>
      <c r="CH62" s="125">
        <v>31</v>
      </c>
      <c r="CI62" s="125">
        <v>354</v>
      </c>
      <c r="CJ62" s="125">
        <v>208</v>
      </c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 t="s">
        <v>370</v>
      </c>
      <c r="CZ62" s="125" t="s">
        <v>370</v>
      </c>
      <c r="DA62" s="125" t="s">
        <v>370</v>
      </c>
      <c r="DB62" s="125">
        <v>0</v>
      </c>
      <c r="DC62" s="125">
        <v>0</v>
      </c>
      <c r="DD62" s="125">
        <v>0</v>
      </c>
      <c r="DE62">
        <f t="shared" si="0"/>
        <v>478627</v>
      </c>
      <c r="DG62" s="1">
        <f t="shared" si="14"/>
        <v>330754</v>
      </c>
      <c r="DH62" s="1">
        <f t="shared" si="1"/>
        <v>148913</v>
      </c>
      <c r="DI62" s="127">
        <f t="shared" si="2"/>
        <v>479667</v>
      </c>
      <c r="DK62" s="1">
        <f t="shared" si="3"/>
        <v>59808</v>
      </c>
      <c r="DL62" s="1">
        <f t="shared" si="4"/>
        <v>71877</v>
      </c>
      <c r="DM62" s="1">
        <f t="shared" si="5"/>
        <v>11265</v>
      </c>
      <c r="DN62" s="1">
        <f t="shared" si="6"/>
        <v>5411</v>
      </c>
      <c r="DO62" s="1">
        <f t="shared" si="7"/>
        <v>242093</v>
      </c>
      <c r="DP62" s="1">
        <f t="shared" si="8"/>
        <v>69210</v>
      </c>
      <c r="DQ62" s="1">
        <f t="shared" si="15"/>
        <v>0</v>
      </c>
      <c r="DR62" s="1">
        <f t="shared" si="9"/>
        <v>13253</v>
      </c>
      <c r="DS62" s="1">
        <f t="shared" si="10"/>
        <v>0</v>
      </c>
      <c r="DT62" s="1">
        <f t="shared" si="11"/>
        <v>6642</v>
      </c>
      <c r="DU62" s="1"/>
      <c r="DV62" s="1"/>
      <c r="DW62" s="1"/>
      <c r="DX62" s="1">
        <f t="shared" si="16"/>
        <v>479559</v>
      </c>
      <c r="DZ62" s="1">
        <f t="shared" si="17"/>
        <v>0</v>
      </c>
      <c r="EA62" s="1">
        <f t="shared" si="12"/>
        <v>0</v>
      </c>
      <c r="EC62" s="1">
        <f t="shared" si="18"/>
        <v>479559</v>
      </c>
      <c r="ED62" s="1">
        <f t="shared" si="13"/>
        <v>932</v>
      </c>
      <c r="EE62" s="1"/>
    </row>
    <row r="63" spans="1:135" x14ac:dyDescent="0.25">
      <c r="A63" s="124">
        <v>34121</v>
      </c>
      <c r="B63" s="125">
        <v>0</v>
      </c>
      <c r="C63" s="125">
        <v>0</v>
      </c>
      <c r="D63" s="125">
        <v>0</v>
      </c>
      <c r="E63" s="125" t="s">
        <v>370</v>
      </c>
      <c r="F63" s="125" t="s">
        <v>370</v>
      </c>
      <c r="G63" s="125">
        <v>0</v>
      </c>
      <c r="H63" s="125">
        <v>0</v>
      </c>
      <c r="I63" s="125">
        <v>0</v>
      </c>
      <c r="J63" s="125">
        <v>0</v>
      </c>
      <c r="K63" s="125"/>
      <c r="L63" s="125">
        <v>34736</v>
      </c>
      <c r="M63" s="125">
        <v>3167</v>
      </c>
      <c r="N63" s="125"/>
      <c r="O63" s="125">
        <v>7549</v>
      </c>
      <c r="P63" s="125">
        <v>1245</v>
      </c>
      <c r="Q63" s="125">
        <v>1385</v>
      </c>
      <c r="R63" s="125">
        <v>2531</v>
      </c>
      <c r="S63" s="125">
        <v>11265</v>
      </c>
      <c r="T63" s="125"/>
      <c r="U63" s="125"/>
      <c r="V63" s="125">
        <v>9195</v>
      </c>
      <c r="W63" s="125">
        <v>0</v>
      </c>
      <c r="X63" s="125">
        <v>906</v>
      </c>
      <c r="Y63" s="125">
        <v>34</v>
      </c>
      <c r="Z63" s="126"/>
      <c r="AA63" s="125">
        <v>27</v>
      </c>
      <c r="AB63" s="125">
        <v>0</v>
      </c>
      <c r="AC63" s="125">
        <v>4</v>
      </c>
      <c r="AD63" s="125">
        <v>25</v>
      </c>
      <c r="AE63" s="125">
        <v>8</v>
      </c>
      <c r="AF63" s="125">
        <v>43</v>
      </c>
      <c r="AG63" s="125"/>
      <c r="AH63" s="125"/>
      <c r="AI63" s="125">
        <v>37</v>
      </c>
      <c r="AJ63" s="125">
        <v>0</v>
      </c>
      <c r="AK63" s="125">
        <v>61335</v>
      </c>
      <c r="AL63" s="125">
        <v>3269</v>
      </c>
      <c r="AM63" s="125">
        <v>201</v>
      </c>
      <c r="AN63" s="125">
        <v>0</v>
      </c>
      <c r="AO63" s="125">
        <v>14</v>
      </c>
      <c r="AP63" s="125">
        <v>0</v>
      </c>
      <c r="AQ63" s="125">
        <v>0</v>
      </c>
      <c r="AR63" s="125">
        <v>1921</v>
      </c>
      <c r="AS63" s="125" t="s">
        <v>370</v>
      </c>
      <c r="AT63" s="125">
        <v>726</v>
      </c>
      <c r="AU63" s="125">
        <v>1060</v>
      </c>
      <c r="AV63" s="125">
        <v>1585</v>
      </c>
      <c r="AW63" s="125">
        <v>5153</v>
      </c>
      <c r="AX63" s="126"/>
      <c r="AY63" s="126"/>
      <c r="AZ63" s="126">
        <v>0</v>
      </c>
      <c r="BA63" s="126"/>
      <c r="BB63" s="125">
        <v>1492</v>
      </c>
      <c r="BC63" s="125"/>
      <c r="BD63" s="125">
        <v>58657</v>
      </c>
      <c r="BE63" s="125">
        <v>127560</v>
      </c>
      <c r="BF63" s="125">
        <v>237</v>
      </c>
      <c r="BG63" s="125">
        <v>1235</v>
      </c>
      <c r="BH63" s="125">
        <v>1465</v>
      </c>
      <c r="BI63" s="125">
        <v>3306</v>
      </c>
      <c r="BJ63" s="125">
        <v>223</v>
      </c>
      <c r="BK63" s="125">
        <v>2816</v>
      </c>
      <c r="BL63" s="125"/>
      <c r="BM63" s="125">
        <v>674</v>
      </c>
      <c r="BN63" s="125">
        <v>140</v>
      </c>
      <c r="BO63" s="125">
        <v>0</v>
      </c>
      <c r="BP63" s="125">
        <v>7357</v>
      </c>
      <c r="BQ63" s="125">
        <v>13849</v>
      </c>
      <c r="BR63" s="125">
        <v>32</v>
      </c>
      <c r="BS63" s="125">
        <v>843</v>
      </c>
      <c r="BT63" s="125">
        <v>928</v>
      </c>
      <c r="BU63" s="125"/>
      <c r="BV63" s="125">
        <v>16</v>
      </c>
      <c r="BW63" s="125">
        <v>283</v>
      </c>
      <c r="BX63" s="125"/>
      <c r="BY63" s="125">
        <v>4457</v>
      </c>
      <c r="BZ63" s="125">
        <v>18</v>
      </c>
      <c r="CA63" s="125">
        <v>0</v>
      </c>
      <c r="CB63" s="125">
        <v>13219</v>
      </c>
      <c r="CC63" s="125">
        <v>53361</v>
      </c>
      <c r="CD63" s="125">
        <v>27422</v>
      </c>
      <c r="CE63" s="125">
        <v>12065</v>
      </c>
      <c r="CF63" s="125">
        <v>0</v>
      </c>
      <c r="CG63" s="125">
        <v>0</v>
      </c>
      <c r="CH63" s="125">
        <v>34</v>
      </c>
      <c r="CI63" s="125">
        <v>349</v>
      </c>
      <c r="CJ63" s="125">
        <v>208</v>
      </c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 t="s">
        <v>370</v>
      </c>
      <c r="CZ63" s="125" t="s">
        <v>370</v>
      </c>
      <c r="DA63" s="125" t="s">
        <v>370</v>
      </c>
      <c r="DB63" s="125">
        <v>0</v>
      </c>
      <c r="DC63" s="125">
        <v>0</v>
      </c>
      <c r="DD63" s="125">
        <v>0</v>
      </c>
      <c r="DE63">
        <f t="shared" si="0"/>
        <v>479667</v>
      </c>
      <c r="DG63" s="1">
        <f t="shared" si="14"/>
        <v>333500</v>
      </c>
      <c r="DH63" s="1">
        <f t="shared" si="1"/>
        <v>150326</v>
      </c>
      <c r="DI63" s="127">
        <f t="shared" si="2"/>
        <v>483826</v>
      </c>
      <c r="DK63" s="1">
        <f t="shared" si="3"/>
        <v>60017</v>
      </c>
      <c r="DL63" s="1">
        <f t="shared" si="4"/>
        <v>72429</v>
      </c>
      <c r="DM63" s="1">
        <f t="shared" si="5"/>
        <v>11390</v>
      </c>
      <c r="DN63" s="1">
        <f t="shared" si="6"/>
        <v>5684</v>
      </c>
      <c r="DO63" s="1">
        <f t="shared" si="7"/>
        <v>244196</v>
      </c>
      <c r="DP63" s="1">
        <f t="shared" si="8"/>
        <v>68766</v>
      </c>
      <c r="DQ63" s="1">
        <f t="shared" si="15"/>
        <v>0</v>
      </c>
      <c r="DR63" s="1">
        <f t="shared" si="9"/>
        <v>13536</v>
      </c>
      <c r="DS63" s="1">
        <f t="shared" si="10"/>
        <v>0</v>
      </c>
      <c r="DT63" s="1">
        <f t="shared" si="11"/>
        <v>6736</v>
      </c>
      <c r="DU63" s="1"/>
      <c r="DV63" s="1"/>
      <c r="DW63" s="1"/>
      <c r="DX63" s="1">
        <f t="shared" si="16"/>
        <v>482754</v>
      </c>
      <c r="DZ63" s="1">
        <f t="shared" si="17"/>
        <v>0</v>
      </c>
      <c r="EA63" s="1">
        <f t="shared" si="12"/>
        <v>0</v>
      </c>
      <c r="EC63" s="1">
        <f t="shared" si="18"/>
        <v>482754</v>
      </c>
      <c r="ED63" s="1">
        <f t="shared" si="13"/>
        <v>3087</v>
      </c>
      <c r="EE63" s="1"/>
    </row>
    <row r="64" spans="1:135" x14ac:dyDescent="0.25">
      <c r="A64" s="124">
        <v>34151</v>
      </c>
      <c r="B64" s="125">
        <v>0</v>
      </c>
      <c r="C64" s="125">
        <v>0</v>
      </c>
      <c r="D64" s="125">
        <v>0</v>
      </c>
      <c r="E64" s="125" t="s">
        <v>370</v>
      </c>
      <c r="F64" s="125" t="s">
        <v>370</v>
      </c>
      <c r="G64" s="125">
        <v>0</v>
      </c>
      <c r="H64" s="125">
        <v>0</v>
      </c>
      <c r="I64" s="125">
        <v>0</v>
      </c>
      <c r="J64" s="125">
        <v>0</v>
      </c>
      <c r="K64" s="125"/>
      <c r="L64" s="125">
        <v>34807</v>
      </c>
      <c r="M64" s="125">
        <v>3192</v>
      </c>
      <c r="N64" s="125"/>
      <c r="O64" s="125">
        <v>7602</v>
      </c>
      <c r="P64" s="125">
        <v>1246</v>
      </c>
      <c r="Q64" s="125">
        <v>1387</v>
      </c>
      <c r="R64" s="125">
        <v>2588</v>
      </c>
      <c r="S64" s="125">
        <v>11390</v>
      </c>
      <c r="T64" s="125"/>
      <c r="U64" s="125"/>
      <c r="V64" s="125">
        <v>9195</v>
      </c>
      <c r="W64" s="125">
        <v>0</v>
      </c>
      <c r="X64" s="125">
        <v>904</v>
      </c>
      <c r="Y64" s="125">
        <v>33</v>
      </c>
      <c r="Z64" s="126"/>
      <c r="AA64" s="125">
        <v>27</v>
      </c>
      <c r="AB64" s="125">
        <v>0</v>
      </c>
      <c r="AC64" s="125">
        <v>3</v>
      </c>
      <c r="AD64" s="125">
        <v>26</v>
      </c>
      <c r="AE64" s="125">
        <v>8</v>
      </c>
      <c r="AF64" s="125">
        <v>43</v>
      </c>
      <c r="AG64" s="125"/>
      <c r="AH64" s="125"/>
      <c r="AI64" s="125">
        <v>38</v>
      </c>
      <c r="AJ64" s="125">
        <v>0</v>
      </c>
      <c r="AK64" s="125">
        <v>62107</v>
      </c>
      <c r="AL64" s="125">
        <v>3286</v>
      </c>
      <c r="AM64" s="125">
        <v>365</v>
      </c>
      <c r="AN64" s="125">
        <v>0</v>
      </c>
      <c r="AO64" s="125">
        <v>11</v>
      </c>
      <c r="AP64" s="125">
        <v>0</v>
      </c>
      <c r="AQ64" s="125">
        <v>0</v>
      </c>
      <c r="AR64" s="125">
        <v>1942</v>
      </c>
      <c r="AS64" s="125" t="s">
        <v>370</v>
      </c>
      <c r="AT64" s="125">
        <v>727</v>
      </c>
      <c r="AU64" s="125">
        <v>1076</v>
      </c>
      <c r="AV64" s="125">
        <v>1593</v>
      </c>
      <c r="AW64" s="125">
        <v>5265</v>
      </c>
      <c r="AX64" s="126"/>
      <c r="AY64" s="126"/>
      <c r="AZ64" s="126">
        <v>0</v>
      </c>
      <c r="BA64" s="126"/>
      <c r="BB64" s="125">
        <v>1465</v>
      </c>
      <c r="BC64" s="125"/>
      <c r="BD64" s="125">
        <v>58788</v>
      </c>
      <c r="BE64" s="125">
        <v>127685</v>
      </c>
      <c r="BF64" s="125">
        <v>239</v>
      </c>
      <c r="BG64" s="125">
        <v>1168</v>
      </c>
      <c r="BH64" s="125">
        <v>1373</v>
      </c>
      <c r="BI64" s="125">
        <v>3350</v>
      </c>
      <c r="BJ64" s="125">
        <v>230</v>
      </c>
      <c r="BK64" s="125">
        <v>2854</v>
      </c>
      <c r="BL64" s="125"/>
      <c r="BM64" s="125">
        <v>656</v>
      </c>
      <c r="BN64" s="125">
        <v>134</v>
      </c>
      <c r="BO64" s="125">
        <v>0</v>
      </c>
      <c r="BP64" s="125">
        <v>7566</v>
      </c>
      <c r="BQ64" s="125">
        <v>14175</v>
      </c>
      <c r="BR64" s="125">
        <v>32</v>
      </c>
      <c r="BS64" s="125">
        <v>854</v>
      </c>
      <c r="BT64" s="125">
        <v>960</v>
      </c>
      <c r="BU64" s="125"/>
      <c r="BV64" s="125">
        <v>10</v>
      </c>
      <c r="BW64" s="125">
        <v>293</v>
      </c>
      <c r="BX64" s="125"/>
      <c r="BY64" s="125">
        <v>4214</v>
      </c>
      <c r="BZ64" s="125">
        <v>20</v>
      </c>
      <c r="CA64" s="125">
        <v>0</v>
      </c>
      <c r="CB64" s="125">
        <v>13505</v>
      </c>
      <c r="CC64" s="125">
        <v>53970</v>
      </c>
      <c r="CD64" s="125">
        <v>28448</v>
      </c>
      <c r="CE64" s="125">
        <v>12413</v>
      </c>
      <c r="CF64" s="125">
        <v>0</v>
      </c>
      <c r="CG64" s="125">
        <v>0</v>
      </c>
      <c r="CH64" s="125">
        <v>31</v>
      </c>
      <c r="CI64" s="125">
        <v>337</v>
      </c>
      <c r="CJ64" s="125">
        <v>195</v>
      </c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 t="s">
        <v>370</v>
      </c>
      <c r="CZ64" s="125" t="s">
        <v>370</v>
      </c>
      <c r="DA64" s="125" t="s">
        <v>370</v>
      </c>
      <c r="DB64" s="125">
        <v>0</v>
      </c>
      <c r="DC64" s="125">
        <v>0</v>
      </c>
      <c r="DD64" s="125">
        <v>0</v>
      </c>
      <c r="DE64">
        <f t="shared" si="0"/>
        <v>483826</v>
      </c>
      <c r="DG64" s="1">
        <f t="shared" si="14"/>
        <v>337802</v>
      </c>
      <c r="DH64" s="1">
        <f t="shared" si="1"/>
        <v>151803</v>
      </c>
      <c r="DI64" s="127">
        <f t="shared" si="2"/>
        <v>489605</v>
      </c>
      <c r="DK64" s="1">
        <f t="shared" si="3"/>
        <v>60176</v>
      </c>
      <c r="DL64" s="1">
        <f t="shared" si="4"/>
        <v>73235</v>
      </c>
      <c r="DM64" s="1">
        <f t="shared" si="5"/>
        <v>11451</v>
      </c>
      <c r="DN64" s="1">
        <f t="shared" si="6"/>
        <v>6143</v>
      </c>
      <c r="DO64" s="1">
        <f t="shared" si="7"/>
        <v>247842</v>
      </c>
      <c r="DP64" s="1">
        <f t="shared" si="8"/>
        <v>69032</v>
      </c>
      <c r="DQ64" s="1">
        <f t="shared" si="15"/>
        <v>0</v>
      </c>
      <c r="DR64" s="1">
        <f t="shared" si="9"/>
        <v>13699</v>
      </c>
      <c r="DS64" s="1">
        <f t="shared" si="10"/>
        <v>0</v>
      </c>
      <c r="DT64" s="1">
        <f t="shared" si="11"/>
        <v>6819</v>
      </c>
      <c r="DU64" s="1"/>
      <c r="DV64" s="1"/>
      <c r="DW64" s="1"/>
      <c r="DX64" s="1">
        <f t="shared" si="16"/>
        <v>488397</v>
      </c>
      <c r="DZ64" s="1">
        <f t="shared" si="17"/>
        <v>0</v>
      </c>
      <c r="EA64" s="1">
        <f t="shared" si="12"/>
        <v>0</v>
      </c>
      <c r="EC64" s="1">
        <f t="shared" si="18"/>
        <v>488397</v>
      </c>
      <c r="ED64" s="1">
        <f t="shared" si="13"/>
        <v>4571</v>
      </c>
      <c r="EE64" s="1"/>
    </row>
    <row r="65" spans="1:135" x14ac:dyDescent="0.25">
      <c r="A65" s="124">
        <v>34182</v>
      </c>
      <c r="B65" s="125">
        <v>0</v>
      </c>
      <c r="C65" s="125">
        <v>0</v>
      </c>
      <c r="D65" s="125">
        <v>0</v>
      </c>
      <c r="E65" s="125" t="s">
        <v>370</v>
      </c>
      <c r="F65" s="125" t="s">
        <v>370</v>
      </c>
      <c r="G65" s="125">
        <v>0</v>
      </c>
      <c r="H65" s="125">
        <v>0</v>
      </c>
      <c r="I65" s="125">
        <v>0</v>
      </c>
      <c r="J65" s="125">
        <v>0</v>
      </c>
      <c r="K65" s="125"/>
      <c r="L65" s="125">
        <v>34843</v>
      </c>
      <c r="M65" s="125">
        <v>3230</v>
      </c>
      <c r="N65" s="125"/>
      <c r="O65" s="125">
        <v>7651</v>
      </c>
      <c r="P65" s="125">
        <v>1250</v>
      </c>
      <c r="Q65" s="125">
        <v>1401</v>
      </c>
      <c r="R65" s="125">
        <v>2640</v>
      </c>
      <c r="S65" s="125">
        <v>11451</v>
      </c>
      <c r="T65" s="125"/>
      <c r="U65" s="125"/>
      <c r="V65" s="125">
        <v>9161</v>
      </c>
      <c r="W65" s="125">
        <v>0</v>
      </c>
      <c r="X65" s="125">
        <v>901</v>
      </c>
      <c r="Y65" s="125">
        <v>35</v>
      </c>
      <c r="Z65" s="126"/>
      <c r="AA65" s="125">
        <v>27</v>
      </c>
      <c r="AB65" s="125">
        <v>0</v>
      </c>
      <c r="AC65" s="125">
        <v>4</v>
      </c>
      <c r="AD65" s="125">
        <v>25</v>
      </c>
      <c r="AE65" s="125">
        <v>7</v>
      </c>
      <c r="AF65" s="125">
        <v>43</v>
      </c>
      <c r="AG65" s="125"/>
      <c r="AH65" s="125"/>
      <c r="AI65" s="125">
        <v>38</v>
      </c>
      <c r="AJ65" s="125">
        <v>0</v>
      </c>
      <c r="AK65" s="125">
        <v>62826</v>
      </c>
      <c r="AL65" s="125">
        <v>3287</v>
      </c>
      <c r="AM65" s="125">
        <v>723</v>
      </c>
      <c r="AN65" s="125">
        <v>0</v>
      </c>
      <c r="AO65" s="125">
        <v>11</v>
      </c>
      <c r="AP65" s="125">
        <v>0</v>
      </c>
      <c r="AQ65" s="125">
        <v>0</v>
      </c>
      <c r="AR65" s="125">
        <v>1980</v>
      </c>
      <c r="AS65" s="125" t="s">
        <v>370</v>
      </c>
      <c r="AT65" s="125">
        <v>733</v>
      </c>
      <c r="AU65" s="125">
        <v>1077</v>
      </c>
      <c r="AV65" s="125">
        <v>1611</v>
      </c>
      <c r="AW65" s="125">
        <v>5366</v>
      </c>
      <c r="AX65" s="126"/>
      <c r="AY65" s="126"/>
      <c r="AZ65" s="126">
        <v>0</v>
      </c>
      <c r="BA65" s="126"/>
      <c r="BB65" s="125">
        <v>1482</v>
      </c>
      <c r="BC65" s="125"/>
      <c r="BD65" s="125">
        <v>59129</v>
      </c>
      <c r="BE65" s="125">
        <v>128377</v>
      </c>
      <c r="BF65" s="125">
        <v>233</v>
      </c>
      <c r="BG65" s="125">
        <v>1115</v>
      </c>
      <c r="BH65" s="125">
        <v>1289</v>
      </c>
      <c r="BI65" s="125">
        <v>3419</v>
      </c>
      <c r="BJ65" s="125">
        <v>227</v>
      </c>
      <c r="BK65" s="125">
        <v>2869</v>
      </c>
      <c r="BL65" s="125"/>
      <c r="BM65" s="125">
        <v>659</v>
      </c>
      <c r="BN65" s="125">
        <v>129</v>
      </c>
      <c r="BO65" s="125">
        <v>0</v>
      </c>
      <c r="BP65" s="125">
        <v>7699</v>
      </c>
      <c r="BQ65" s="125">
        <v>14107</v>
      </c>
      <c r="BR65" s="125">
        <v>31</v>
      </c>
      <c r="BS65" s="125">
        <v>840</v>
      </c>
      <c r="BT65" s="125">
        <v>971</v>
      </c>
      <c r="BU65" s="125"/>
      <c r="BV65" s="125">
        <v>11</v>
      </c>
      <c r="BW65" s="125">
        <v>298</v>
      </c>
      <c r="BX65" s="125"/>
      <c r="BY65" s="125">
        <v>3892</v>
      </c>
      <c r="BZ65" s="125">
        <v>15</v>
      </c>
      <c r="CA65" s="125">
        <v>0</v>
      </c>
      <c r="CB65" s="125">
        <v>13675</v>
      </c>
      <c r="CC65" s="125">
        <v>54418</v>
      </c>
      <c r="CD65" s="125">
        <v>31153</v>
      </c>
      <c r="CE65" s="125">
        <v>12701</v>
      </c>
      <c r="CF65" s="125">
        <v>0</v>
      </c>
      <c r="CG65" s="125">
        <v>0</v>
      </c>
      <c r="CH65" s="125">
        <v>24</v>
      </c>
      <c r="CI65" s="125">
        <v>317</v>
      </c>
      <c r="CJ65" s="125">
        <v>204</v>
      </c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 t="s">
        <v>370</v>
      </c>
      <c r="CZ65" s="125" t="s">
        <v>370</v>
      </c>
      <c r="DA65" s="125" t="s">
        <v>370</v>
      </c>
      <c r="DB65" s="125">
        <v>0</v>
      </c>
      <c r="DC65" s="125">
        <v>0</v>
      </c>
      <c r="DD65" s="125">
        <v>0</v>
      </c>
      <c r="DE65">
        <f t="shared" si="0"/>
        <v>489605</v>
      </c>
      <c r="DG65" s="1">
        <f t="shared" si="14"/>
        <v>336347</v>
      </c>
      <c r="DH65" s="1">
        <f t="shared" si="1"/>
        <v>152553</v>
      </c>
      <c r="DI65" s="127">
        <f t="shared" si="2"/>
        <v>488900</v>
      </c>
      <c r="DK65" s="1">
        <f t="shared" si="3"/>
        <v>60126</v>
      </c>
      <c r="DL65" s="1">
        <f t="shared" si="4"/>
        <v>74033</v>
      </c>
      <c r="DM65" s="1">
        <f t="shared" si="5"/>
        <v>11473</v>
      </c>
      <c r="DN65" s="1">
        <f t="shared" si="6"/>
        <v>6800</v>
      </c>
      <c r="DO65" s="1">
        <f t="shared" si="7"/>
        <v>247567</v>
      </c>
      <c r="DP65" s="1">
        <f t="shared" si="8"/>
        <v>69442</v>
      </c>
      <c r="DQ65" s="1">
        <f t="shared" si="15"/>
        <v>0</v>
      </c>
      <c r="DR65" s="1">
        <f t="shared" si="9"/>
        <v>13502</v>
      </c>
      <c r="DS65" s="1">
        <f t="shared" si="10"/>
        <v>0</v>
      </c>
      <c r="DT65" s="1">
        <f t="shared" si="11"/>
        <v>6723</v>
      </c>
      <c r="DU65" s="1"/>
      <c r="DV65" s="1"/>
      <c r="DW65" s="1"/>
      <c r="DX65" s="1">
        <f t="shared" si="16"/>
        <v>489666</v>
      </c>
      <c r="DZ65" s="1">
        <f t="shared" si="17"/>
        <v>0</v>
      </c>
      <c r="EA65" s="1">
        <f t="shared" si="12"/>
        <v>0</v>
      </c>
      <c r="EC65" s="1">
        <f t="shared" si="18"/>
        <v>489666</v>
      </c>
      <c r="ED65" s="1">
        <f t="shared" si="13"/>
        <v>61</v>
      </c>
      <c r="EE65" s="1"/>
    </row>
    <row r="66" spans="1:135" x14ac:dyDescent="0.25">
      <c r="A66" s="124">
        <v>34213</v>
      </c>
      <c r="B66" s="125">
        <v>0</v>
      </c>
      <c r="C66" s="125">
        <v>0</v>
      </c>
      <c r="D66" s="125">
        <v>0</v>
      </c>
      <c r="E66" s="125" t="s">
        <v>370</v>
      </c>
      <c r="F66" s="125" t="s">
        <v>370</v>
      </c>
      <c r="G66" s="125">
        <v>0</v>
      </c>
      <c r="H66" s="125">
        <v>0</v>
      </c>
      <c r="I66" s="125">
        <v>0</v>
      </c>
      <c r="J66" s="125">
        <v>0</v>
      </c>
      <c r="K66" s="125"/>
      <c r="L66" s="125">
        <v>34805</v>
      </c>
      <c r="M66" s="125">
        <v>3239</v>
      </c>
      <c r="N66" s="125"/>
      <c r="O66" s="125">
        <v>7626</v>
      </c>
      <c r="P66" s="125">
        <v>1269</v>
      </c>
      <c r="Q66" s="125">
        <v>1401</v>
      </c>
      <c r="R66" s="125">
        <v>2691</v>
      </c>
      <c r="S66" s="125">
        <v>11473</v>
      </c>
      <c r="T66" s="125"/>
      <c r="U66" s="125"/>
      <c r="V66" s="125">
        <v>9095</v>
      </c>
      <c r="W66" s="125">
        <v>0</v>
      </c>
      <c r="X66" s="125">
        <v>889</v>
      </c>
      <c r="Y66" s="125">
        <v>34</v>
      </c>
      <c r="Z66" s="126"/>
      <c r="AA66" s="125">
        <v>27</v>
      </c>
      <c r="AB66" s="125">
        <v>0</v>
      </c>
      <c r="AC66" s="125">
        <v>4</v>
      </c>
      <c r="AD66" s="125">
        <v>25</v>
      </c>
      <c r="AE66" s="125">
        <v>7</v>
      </c>
      <c r="AF66" s="125">
        <v>48</v>
      </c>
      <c r="AG66" s="125"/>
      <c r="AH66" s="125"/>
      <c r="AI66" s="125">
        <v>38</v>
      </c>
      <c r="AJ66" s="125">
        <v>0</v>
      </c>
      <c r="AK66" s="125">
        <v>62973</v>
      </c>
      <c r="AL66" s="125">
        <v>3314</v>
      </c>
      <c r="AM66" s="125">
        <v>1327</v>
      </c>
      <c r="AN66" s="125">
        <v>4</v>
      </c>
      <c r="AO66" s="125">
        <v>10</v>
      </c>
      <c r="AP66" s="125">
        <v>0</v>
      </c>
      <c r="AQ66" s="125">
        <v>0</v>
      </c>
      <c r="AR66" s="125">
        <v>1953</v>
      </c>
      <c r="AS66" s="125" t="s">
        <v>370</v>
      </c>
      <c r="AT66" s="125">
        <v>729</v>
      </c>
      <c r="AU66" s="125">
        <v>1073</v>
      </c>
      <c r="AV66" s="125">
        <v>1622</v>
      </c>
      <c r="AW66" s="125">
        <v>5415</v>
      </c>
      <c r="AX66" s="126"/>
      <c r="AY66" s="126"/>
      <c r="AZ66" s="126">
        <v>0</v>
      </c>
      <c r="BA66" s="126"/>
      <c r="BB66" s="125">
        <v>1462</v>
      </c>
      <c r="BC66" s="125"/>
      <c r="BD66" s="125">
        <v>58304</v>
      </c>
      <c r="BE66" s="125">
        <v>126967</v>
      </c>
      <c r="BF66" s="125">
        <v>230</v>
      </c>
      <c r="BG66" s="125">
        <v>1037</v>
      </c>
      <c r="BH66" s="125">
        <v>1196</v>
      </c>
      <c r="BI66" s="125">
        <v>3431</v>
      </c>
      <c r="BJ66" s="125">
        <v>224</v>
      </c>
      <c r="BK66" s="125">
        <v>2762</v>
      </c>
      <c r="BL66" s="125"/>
      <c r="BM66" s="125">
        <v>680</v>
      </c>
      <c r="BN66" s="125">
        <v>125</v>
      </c>
      <c r="BO66" s="125">
        <v>0</v>
      </c>
      <c r="BP66" s="125">
        <v>7707</v>
      </c>
      <c r="BQ66" s="125">
        <v>13959</v>
      </c>
      <c r="BR66" s="125">
        <v>31</v>
      </c>
      <c r="BS66" s="125">
        <v>827</v>
      </c>
      <c r="BT66" s="125">
        <v>952</v>
      </c>
      <c r="BU66" s="125"/>
      <c r="BV66" s="125">
        <v>9</v>
      </c>
      <c r="BW66" s="125">
        <v>300</v>
      </c>
      <c r="BX66" s="125"/>
      <c r="BY66" s="125">
        <v>3498</v>
      </c>
      <c r="BZ66" s="125">
        <v>9</v>
      </c>
      <c r="CA66" s="125">
        <v>0</v>
      </c>
      <c r="CB66" s="125">
        <v>13476</v>
      </c>
      <c r="CC66" s="125">
        <v>53924</v>
      </c>
      <c r="CD66" s="125">
        <v>33356</v>
      </c>
      <c r="CE66" s="125">
        <v>12817</v>
      </c>
      <c r="CF66" s="125">
        <v>0</v>
      </c>
      <c r="CG66" s="125">
        <v>0</v>
      </c>
      <c r="CH66" s="125">
        <v>26</v>
      </c>
      <c r="CI66" s="125">
        <v>293</v>
      </c>
      <c r="CJ66" s="125">
        <v>207</v>
      </c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 t="s">
        <v>370</v>
      </c>
      <c r="CZ66" s="125" t="s">
        <v>370</v>
      </c>
      <c r="DA66" s="125" t="s">
        <v>370</v>
      </c>
      <c r="DB66" s="125">
        <v>0</v>
      </c>
      <c r="DC66" s="125">
        <v>0</v>
      </c>
      <c r="DD66" s="125">
        <v>0</v>
      </c>
      <c r="DE66">
        <f t="shared" si="0"/>
        <v>488900</v>
      </c>
      <c r="DG66" s="1">
        <f t="shared" si="14"/>
        <v>340000</v>
      </c>
      <c r="DH66" s="1">
        <f t="shared" si="1"/>
        <v>153945</v>
      </c>
      <c r="DI66" s="127">
        <f t="shared" si="2"/>
        <v>493945</v>
      </c>
      <c r="DK66" s="1">
        <f t="shared" si="3"/>
        <v>60357</v>
      </c>
      <c r="DL66" s="1">
        <f t="shared" si="4"/>
        <v>74154</v>
      </c>
      <c r="DM66" s="1">
        <f t="shared" si="5"/>
        <v>11575</v>
      </c>
      <c r="DN66" s="1">
        <f t="shared" si="6"/>
        <v>7066</v>
      </c>
      <c r="DO66" s="1">
        <f t="shared" si="7"/>
        <v>250902</v>
      </c>
      <c r="DP66" s="1">
        <f t="shared" si="8"/>
        <v>68555</v>
      </c>
      <c r="DQ66" s="1">
        <f t="shared" si="15"/>
        <v>0</v>
      </c>
      <c r="DR66" s="1">
        <f t="shared" si="9"/>
        <v>13520</v>
      </c>
      <c r="DS66" s="1">
        <f t="shared" si="10"/>
        <v>0</v>
      </c>
      <c r="DT66" s="1">
        <f t="shared" si="11"/>
        <v>6722</v>
      </c>
      <c r="DU66" s="1"/>
      <c r="DV66" s="1"/>
      <c r="DW66" s="1"/>
      <c r="DX66" s="1">
        <f t="shared" si="16"/>
        <v>492851</v>
      </c>
      <c r="DZ66" s="1">
        <f t="shared" si="17"/>
        <v>0</v>
      </c>
      <c r="EA66" s="1">
        <f t="shared" si="12"/>
        <v>0</v>
      </c>
      <c r="EC66" s="1">
        <f t="shared" si="18"/>
        <v>492851</v>
      </c>
      <c r="ED66" s="1">
        <f t="shared" si="13"/>
        <v>3951</v>
      </c>
      <c r="EE66" s="1"/>
    </row>
    <row r="67" spans="1:135" x14ac:dyDescent="0.25">
      <c r="A67" s="124">
        <v>34243</v>
      </c>
      <c r="B67" s="125">
        <v>0</v>
      </c>
      <c r="C67" s="125">
        <v>0</v>
      </c>
      <c r="D67" s="125">
        <v>0</v>
      </c>
      <c r="E67" s="125" t="s">
        <v>370</v>
      </c>
      <c r="F67" s="125" t="s">
        <v>370</v>
      </c>
      <c r="G67" s="125">
        <v>0</v>
      </c>
      <c r="H67" s="125">
        <v>0</v>
      </c>
      <c r="I67" s="125">
        <v>0</v>
      </c>
      <c r="J67" s="125">
        <v>0</v>
      </c>
      <c r="K67" s="125"/>
      <c r="L67" s="125">
        <v>34898</v>
      </c>
      <c r="M67" s="125">
        <v>3259</v>
      </c>
      <c r="N67" s="125"/>
      <c r="O67" s="125">
        <v>7695</v>
      </c>
      <c r="P67" s="125">
        <v>1305</v>
      </c>
      <c r="Q67" s="125">
        <v>1418</v>
      </c>
      <c r="R67" s="125">
        <v>2734</v>
      </c>
      <c r="S67" s="125">
        <v>11575</v>
      </c>
      <c r="T67" s="125"/>
      <c r="U67" s="125"/>
      <c r="V67" s="125">
        <v>9048</v>
      </c>
      <c r="W67" s="125">
        <v>0</v>
      </c>
      <c r="X67" s="125">
        <v>879</v>
      </c>
      <c r="Y67" s="125">
        <v>35</v>
      </c>
      <c r="Z67" s="126"/>
      <c r="AA67" s="125">
        <v>25</v>
      </c>
      <c r="AB67" s="125">
        <v>0</v>
      </c>
      <c r="AC67" s="125">
        <v>4</v>
      </c>
      <c r="AD67" s="125">
        <v>26</v>
      </c>
      <c r="AE67" s="125">
        <v>7</v>
      </c>
      <c r="AF67" s="125">
        <v>51</v>
      </c>
      <c r="AG67" s="125"/>
      <c r="AH67" s="125"/>
      <c r="AI67" s="125">
        <v>36</v>
      </c>
      <c r="AJ67" s="125">
        <v>0</v>
      </c>
      <c r="AK67" s="125">
        <v>63702</v>
      </c>
      <c r="AL67" s="125">
        <v>3346</v>
      </c>
      <c r="AM67" s="125">
        <v>1502</v>
      </c>
      <c r="AN67" s="125">
        <v>10</v>
      </c>
      <c r="AO67" s="125">
        <v>10</v>
      </c>
      <c r="AP67" s="125">
        <v>0</v>
      </c>
      <c r="AQ67" s="125">
        <v>0</v>
      </c>
      <c r="AR67" s="125">
        <v>1956</v>
      </c>
      <c r="AS67" s="125" t="s">
        <v>370</v>
      </c>
      <c r="AT67" s="125">
        <v>733</v>
      </c>
      <c r="AU67" s="125">
        <v>1098</v>
      </c>
      <c r="AV67" s="125">
        <v>1637</v>
      </c>
      <c r="AW67" s="125">
        <v>5503</v>
      </c>
      <c r="AX67" s="126"/>
      <c r="AY67" s="126"/>
      <c r="AZ67" s="126">
        <v>0</v>
      </c>
      <c r="BA67" s="126"/>
      <c r="BB67" s="125">
        <v>1453</v>
      </c>
      <c r="BC67" s="125"/>
      <c r="BD67" s="125">
        <v>58460</v>
      </c>
      <c r="BE67" s="125">
        <v>127175</v>
      </c>
      <c r="BF67" s="125">
        <v>227</v>
      </c>
      <c r="BG67" s="125">
        <v>935</v>
      </c>
      <c r="BH67" s="125">
        <v>1163</v>
      </c>
      <c r="BI67" s="125">
        <v>3455</v>
      </c>
      <c r="BJ67" s="125">
        <v>216</v>
      </c>
      <c r="BK67" s="125">
        <v>2745</v>
      </c>
      <c r="BL67" s="125"/>
      <c r="BM67" s="125">
        <v>789</v>
      </c>
      <c r="BN67" s="125">
        <v>120</v>
      </c>
      <c r="BO67" s="125">
        <v>0</v>
      </c>
      <c r="BP67" s="125">
        <v>7846</v>
      </c>
      <c r="BQ67" s="125">
        <v>13901</v>
      </c>
      <c r="BR67" s="125">
        <v>31</v>
      </c>
      <c r="BS67" s="125">
        <v>826</v>
      </c>
      <c r="BT67" s="125">
        <v>935</v>
      </c>
      <c r="BU67" s="125"/>
      <c r="BV67" s="125">
        <v>10</v>
      </c>
      <c r="BW67" s="125">
        <v>295</v>
      </c>
      <c r="BX67" s="125"/>
      <c r="BY67" s="125">
        <v>3215</v>
      </c>
      <c r="BZ67" s="125">
        <v>9</v>
      </c>
      <c r="CA67" s="125">
        <v>0</v>
      </c>
      <c r="CB67" s="125">
        <v>13499</v>
      </c>
      <c r="CC67" s="125">
        <v>54563</v>
      </c>
      <c r="CD67" s="125">
        <v>36075</v>
      </c>
      <c r="CE67" s="125">
        <v>12999</v>
      </c>
      <c r="CF67" s="125">
        <v>0</v>
      </c>
      <c r="CG67" s="125">
        <v>0</v>
      </c>
      <c r="CH67" s="125">
        <v>21</v>
      </c>
      <c r="CI67" s="125">
        <v>290</v>
      </c>
      <c r="CJ67" s="125">
        <v>200</v>
      </c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 t="s">
        <v>370</v>
      </c>
      <c r="CZ67" s="125" t="s">
        <v>370</v>
      </c>
      <c r="DA67" s="125" t="s">
        <v>370</v>
      </c>
      <c r="DB67" s="125">
        <v>0</v>
      </c>
      <c r="DC67" s="125">
        <v>0</v>
      </c>
      <c r="DD67" s="125">
        <v>0</v>
      </c>
      <c r="DE67">
        <f t="shared" si="0"/>
        <v>493945</v>
      </c>
      <c r="DG67" s="1">
        <f t="shared" si="14"/>
        <v>341840</v>
      </c>
      <c r="DH67" s="1">
        <f t="shared" si="1"/>
        <v>154847</v>
      </c>
      <c r="DI67" s="127">
        <f t="shared" si="2"/>
        <v>496687</v>
      </c>
      <c r="DK67" s="1">
        <f t="shared" si="3"/>
        <v>60391</v>
      </c>
      <c r="DL67" s="1">
        <f t="shared" si="4"/>
        <v>74947</v>
      </c>
      <c r="DM67" s="1">
        <f t="shared" si="5"/>
        <v>11659</v>
      </c>
      <c r="DN67" s="1">
        <f t="shared" si="6"/>
        <v>7344</v>
      </c>
      <c r="DO67" s="1">
        <f t="shared" si="7"/>
        <v>253153</v>
      </c>
      <c r="DP67" s="1">
        <f t="shared" si="8"/>
        <v>68856</v>
      </c>
      <c r="DQ67" s="1">
        <f t="shared" si="15"/>
        <v>0</v>
      </c>
      <c r="DR67" s="1">
        <f t="shared" si="9"/>
        <v>13195</v>
      </c>
      <c r="DS67" s="1">
        <f t="shared" si="10"/>
        <v>0</v>
      </c>
      <c r="DT67" s="1">
        <f t="shared" si="11"/>
        <v>6707</v>
      </c>
      <c r="DU67" s="1"/>
      <c r="DV67" s="1"/>
      <c r="DW67" s="1"/>
      <c r="DX67" s="1">
        <f t="shared" si="16"/>
        <v>496252</v>
      </c>
      <c r="DZ67" s="1">
        <f t="shared" si="17"/>
        <v>0</v>
      </c>
      <c r="EA67" s="1">
        <f t="shared" si="12"/>
        <v>0</v>
      </c>
      <c r="EC67" s="1">
        <f t="shared" si="18"/>
        <v>496252</v>
      </c>
      <c r="ED67" s="1">
        <f t="shared" si="13"/>
        <v>2307</v>
      </c>
      <c r="EE67" s="1"/>
    </row>
    <row r="68" spans="1:135" x14ac:dyDescent="0.25">
      <c r="A68" s="124">
        <v>34274</v>
      </c>
      <c r="B68" s="125">
        <v>0</v>
      </c>
      <c r="C68" s="125">
        <v>0</v>
      </c>
      <c r="D68" s="125">
        <v>0</v>
      </c>
      <c r="E68" s="125" t="s">
        <v>370</v>
      </c>
      <c r="F68" s="125" t="s">
        <v>370</v>
      </c>
      <c r="G68" s="125">
        <v>0</v>
      </c>
      <c r="H68" s="125">
        <v>0</v>
      </c>
      <c r="I68" s="125">
        <v>0</v>
      </c>
      <c r="J68" s="125">
        <v>0</v>
      </c>
      <c r="K68" s="125"/>
      <c r="L68" s="125">
        <v>34863</v>
      </c>
      <c r="M68" s="125">
        <v>3261</v>
      </c>
      <c r="N68" s="125"/>
      <c r="O68" s="125">
        <v>7693</v>
      </c>
      <c r="P68" s="125">
        <v>1313</v>
      </c>
      <c r="Q68" s="125">
        <v>1438</v>
      </c>
      <c r="R68" s="125">
        <v>2752</v>
      </c>
      <c r="S68" s="125">
        <v>11659</v>
      </c>
      <c r="T68" s="125"/>
      <c r="U68" s="125"/>
      <c r="V68" s="125">
        <v>9071</v>
      </c>
      <c r="W68" s="125">
        <v>0</v>
      </c>
      <c r="X68" s="125">
        <v>892</v>
      </c>
      <c r="Y68" s="125">
        <v>35</v>
      </c>
      <c r="Z68" s="126"/>
      <c r="AA68" s="125">
        <v>25</v>
      </c>
      <c r="AB68" s="125">
        <v>0</v>
      </c>
      <c r="AC68" s="125">
        <v>4</v>
      </c>
      <c r="AD68" s="125">
        <v>24</v>
      </c>
      <c r="AE68" s="125">
        <v>6</v>
      </c>
      <c r="AF68" s="125">
        <v>50</v>
      </c>
      <c r="AG68" s="125"/>
      <c r="AH68" s="125"/>
      <c r="AI68" s="125">
        <v>36</v>
      </c>
      <c r="AJ68" s="125">
        <v>0</v>
      </c>
      <c r="AK68" s="125">
        <v>64169</v>
      </c>
      <c r="AL68" s="125">
        <v>3349</v>
      </c>
      <c r="AM68" s="125">
        <v>1731</v>
      </c>
      <c r="AN68" s="125">
        <v>9</v>
      </c>
      <c r="AO68" s="125">
        <v>11</v>
      </c>
      <c r="AP68" s="125">
        <v>0</v>
      </c>
      <c r="AQ68" s="125">
        <v>0</v>
      </c>
      <c r="AR68" s="125">
        <v>1927</v>
      </c>
      <c r="AS68" s="125" t="s">
        <v>370</v>
      </c>
      <c r="AT68" s="125">
        <v>733</v>
      </c>
      <c r="AU68" s="125">
        <v>1096</v>
      </c>
      <c r="AV68" s="125">
        <v>1655</v>
      </c>
      <c r="AW68" s="125">
        <v>5552</v>
      </c>
      <c r="AX68" s="126"/>
      <c r="AY68" s="126"/>
      <c r="AZ68" s="126">
        <v>0</v>
      </c>
      <c r="BA68" s="126"/>
      <c r="BB68" s="125">
        <v>1493</v>
      </c>
      <c r="BC68" s="125"/>
      <c r="BD68" s="125">
        <v>58433</v>
      </c>
      <c r="BE68" s="125">
        <v>127190</v>
      </c>
      <c r="BF68" s="125">
        <v>257</v>
      </c>
      <c r="BG68" s="125">
        <v>900</v>
      </c>
      <c r="BH68" s="125">
        <v>1116</v>
      </c>
      <c r="BI68" s="125">
        <v>3462</v>
      </c>
      <c r="BJ68" s="125">
        <v>227</v>
      </c>
      <c r="BK68" s="125">
        <v>2697</v>
      </c>
      <c r="BL68" s="125"/>
      <c r="BM68" s="125">
        <v>750</v>
      </c>
      <c r="BN68" s="125">
        <v>112</v>
      </c>
      <c r="BO68" s="125">
        <v>0</v>
      </c>
      <c r="BP68" s="125">
        <v>7921</v>
      </c>
      <c r="BQ68" s="125">
        <v>13887</v>
      </c>
      <c r="BR68" s="125">
        <v>31</v>
      </c>
      <c r="BS68" s="125">
        <v>781</v>
      </c>
      <c r="BT68" s="125">
        <v>893</v>
      </c>
      <c r="BU68" s="125"/>
      <c r="BV68" s="125">
        <v>14</v>
      </c>
      <c r="BW68" s="125">
        <v>291</v>
      </c>
      <c r="BX68" s="125"/>
      <c r="BY68" s="125">
        <v>2938</v>
      </c>
      <c r="BZ68" s="125">
        <v>4</v>
      </c>
      <c r="CA68" s="125">
        <v>0</v>
      </c>
      <c r="CB68" s="125">
        <v>13179</v>
      </c>
      <c r="CC68" s="125">
        <v>54703</v>
      </c>
      <c r="CD68" s="125">
        <v>38574</v>
      </c>
      <c r="CE68" s="125">
        <v>13004</v>
      </c>
      <c r="CF68" s="125">
        <v>0</v>
      </c>
      <c r="CG68" s="125">
        <v>0</v>
      </c>
      <c r="CH68" s="125">
        <v>16</v>
      </c>
      <c r="CI68" s="125">
        <v>271</v>
      </c>
      <c r="CJ68" s="125">
        <v>189</v>
      </c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 t="s">
        <v>370</v>
      </c>
      <c r="CZ68" s="125" t="s">
        <v>370</v>
      </c>
      <c r="DA68" s="125" t="s">
        <v>370</v>
      </c>
      <c r="DB68" s="125">
        <v>0</v>
      </c>
      <c r="DC68" s="125">
        <v>0</v>
      </c>
      <c r="DD68" s="125">
        <v>0</v>
      </c>
      <c r="DE68">
        <f t="shared" ref="DE68:DE131" si="19">SUM(B68:CX68)</f>
        <v>496687</v>
      </c>
      <c r="DG68" s="1">
        <f t="shared" si="14"/>
        <v>345793</v>
      </c>
      <c r="DH68" s="1">
        <f t="shared" ref="DH68:DH131" si="20">SUM(L69:M69,O69:AW69,AZ69:BB69)+CQ69+CR69</f>
        <v>155794</v>
      </c>
      <c r="DI68" s="127">
        <f t="shared" ref="DI68:DI131" si="21">SUM(DG68:DH68)</f>
        <v>501587</v>
      </c>
      <c r="DK68" s="1">
        <f t="shared" ref="DK68:DK131" si="22">SUM(L69:M69,O69:R69,T69:W69)</f>
        <v>60387</v>
      </c>
      <c r="DL68" s="1">
        <f t="shared" ref="DL68:DL131" si="23">SUM(X68:Y68,AA68:AE68,AG68:AL68,AN68,AR68:AV68,AZ68:BB68)</f>
        <v>75453</v>
      </c>
      <c r="DM68" s="1">
        <f t="shared" ref="DM68:DM131" si="24">S69</f>
        <v>11735</v>
      </c>
      <c r="DN68" s="1">
        <f t="shared" ref="DN68:DN131" si="25">AF69+AW69+AM69+AO69+AP69+AQ69</f>
        <v>7561</v>
      </c>
      <c r="DO68" s="1">
        <f t="shared" ref="DO68:DO131" si="26">SUM(BE69,BH69,BJ69,BN69,BQ69:BR69,BT69:BV69,BY69:CA69,CC69:CE69,CI69:CJ69)</f>
        <v>256986</v>
      </c>
      <c r="DP68" s="1">
        <f t="shared" ref="DP68:DP131" si="27">SUM(AY68,BC68:BD68,BG68,BM68,BP68,BS68)</f>
        <v>68785</v>
      </c>
      <c r="DQ68" s="1">
        <f t="shared" si="15"/>
        <v>0</v>
      </c>
      <c r="DR68" s="1">
        <f t="shared" ref="DR68:DR131" si="28">CB69+CH69</f>
        <v>12938</v>
      </c>
      <c r="DS68" s="1">
        <f t="shared" ref="DS68:DS131" si="29">BO69</f>
        <v>0</v>
      </c>
      <c r="DT68" s="1">
        <f t="shared" ref="DT68:DT131" si="30">BF69+BI69+BK69+BW69</f>
        <v>6773</v>
      </c>
      <c r="DU68" s="1"/>
      <c r="DV68" s="1"/>
      <c r="DW68" s="1"/>
      <c r="DX68" s="1">
        <f t="shared" si="16"/>
        <v>500618</v>
      </c>
      <c r="DZ68" s="1">
        <f t="shared" si="17"/>
        <v>0</v>
      </c>
      <c r="EA68" s="1">
        <f t="shared" ref="EA68:EA131" si="31">SUM(F68:K68,N68,CS68:CT68)</f>
        <v>0</v>
      </c>
      <c r="EC68" s="1">
        <f t="shared" si="18"/>
        <v>500618</v>
      </c>
      <c r="ED68" s="1">
        <f t="shared" ref="ED68:ED131" si="32">EC68-DE68</f>
        <v>3931</v>
      </c>
      <c r="EE68" s="1"/>
    </row>
    <row r="69" spans="1:135" x14ac:dyDescent="0.25">
      <c r="A69" s="124">
        <v>34304</v>
      </c>
      <c r="B69" s="125">
        <v>0</v>
      </c>
      <c r="C69" s="125">
        <v>0</v>
      </c>
      <c r="D69" s="125">
        <v>0</v>
      </c>
      <c r="E69" s="125" t="s">
        <v>370</v>
      </c>
      <c r="F69" s="125" t="s">
        <v>370</v>
      </c>
      <c r="G69" s="125">
        <v>0</v>
      </c>
      <c r="H69" s="125">
        <v>0</v>
      </c>
      <c r="I69" s="125">
        <v>0</v>
      </c>
      <c r="J69" s="125">
        <v>0</v>
      </c>
      <c r="K69" s="125"/>
      <c r="L69" s="125">
        <v>34847</v>
      </c>
      <c r="M69" s="125">
        <v>3245</v>
      </c>
      <c r="N69" s="125"/>
      <c r="O69" s="125">
        <v>7680</v>
      </c>
      <c r="P69" s="125">
        <v>1330</v>
      </c>
      <c r="Q69" s="125">
        <v>1454</v>
      </c>
      <c r="R69" s="125">
        <v>2790</v>
      </c>
      <c r="S69" s="125">
        <v>11735</v>
      </c>
      <c r="T69" s="125"/>
      <c r="U69" s="125"/>
      <c r="V69" s="125">
        <v>9041</v>
      </c>
      <c r="W69" s="125">
        <v>0</v>
      </c>
      <c r="X69" s="125">
        <v>888</v>
      </c>
      <c r="Y69" s="125">
        <v>34</v>
      </c>
      <c r="Z69" s="126"/>
      <c r="AA69" s="125">
        <v>25</v>
      </c>
      <c r="AB69" s="125">
        <v>0</v>
      </c>
      <c r="AC69" s="125">
        <v>3</v>
      </c>
      <c r="AD69" s="125">
        <v>24</v>
      </c>
      <c r="AE69" s="125">
        <v>5</v>
      </c>
      <c r="AF69" s="125">
        <v>49</v>
      </c>
      <c r="AG69" s="125"/>
      <c r="AH69" s="125"/>
      <c r="AI69" s="125">
        <v>38</v>
      </c>
      <c r="AJ69" s="125">
        <v>0</v>
      </c>
      <c r="AK69" s="125">
        <v>64745</v>
      </c>
      <c r="AL69" s="125">
        <v>3373</v>
      </c>
      <c r="AM69" s="125">
        <v>1878</v>
      </c>
      <c r="AN69" s="125">
        <v>13</v>
      </c>
      <c r="AO69" s="125">
        <v>11</v>
      </c>
      <c r="AP69" s="125">
        <v>0</v>
      </c>
      <c r="AQ69" s="125">
        <v>0</v>
      </c>
      <c r="AR69" s="125">
        <v>1941</v>
      </c>
      <c r="AS69" s="125" t="s">
        <v>370</v>
      </c>
      <c r="AT69" s="125">
        <v>750</v>
      </c>
      <c r="AU69" s="125">
        <v>1111</v>
      </c>
      <c r="AV69" s="125">
        <v>1664</v>
      </c>
      <c r="AW69" s="125">
        <v>5623</v>
      </c>
      <c r="AX69" s="126"/>
      <c r="AY69" s="126"/>
      <c r="AZ69" s="126">
        <v>0</v>
      </c>
      <c r="BA69" s="126"/>
      <c r="BB69" s="125">
        <v>1497</v>
      </c>
      <c r="BC69" s="125"/>
      <c r="BD69" s="125">
        <v>58709</v>
      </c>
      <c r="BE69" s="125">
        <v>127904</v>
      </c>
      <c r="BF69" s="125">
        <v>254</v>
      </c>
      <c r="BG69" s="125">
        <v>988</v>
      </c>
      <c r="BH69" s="125">
        <v>1218</v>
      </c>
      <c r="BI69" s="125">
        <v>3522</v>
      </c>
      <c r="BJ69" s="125">
        <v>239</v>
      </c>
      <c r="BK69" s="125">
        <v>2720</v>
      </c>
      <c r="BL69" s="125"/>
      <c r="BM69" s="125">
        <v>756</v>
      </c>
      <c r="BN69" s="125">
        <v>113</v>
      </c>
      <c r="BO69" s="125">
        <v>0</v>
      </c>
      <c r="BP69" s="125">
        <v>7920</v>
      </c>
      <c r="BQ69" s="125">
        <v>13709</v>
      </c>
      <c r="BR69" s="125">
        <v>30</v>
      </c>
      <c r="BS69" s="125">
        <v>723</v>
      </c>
      <c r="BT69" s="125">
        <v>832</v>
      </c>
      <c r="BU69" s="125"/>
      <c r="BV69" s="125">
        <v>15</v>
      </c>
      <c r="BW69" s="125">
        <v>277</v>
      </c>
      <c r="BX69" s="125"/>
      <c r="BY69" s="125">
        <v>2743</v>
      </c>
      <c r="BZ69" s="125">
        <v>4</v>
      </c>
      <c r="CA69" s="125">
        <v>0</v>
      </c>
      <c r="CB69" s="125">
        <v>12923</v>
      </c>
      <c r="CC69" s="125">
        <v>55464</v>
      </c>
      <c r="CD69" s="125">
        <v>41202</v>
      </c>
      <c r="CE69" s="125">
        <v>13073</v>
      </c>
      <c r="CF69" s="125">
        <v>0</v>
      </c>
      <c r="CG69" s="125">
        <v>0</v>
      </c>
      <c r="CH69" s="125">
        <v>15</v>
      </c>
      <c r="CI69" s="125">
        <v>264</v>
      </c>
      <c r="CJ69" s="125">
        <v>176</v>
      </c>
      <c r="CK69" s="125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 t="s">
        <v>370</v>
      </c>
      <c r="CZ69" s="125" t="s">
        <v>370</v>
      </c>
      <c r="DA69" s="125" t="s">
        <v>370</v>
      </c>
      <c r="DB69" s="125">
        <v>0</v>
      </c>
      <c r="DC69" s="125">
        <v>0</v>
      </c>
      <c r="DD69" s="125">
        <v>0</v>
      </c>
      <c r="DE69">
        <f t="shared" si="19"/>
        <v>501587</v>
      </c>
      <c r="DG69" s="1">
        <f t="shared" ref="DG69:DG132" si="33">SUM(AX70:AY70,BC70:CP70,CU70:CX70)</f>
        <v>347731</v>
      </c>
      <c r="DH69" s="1">
        <f t="shared" si="20"/>
        <v>156686</v>
      </c>
      <c r="DI69" s="127">
        <f t="shared" si="21"/>
        <v>504417</v>
      </c>
      <c r="DK69" s="1">
        <f t="shared" si="22"/>
        <v>60351</v>
      </c>
      <c r="DL69" s="1">
        <f t="shared" si="23"/>
        <v>76111</v>
      </c>
      <c r="DM69" s="1">
        <f t="shared" si="24"/>
        <v>11841</v>
      </c>
      <c r="DN69" s="1">
        <f t="shared" si="25"/>
        <v>7790</v>
      </c>
      <c r="DO69" s="1">
        <f t="shared" si="26"/>
        <v>258976</v>
      </c>
      <c r="DP69" s="1">
        <f t="shared" si="27"/>
        <v>69096</v>
      </c>
      <c r="DQ69" s="1">
        <f t="shared" ref="DQ69:DQ132" si="34">SUM(BX69,CQ69,CR69,CW69,CX69)</f>
        <v>0</v>
      </c>
      <c r="DR69" s="1">
        <f t="shared" si="28"/>
        <v>12689</v>
      </c>
      <c r="DS69" s="1">
        <f t="shared" si="29"/>
        <v>0</v>
      </c>
      <c r="DT69" s="1">
        <f t="shared" si="30"/>
        <v>6772</v>
      </c>
      <c r="DU69" s="1"/>
      <c r="DV69" s="1"/>
      <c r="DW69" s="1"/>
      <c r="DX69" s="1">
        <f t="shared" ref="DX69:DX132" si="35">SUM(DK69:DW69)</f>
        <v>503626</v>
      </c>
      <c r="DZ69" s="1">
        <f t="shared" ref="DZ69:DZ132" si="36">CF69</f>
        <v>0</v>
      </c>
      <c r="EA69" s="1">
        <f t="shared" si="31"/>
        <v>0</v>
      </c>
      <c r="EC69" s="1">
        <f t="shared" ref="EC69:EC132" si="37">DX69+EA69+DZ69</f>
        <v>503626</v>
      </c>
      <c r="ED69" s="1">
        <f t="shared" si="32"/>
        <v>2039</v>
      </c>
      <c r="EE69" s="1"/>
    </row>
    <row r="70" spans="1:135" x14ac:dyDescent="0.25">
      <c r="A70" s="124">
        <v>34335</v>
      </c>
      <c r="B70" s="125">
        <v>0</v>
      </c>
      <c r="C70" s="125">
        <v>0</v>
      </c>
      <c r="D70" s="125">
        <v>0</v>
      </c>
      <c r="E70" s="125" t="s">
        <v>370</v>
      </c>
      <c r="F70" s="125" t="s">
        <v>370</v>
      </c>
      <c r="G70" s="125">
        <v>0</v>
      </c>
      <c r="H70" s="125">
        <v>0</v>
      </c>
      <c r="I70" s="125">
        <v>0</v>
      </c>
      <c r="J70" s="125">
        <v>0</v>
      </c>
      <c r="K70" s="125"/>
      <c r="L70" s="125">
        <v>34862</v>
      </c>
      <c r="M70" s="125">
        <v>3242</v>
      </c>
      <c r="N70" s="125"/>
      <c r="O70" s="125">
        <v>7644</v>
      </c>
      <c r="P70" s="125">
        <v>1345</v>
      </c>
      <c r="Q70" s="125">
        <v>1478</v>
      </c>
      <c r="R70" s="125">
        <v>2750</v>
      </c>
      <c r="S70" s="125">
        <v>11841</v>
      </c>
      <c r="T70" s="125"/>
      <c r="U70" s="125"/>
      <c r="V70" s="125">
        <v>9030</v>
      </c>
      <c r="W70" s="125">
        <v>0</v>
      </c>
      <c r="X70" s="125">
        <v>886</v>
      </c>
      <c r="Y70" s="125">
        <v>34</v>
      </c>
      <c r="Z70" s="126"/>
      <c r="AA70" s="125">
        <v>24</v>
      </c>
      <c r="AB70" s="125">
        <v>0</v>
      </c>
      <c r="AC70" s="125">
        <v>3</v>
      </c>
      <c r="AD70" s="125">
        <v>24</v>
      </c>
      <c r="AE70" s="125">
        <v>5</v>
      </c>
      <c r="AF70" s="125">
        <v>50</v>
      </c>
      <c r="AG70" s="125"/>
      <c r="AH70" s="125"/>
      <c r="AI70" s="125">
        <v>38</v>
      </c>
      <c r="AJ70" s="125">
        <v>0</v>
      </c>
      <c r="AK70" s="125">
        <v>65345</v>
      </c>
      <c r="AL70" s="125">
        <v>3373</v>
      </c>
      <c r="AM70" s="125">
        <v>2026</v>
      </c>
      <c r="AN70" s="125">
        <v>16</v>
      </c>
      <c r="AO70" s="125">
        <v>9</v>
      </c>
      <c r="AP70" s="125">
        <v>0</v>
      </c>
      <c r="AQ70" s="125">
        <v>0</v>
      </c>
      <c r="AR70" s="125">
        <v>1939</v>
      </c>
      <c r="AS70" s="125" t="s">
        <v>370</v>
      </c>
      <c r="AT70" s="125">
        <v>746</v>
      </c>
      <c r="AU70" s="125">
        <v>1126</v>
      </c>
      <c r="AV70" s="125">
        <v>1666</v>
      </c>
      <c r="AW70" s="125">
        <v>5705</v>
      </c>
      <c r="AX70" s="126"/>
      <c r="AY70" s="126"/>
      <c r="AZ70" s="126">
        <v>0</v>
      </c>
      <c r="BA70" s="126"/>
      <c r="BB70" s="125">
        <v>1479</v>
      </c>
      <c r="BC70" s="125"/>
      <c r="BD70" s="125">
        <v>59041</v>
      </c>
      <c r="BE70" s="125">
        <v>128484</v>
      </c>
      <c r="BF70" s="125">
        <v>263</v>
      </c>
      <c r="BG70" s="125">
        <v>1007</v>
      </c>
      <c r="BH70" s="125">
        <v>1228</v>
      </c>
      <c r="BI70" s="125">
        <v>3561</v>
      </c>
      <c r="BJ70" s="125">
        <v>231</v>
      </c>
      <c r="BK70" s="125">
        <v>2673</v>
      </c>
      <c r="BL70" s="125"/>
      <c r="BM70" s="125">
        <v>706</v>
      </c>
      <c r="BN70" s="125">
        <v>110</v>
      </c>
      <c r="BO70" s="125">
        <v>0</v>
      </c>
      <c r="BP70" s="125">
        <v>7816</v>
      </c>
      <c r="BQ70" s="125">
        <v>13484</v>
      </c>
      <c r="BR70" s="125">
        <v>31</v>
      </c>
      <c r="BS70" s="125">
        <v>724</v>
      </c>
      <c r="BT70" s="125">
        <v>840</v>
      </c>
      <c r="BU70" s="125"/>
      <c r="BV70" s="125">
        <v>15</v>
      </c>
      <c r="BW70" s="125">
        <v>275</v>
      </c>
      <c r="BX70" s="125"/>
      <c r="BY70" s="125">
        <v>2554</v>
      </c>
      <c r="BZ70" s="125">
        <v>2</v>
      </c>
      <c r="CA70" s="125">
        <v>0</v>
      </c>
      <c r="CB70" s="125">
        <v>12679</v>
      </c>
      <c r="CC70" s="125">
        <v>55587</v>
      </c>
      <c r="CD70" s="125">
        <v>43121</v>
      </c>
      <c r="CE70" s="125">
        <v>12858</v>
      </c>
      <c r="CF70" s="125">
        <v>0</v>
      </c>
      <c r="CG70" s="125">
        <v>0</v>
      </c>
      <c r="CH70" s="125">
        <v>10</v>
      </c>
      <c r="CI70" s="125">
        <v>253</v>
      </c>
      <c r="CJ70" s="125">
        <v>178</v>
      </c>
      <c r="CK70" s="125"/>
      <c r="CL70" s="125"/>
      <c r="CM70" s="125"/>
      <c r="CN70" s="125"/>
      <c r="CO70" s="125"/>
      <c r="CP70" s="125"/>
      <c r="CQ70" s="125"/>
      <c r="CR70" s="125"/>
      <c r="CS70" s="125"/>
      <c r="CT70" s="125"/>
      <c r="CU70" s="125"/>
      <c r="CV70" s="125"/>
      <c r="CW70" s="125"/>
      <c r="CX70" s="125"/>
      <c r="CY70" s="125" t="s">
        <v>370</v>
      </c>
      <c r="CZ70" s="125" t="s">
        <v>370</v>
      </c>
      <c r="DA70" s="125" t="s">
        <v>370</v>
      </c>
      <c r="DB70" s="125">
        <v>0</v>
      </c>
      <c r="DC70" s="125">
        <v>0</v>
      </c>
      <c r="DD70" s="125">
        <v>0</v>
      </c>
      <c r="DE70">
        <f t="shared" si="19"/>
        <v>504417</v>
      </c>
      <c r="DG70" s="1">
        <f t="shared" si="33"/>
        <v>350509</v>
      </c>
      <c r="DH70" s="1">
        <f t="shared" si="20"/>
        <v>157309</v>
      </c>
      <c r="DI70" s="127">
        <f t="shared" si="21"/>
        <v>507818</v>
      </c>
      <c r="DK70" s="1">
        <f t="shared" si="22"/>
        <v>60033</v>
      </c>
      <c r="DL70" s="1">
        <f t="shared" si="23"/>
        <v>76704</v>
      </c>
      <c r="DM70" s="1">
        <f t="shared" si="24"/>
        <v>11849</v>
      </c>
      <c r="DN70" s="1">
        <f t="shared" si="25"/>
        <v>8012</v>
      </c>
      <c r="DO70" s="1">
        <f t="shared" si="26"/>
        <v>261549</v>
      </c>
      <c r="DP70" s="1">
        <f t="shared" si="27"/>
        <v>69294</v>
      </c>
      <c r="DQ70" s="1">
        <f t="shared" si="34"/>
        <v>0</v>
      </c>
      <c r="DR70" s="1">
        <f t="shared" si="28"/>
        <v>12725</v>
      </c>
      <c r="DS70" s="1">
        <f t="shared" si="29"/>
        <v>0</v>
      </c>
      <c r="DT70" s="1">
        <f t="shared" si="30"/>
        <v>6768</v>
      </c>
      <c r="DU70" s="1"/>
      <c r="DV70" s="1"/>
      <c r="DW70" s="1"/>
      <c r="DX70" s="1">
        <f t="shared" si="35"/>
        <v>506934</v>
      </c>
      <c r="DZ70" s="1">
        <f t="shared" si="36"/>
        <v>0</v>
      </c>
      <c r="EA70" s="1">
        <f t="shared" si="31"/>
        <v>0</v>
      </c>
      <c r="EC70" s="1">
        <f t="shared" si="37"/>
        <v>506934</v>
      </c>
      <c r="ED70" s="1">
        <f t="shared" si="32"/>
        <v>2517</v>
      </c>
      <c r="EE70" s="1"/>
    </row>
    <row r="71" spans="1:135" x14ac:dyDescent="0.25">
      <c r="A71" s="124">
        <v>34366</v>
      </c>
      <c r="B71" s="125">
        <v>0</v>
      </c>
      <c r="C71" s="125">
        <v>0</v>
      </c>
      <c r="D71" s="125">
        <v>0</v>
      </c>
      <c r="E71" s="125" t="s">
        <v>370</v>
      </c>
      <c r="F71" s="125" t="s">
        <v>370</v>
      </c>
      <c r="G71" s="125">
        <v>0</v>
      </c>
      <c r="H71" s="125">
        <v>0</v>
      </c>
      <c r="I71" s="125">
        <v>0</v>
      </c>
      <c r="J71" s="125">
        <v>0</v>
      </c>
      <c r="K71" s="125"/>
      <c r="L71" s="125">
        <v>34812</v>
      </c>
      <c r="M71" s="125">
        <v>3193</v>
      </c>
      <c r="N71" s="125"/>
      <c r="O71" s="125">
        <v>7583</v>
      </c>
      <c r="P71" s="125">
        <v>1301</v>
      </c>
      <c r="Q71" s="125">
        <v>1457</v>
      </c>
      <c r="R71" s="125">
        <v>2747</v>
      </c>
      <c r="S71" s="125">
        <v>11849</v>
      </c>
      <c r="T71" s="125"/>
      <c r="U71" s="125"/>
      <c r="V71" s="125">
        <v>8940</v>
      </c>
      <c r="W71" s="125">
        <v>0</v>
      </c>
      <c r="X71" s="125">
        <v>881</v>
      </c>
      <c r="Y71" s="125">
        <v>35</v>
      </c>
      <c r="Z71" s="126"/>
      <c r="AA71" s="125">
        <v>22</v>
      </c>
      <c r="AB71" s="125">
        <v>0</v>
      </c>
      <c r="AC71" s="125">
        <v>3</v>
      </c>
      <c r="AD71" s="125">
        <v>25</v>
      </c>
      <c r="AE71" s="125">
        <v>4</v>
      </c>
      <c r="AF71" s="125">
        <v>54</v>
      </c>
      <c r="AG71" s="125"/>
      <c r="AH71" s="125"/>
      <c r="AI71" s="125">
        <v>37</v>
      </c>
      <c r="AJ71" s="125">
        <v>0</v>
      </c>
      <c r="AK71" s="125">
        <v>66082</v>
      </c>
      <c r="AL71" s="125">
        <v>3374</v>
      </c>
      <c r="AM71" s="125">
        <v>2168</v>
      </c>
      <c r="AN71" s="125">
        <v>21</v>
      </c>
      <c r="AO71" s="125">
        <v>8</v>
      </c>
      <c r="AP71" s="125">
        <v>0</v>
      </c>
      <c r="AQ71" s="125">
        <v>0</v>
      </c>
      <c r="AR71" s="125">
        <v>1925</v>
      </c>
      <c r="AS71" s="125" t="s">
        <v>370</v>
      </c>
      <c r="AT71" s="125">
        <v>744</v>
      </c>
      <c r="AU71" s="125">
        <v>1123</v>
      </c>
      <c r="AV71" s="125">
        <v>1679</v>
      </c>
      <c r="AW71" s="125">
        <v>5782</v>
      </c>
      <c r="AX71" s="126"/>
      <c r="AY71" s="126"/>
      <c r="AZ71" s="126">
        <v>0</v>
      </c>
      <c r="BA71" s="126"/>
      <c r="BB71" s="125">
        <v>1460</v>
      </c>
      <c r="BC71" s="125"/>
      <c r="BD71" s="125">
        <v>59342</v>
      </c>
      <c r="BE71" s="125">
        <v>129010</v>
      </c>
      <c r="BF71" s="125">
        <v>259</v>
      </c>
      <c r="BG71" s="125">
        <v>1020</v>
      </c>
      <c r="BH71" s="125">
        <v>1214</v>
      </c>
      <c r="BI71" s="125">
        <v>3555</v>
      </c>
      <c r="BJ71" s="125">
        <v>227</v>
      </c>
      <c r="BK71" s="125">
        <v>2674</v>
      </c>
      <c r="BL71" s="125"/>
      <c r="BM71" s="125">
        <v>701</v>
      </c>
      <c r="BN71" s="125">
        <v>115</v>
      </c>
      <c r="BO71" s="125">
        <v>0</v>
      </c>
      <c r="BP71" s="125">
        <v>7651</v>
      </c>
      <c r="BQ71" s="125">
        <v>13147</v>
      </c>
      <c r="BR71" s="125">
        <v>32</v>
      </c>
      <c r="BS71" s="125">
        <v>753</v>
      </c>
      <c r="BT71" s="125">
        <v>895</v>
      </c>
      <c r="BU71" s="125"/>
      <c r="BV71" s="125">
        <v>13</v>
      </c>
      <c r="BW71" s="125">
        <v>280</v>
      </c>
      <c r="BX71" s="125"/>
      <c r="BY71" s="125">
        <v>2363</v>
      </c>
      <c r="BZ71" s="125">
        <v>2</v>
      </c>
      <c r="CA71" s="125">
        <v>0</v>
      </c>
      <c r="CB71" s="125">
        <v>12716</v>
      </c>
      <c r="CC71" s="125">
        <v>56065</v>
      </c>
      <c r="CD71" s="125">
        <v>44980</v>
      </c>
      <c r="CE71" s="125">
        <v>13060</v>
      </c>
      <c r="CF71" s="125">
        <v>0</v>
      </c>
      <c r="CG71" s="125">
        <v>0</v>
      </c>
      <c r="CH71" s="125">
        <v>9</v>
      </c>
      <c r="CI71" s="125">
        <v>244</v>
      </c>
      <c r="CJ71" s="125">
        <v>182</v>
      </c>
      <c r="CK71" s="125"/>
      <c r="CL71" s="125"/>
      <c r="CM71" s="125"/>
      <c r="CN71" s="125"/>
      <c r="CO71" s="125"/>
      <c r="CP71" s="125"/>
      <c r="CQ71" s="125"/>
      <c r="CR71" s="125"/>
      <c r="CS71" s="125"/>
      <c r="CT71" s="125"/>
      <c r="CU71" s="125"/>
      <c r="CV71" s="125"/>
      <c r="CW71" s="125"/>
      <c r="CX71" s="125"/>
      <c r="CY71" s="125" t="s">
        <v>370</v>
      </c>
      <c r="CZ71" s="125" t="s">
        <v>370</v>
      </c>
      <c r="DA71" s="125" t="s">
        <v>370</v>
      </c>
      <c r="DB71" s="125">
        <v>0</v>
      </c>
      <c r="DC71" s="125">
        <v>0</v>
      </c>
      <c r="DD71" s="125">
        <v>0</v>
      </c>
      <c r="DE71">
        <f t="shared" si="19"/>
        <v>507818</v>
      </c>
      <c r="DG71" s="1">
        <f t="shared" si="33"/>
        <v>351077</v>
      </c>
      <c r="DH71" s="1">
        <f t="shared" si="20"/>
        <v>157958</v>
      </c>
      <c r="DI71" s="127">
        <f t="shared" si="21"/>
        <v>509035</v>
      </c>
      <c r="DK71" s="1">
        <f t="shared" si="22"/>
        <v>59999</v>
      </c>
      <c r="DL71" s="1">
        <f t="shared" si="23"/>
        <v>77415</v>
      </c>
      <c r="DM71" s="1">
        <f t="shared" si="24"/>
        <v>11858</v>
      </c>
      <c r="DN71" s="1">
        <f t="shared" si="25"/>
        <v>8201</v>
      </c>
      <c r="DO71" s="1">
        <f t="shared" si="26"/>
        <v>262616</v>
      </c>
      <c r="DP71" s="1">
        <f t="shared" si="27"/>
        <v>69467</v>
      </c>
      <c r="DQ71" s="1">
        <f t="shared" si="34"/>
        <v>0</v>
      </c>
      <c r="DR71" s="1">
        <f t="shared" si="28"/>
        <v>12754</v>
      </c>
      <c r="DS71" s="1">
        <f t="shared" si="29"/>
        <v>0</v>
      </c>
      <c r="DT71" s="1">
        <f t="shared" si="30"/>
        <v>6759</v>
      </c>
      <c r="DU71" s="1"/>
      <c r="DV71" s="1"/>
      <c r="DW71" s="1"/>
      <c r="DX71" s="1">
        <f t="shared" si="35"/>
        <v>509069</v>
      </c>
      <c r="DZ71" s="1">
        <f t="shared" si="36"/>
        <v>0</v>
      </c>
      <c r="EA71" s="1">
        <f t="shared" si="31"/>
        <v>0</v>
      </c>
      <c r="EC71" s="1">
        <f t="shared" si="37"/>
        <v>509069</v>
      </c>
      <c r="ED71" s="1">
        <f t="shared" si="32"/>
        <v>1251</v>
      </c>
      <c r="EE71" s="1"/>
    </row>
    <row r="72" spans="1:135" x14ac:dyDescent="0.25">
      <c r="A72" s="124">
        <v>34394</v>
      </c>
      <c r="B72" s="125">
        <v>0</v>
      </c>
      <c r="C72" s="125">
        <v>0</v>
      </c>
      <c r="D72" s="125">
        <v>0</v>
      </c>
      <c r="E72" s="125" t="s">
        <v>370</v>
      </c>
      <c r="F72" s="125" t="s">
        <v>370</v>
      </c>
      <c r="G72" s="125">
        <v>0</v>
      </c>
      <c r="H72" s="125">
        <v>0</v>
      </c>
      <c r="I72" s="125">
        <v>0</v>
      </c>
      <c r="J72" s="125">
        <v>0</v>
      </c>
      <c r="K72" s="125"/>
      <c r="L72" s="125">
        <v>34774</v>
      </c>
      <c r="M72" s="125">
        <v>3184</v>
      </c>
      <c r="N72" s="125"/>
      <c r="O72" s="125">
        <v>7584</v>
      </c>
      <c r="P72" s="125">
        <v>1322</v>
      </c>
      <c r="Q72" s="125">
        <v>1463</v>
      </c>
      <c r="R72" s="125">
        <v>2819</v>
      </c>
      <c r="S72" s="125">
        <v>11858</v>
      </c>
      <c r="T72" s="125"/>
      <c r="U72" s="125"/>
      <c r="V72" s="125">
        <v>8853</v>
      </c>
      <c r="W72" s="125">
        <v>0</v>
      </c>
      <c r="X72" s="125">
        <v>872</v>
      </c>
      <c r="Y72" s="125">
        <v>33</v>
      </c>
      <c r="Z72" s="126"/>
      <c r="AA72" s="125">
        <v>23</v>
      </c>
      <c r="AB72" s="125">
        <v>0</v>
      </c>
      <c r="AC72" s="125">
        <v>2</v>
      </c>
      <c r="AD72" s="125">
        <v>26</v>
      </c>
      <c r="AE72" s="125">
        <v>4</v>
      </c>
      <c r="AF72" s="125">
        <v>54</v>
      </c>
      <c r="AG72" s="125"/>
      <c r="AH72" s="125"/>
      <c r="AI72" s="125">
        <v>36</v>
      </c>
      <c r="AJ72" s="125">
        <v>0</v>
      </c>
      <c r="AK72" s="125">
        <v>66538</v>
      </c>
      <c r="AL72" s="125">
        <v>3371</v>
      </c>
      <c r="AM72" s="125">
        <v>2252</v>
      </c>
      <c r="AN72" s="125">
        <v>25</v>
      </c>
      <c r="AO72" s="125">
        <v>8</v>
      </c>
      <c r="AP72" s="125">
        <v>0</v>
      </c>
      <c r="AQ72" s="125">
        <v>0</v>
      </c>
      <c r="AR72" s="125">
        <v>1930</v>
      </c>
      <c r="AS72" s="125" t="s">
        <v>370</v>
      </c>
      <c r="AT72" s="125">
        <v>757</v>
      </c>
      <c r="AU72" s="125">
        <v>1127</v>
      </c>
      <c r="AV72" s="125">
        <v>1695</v>
      </c>
      <c r="AW72" s="125">
        <v>5887</v>
      </c>
      <c r="AX72" s="126"/>
      <c r="AY72" s="126"/>
      <c r="AZ72" s="126">
        <v>0</v>
      </c>
      <c r="BA72" s="126"/>
      <c r="BB72" s="125">
        <v>1461</v>
      </c>
      <c r="BC72" s="125"/>
      <c r="BD72" s="125">
        <v>59197</v>
      </c>
      <c r="BE72" s="125">
        <v>128713</v>
      </c>
      <c r="BF72" s="125">
        <v>266</v>
      </c>
      <c r="BG72" s="125">
        <v>1079</v>
      </c>
      <c r="BH72" s="125">
        <v>1245</v>
      </c>
      <c r="BI72" s="125">
        <v>3574</v>
      </c>
      <c r="BJ72" s="125">
        <v>221</v>
      </c>
      <c r="BK72" s="125">
        <v>2648</v>
      </c>
      <c r="BL72" s="125"/>
      <c r="BM72" s="125">
        <v>617</v>
      </c>
      <c r="BN72" s="125">
        <v>114</v>
      </c>
      <c r="BO72" s="125">
        <v>0</v>
      </c>
      <c r="BP72" s="125">
        <v>7342</v>
      </c>
      <c r="BQ72" s="125">
        <v>12497</v>
      </c>
      <c r="BR72" s="125">
        <v>33</v>
      </c>
      <c r="BS72" s="125">
        <v>713</v>
      </c>
      <c r="BT72" s="125">
        <v>841</v>
      </c>
      <c r="BU72" s="125"/>
      <c r="BV72" s="125">
        <v>14</v>
      </c>
      <c r="BW72" s="125">
        <v>271</v>
      </c>
      <c r="BX72" s="125"/>
      <c r="BY72" s="125">
        <v>2163</v>
      </c>
      <c r="BZ72" s="125">
        <v>2</v>
      </c>
      <c r="CA72" s="125">
        <v>0</v>
      </c>
      <c r="CB72" s="125">
        <v>12742</v>
      </c>
      <c r="CC72" s="125">
        <v>56536</v>
      </c>
      <c r="CD72" s="125">
        <v>46688</v>
      </c>
      <c r="CE72" s="125">
        <v>13138</v>
      </c>
      <c r="CF72" s="125">
        <v>0</v>
      </c>
      <c r="CG72" s="125">
        <v>0</v>
      </c>
      <c r="CH72" s="125">
        <v>12</v>
      </c>
      <c r="CI72" s="125">
        <v>238</v>
      </c>
      <c r="CJ72" s="125">
        <v>173</v>
      </c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 t="s">
        <v>370</v>
      </c>
      <c r="CZ72" s="125" t="s">
        <v>370</v>
      </c>
      <c r="DA72" s="125" t="s">
        <v>370</v>
      </c>
      <c r="DB72" s="125">
        <v>0</v>
      </c>
      <c r="DC72" s="125">
        <v>0</v>
      </c>
      <c r="DD72" s="125">
        <v>0</v>
      </c>
      <c r="DE72">
        <f t="shared" si="19"/>
        <v>509035</v>
      </c>
      <c r="DG72" s="1">
        <f t="shared" si="33"/>
        <v>358257</v>
      </c>
      <c r="DH72" s="1">
        <f t="shared" si="20"/>
        <v>159586</v>
      </c>
      <c r="DI72" s="127">
        <f t="shared" si="21"/>
        <v>517843</v>
      </c>
      <c r="DK72" s="1">
        <f t="shared" si="22"/>
        <v>60195</v>
      </c>
      <c r="DL72" s="1">
        <f t="shared" si="23"/>
        <v>77900</v>
      </c>
      <c r="DM72" s="1">
        <f t="shared" si="24"/>
        <v>12016</v>
      </c>
      <c r="DN72" s="1">
        <f t="shared" si="25"/>
        <v>8498</v>
      </c>
      <c r="DO72" s="1">
        <f t="shared" si="26"/>
        <v>268470</v>
      </c>
      <c r="DP72" s="1">
        <f t="shared" si="27"/>
        <v>68948</v>
      </c>
      <c r="DQ72" s="1">
        <f t="shared" si="34"/>
        <v>0</v>
      </c>
      <c r="DR72" s="1">
        <f t="shared" si="28"/>
        <v>13245</v>
      </c>
      <c r="DS72" s="1">
        <f t="shared" si="29"/>
        <v>0</v>
      </c>
      <c r="DT72" s="1">
        <f t="shared" si="30"/>
        <v>6878</v>
      </c>
      <c r="DU72" s="1"/>
      <c r="DV72" s="1"/>
      <c r="DW72" s="1"/>
      <c r="DX72" s="1">
        <f t="shared" si="35"/>
        <v>516150</v>
      </c>
      <c r="DZ72" s="1">
        <f t="shared" si="36"/>
        <v>0</v>
      </c>
      <c r="EA72" s="1">
        <f t="shared" si="31"/>
        <v>0</v>
      </c>
      <c r="EC72" s="1">
        <f t="shared" si="37"/>
        <v>516150</v>
      </c>
      <c r="ED72" s="1">
        <f t="shared" si="32"/>
        <v>7115</v>
      </c>
      <c r="EE72" s="1"/>
    </row>
    <row r="73" spans="1:135" x14ac:dyDescent="0.25">
      <c r="A73" s="124">
        <v>34425</v>
      </c>
      <c r="B73" s="125">
        <v>0</v>
      </c>
      <c r="C73" s="125">
        <v>0</v>
      </c>
      <c r="D73" s="125">
        <v>0</v>
      </c>
      <c r="E73" s="125" t="s">
        <v>370</v>
      </c>
      <c r="F73" s="125" t="s">
        <v>370</v>
      </c>
      <c r="G73" s="125">
        <v>0</v>
      </c>
      <c r="H73" s="125">
        <v>0</v>
      </c>
      <c r="I73" s="125">
        <v>0</v>
      </c>
      <c r="J73" s="125">
        <v>0</v>
      </c>
      <c r="K73" s="125"/>
      <c r="L73" s="125">
        <v>34791</v>
      </c>
      <c r="M73" s="125">
        <v>3266</v>
      </c>
      <c r="N73" s="125"/>
      <c r="O73" s="125">
        <v>7617</v>
      </c>
      <c r="P73" s="125">
        <v>1292</v>
      </c>
      <c r="Q73" s="125">
        <v>1446</v>
      </c>
      <c r="R73" s="125">
        <v>2870</v>
      </c>
      <c r="S73" s="125">
        <v>12016</v>
      </c>
      <c r="T73" s="125"/>
      <c r="U73" s="125"/>
      <c r="V73" s="125">
        <v>8913</v>
      </c>
      <c r="W73" s="125">
        <v>0</v>
      </c>
      <c r="X73" s="125">
        <v>885</v>
      </c>
      <c r="Y73" s="125">
        <v>30</v>
      </c>
      <c r="Z73" s="126"/>
      <c r="AA73" s="125">
        <v>23</v>
      </c>
      <c r="AB73" s="125">
        <v>0</v>
      </c>
      <c r="AC73" s="125">
        <v>2</v>
      </c>
      <c r="AD73" s="125">
        <v>26</v>
      </c>
      <c r="AE73" s="125">
        <v>5</v>
      </c>
      <c r="AF73" s="125">
        <v>52</v>
      </c>
      <c r="AG73" s="125"/>
      <c r="AH73" s="125"/>
      <c r="AI73" s="125">
        <v>38</v>
      </c>
      <c r="AJ73" s="125">
        <v>0</v>
      </c>
      <c r="AK73" s="125">
        <v>67461</v>
      </c>
      <c r="AL73" s="125">
        <v>3411</v>
      </c>
      <c r="AM73" s="125">
        <v>2385</v>
      </c>
      <c r="AN73" s="125">
        <v>27</v>
      </c>
      <c r="AO73" s="125">
        <v>8</v>
      </c>
      <c r="AP73" s="125">
        <v>0</v>
      </c>
      <c r="AQ73" s="125">
        <v>0</v>
      </c>
      <c r="AR73" s="125">
        <v>1904</v>
      </c>
      <c r="AS73" s="125" t="s">
        <v>370</v>
      </c>
      <c r="AT73" s="125">
        <v>725</v>
      </c>
      <c r="AU73" s="125">
        <v>1149</v>
      </c>
      <c r="AV73" s="125">
        <v>1704</v>
      </c>
      <c r="AW73" s="125">
        <v>6053</v>
      </c>
      <c r="AX73" s="126"/>
      <c r="AY73" s="126"/>
      <c r="AZ73" s="126">
        <v>0</v>
      </c>
      <c r="BA73" s="126"/>
      <c r="BB73" s="125">
        <v>1487</v>
      </c>
      <c r="BC73" s="125"/>
      <c r="BD73" s="125">
        <v>59957</v>
      </c>
      <c r="BE73" s="125">
        <v>130051</v>
      </c>
      <c r="BF73" s="125">
        <v>274</v>
      </c>
      <c r="BG73" s="125">
        <v>1132</v>
      </c>
      <c r="BH73" s="125">
        <v>1345</v>
      </c>
      <c r="BI73" s="125">
        <v>3632</v>
      </c>
      <c r="BJ73" s="125">
        <v>219</v>
      </c>
      <c r="BK73" s="125">
        <v>2697</v>
      </c>
      <c r="BL73" s="125"/>
      <c r="BM73" s="125">
        <v>488</v>
      </c>
      <c r="BN73" s="125">
        <v>113</v>
      </c>
      <c r="BO73" s="125">
        <v>0</v>
      </c>
      <c r="BP73" s="125">
        <v>7368</v>
      </c>
      <c r="BQ73" s="125">
        <v>12388</v>
      </c>
      <c r="BR73" s="125">
        <v>33</v>
      </c>
      <c r="BS73" s="125">
        <v>719</v>
      </c>
      <c r="BT73" s="125">
        <v>854</v>
      </c>
      <c r="BU73" s="125"/>
      <c r="BV73" s="125">
        <v>14</v>
      </c>
      <c r="BW73" s="125">
        <v>275</v>
      </c>
      <c r="BX73" s="125"/>
      <c r="BY73" s="125">
        <v>1991</v>
      </c>
      <c r="BZ73" s="125">
        <v>3</v>
      </c>
      <c r="CA73" s="125">
        <v>0</v>
      </c>
      <c r="CB73" s="125">
        <v>13232</v>
      </c>
      <c r="CC73" s="125">
        <v>58125</v>
      </c>
      <c r="CD73" s="125">
        <v>49649</v>
      </c>
      <c r="CE73" s="125">
        <v>13276</v>
      </c>
      <c r="CF73" s="125">
        <v>0</v>
      </c>
      <c r="CG73" s="125">
        <v>0</v>
      </c>
      <c r="CH73" s="125">
        <v>13</v>
      </c>
      <c r="CI73" s="125">
        <v>220</v>
      </c>
      <c r="CJ73" s="125">
        <v>189</v>
      </c>
      <c r="CK73" s="125"/>
      <c r="CL73" s="125"/>
      <c r="CM73" s="125"/>
      <c r="CN73" s="125"/>
      <c r="CO73" s="125"/>
      <c r="CP73" s="125"/>
      <c r="CQ73" s="125"/>
      <c r="CR73" s="125"/>
      <c r="CS73" s="125"/>
      <c r="CT73" s="125"/>
      <c r="CU73" s="125"/>
      <c r="CV73" s="125"/>
      <c r="CW73" s="125"/>
      <c r="CX73" s="125"/>
      <c r="CY73" s="125" t="s">
        <v>370</v>
      </c>
      <c r="CZ73" s="125" t="s">
        <v>370</v>
      </c>
      <c r="DA73" s="125" t="s">
        <v>370</v>
      </c>
      <c r="DB73" s="125">
        <v>0</v>
      </c>
      <c r="DC73" s="125">
        <v>0</v>
      </c>
      <c r="DD73" s="125">
        <v>0</v>
      </c>
      <c r="DE73">
        <f t="shared" si="19"/>
        <v>517843</v>
      </c>
      <c r="DG73" s="1">
        <f t="shared" si="33"/>
        <v>358851</v>
      </c>
      <c r="DH73" s="1">
        <f t="shared" si="20"/>
        <v>160607</v>
      </c>
      <c r="DI73" s="127">
        <f t="shared" si="21"/>
        <v>519458</v>
      </c>
      <c r="DK73" s="1">
        <f t="shared" si="22"/>
        <v>60309</v>
      </c>
      <c r="DL73" s="1">
        <f t="shared" si="23"/>
        <v>78877</v>
      </c>
      <c r="DM73" s="1">
        <f t="shared" si="24"/>
        <v>12189</v>
      </c>
      <c r="DN73" s="1">
        <f t="shared" si="25"/>
        <v>8676</v>
      </c>
      <c r="DO73" s="1">
        <f t="shared" si="26"/>
        <v>269474</v>
      </c>
      <c r="DP73" s="1">
        <f t="shared" si="27"/>
        <v>69664</v>
      </c>
      <c r="DQ73" s="1">
        <f t="shared" si="34"/>
        <v>0</v>
      </c>
      <c r="DR73" s="1">
        <f t="shared" si="28"/>
        <v>13319</v>
      </c>
      <c r="DS73" s="1">
        <f t="shared" si="29"/>
        <v>0</v>
      </c>
      <c r="DT73" s="1">
        <f t="shared" si="30"/>
        <v>6906</v>
      </c>
      <c r="DU73" s="1"/>
      <c r="DV73" s="1"/>
      <c r="DW73" s="1"/>
      <c r="DX73" s="1">
        <f t="shared" si="35"/>
        <v>519414</v>
      </c>
      <c r="DZ73" s="1">
        <f t="shared" si="36"/>
        <v>0</v>
      </c>
      <c r="EA73" s="1">
        <f t="shared" si="31"/>
        <v>0</v>
      </c>
      <c r="EC73" s="1">
        <f t="shared" si="37"/>
        <v>519414</v>
      </c>
      <c r="ED73" s="1">
        <f t="shared" si="32"/>
        <v>1571</v>
      </c>
      <c r="EE73" s="1"/>
    </row>
    <row r="74" spans="1:135" x14ac:dyDescent="0.25">
      <c r="A74" s="124">
        <v>34455</v>
      </c>
      <c r="B74" s="125">
        <v>0</v>
      </c>
      <c r="C74" s="125">
        <v>0</v>
      </c>
      <c r="D74" s="125">
        <v>0</v>
      </c>
      <c r="E74" s="125" t="s">
        <v>370</v>
      </c>
      <c r="F74" s="125" t="s">
        <v>370</v>
      </c>
      <c r="G74" s="125">
        <v>0</v>
      </c>
      <c r="H74" s="125">
        <v>0</v>
      </c>
      <c r="I74" s="125">
        <v>0</v>
      </c>
      <c r="J74" s="125">
        <v>0</v>
      </c>
      <c r="K74" s="125"/>
      <c r="L74" s="125">
        <v>34717</v>
      </c>
      <c r="M74" s="125">
        <v>3340</v>
      </c>
      <c r="N74" s="125"/>
      <c r="O74" s="125">
        <v>7662</v>
      </c>
      <c r="P74" s="125">
        <v>1296</v>
      </c>
      <c r="Q74" s="125">
        <v>1444</v>
      </c>
      <c r="R74" s="125">
        <v>2892</v>
      </c>
      <c r="S74" s="125">
        <v>12189</v>
      </c>
      <c r="T74" s="125"/>
      <c r="U74" s="125"/>
      <c r="V74" s="125">
        <v>8958</v>
      </c>
      <c r="W74" s="125">
        <v>0</v>
      </c>
      <c r="X74" s="125">
        <v>884</v>
      </c>
      <c r="Y74" s="125">
        <v>32</v>
      </c>
      <c r="Z74" s="126"/>
      <c r="AA74" s="125">
        <v>26</v>
      </c>
      <c r="AB74" s="125">
        <v>0</v>
      </c>
      <c r="AC74" s="125">
        <v>3</v>
      </c>
      <c r="AD74" s="125">
        <v>23</v>
      </c>
      <c r="AE74" s="125">
        <v>5</v>
      </c>
      <c r="AF74" s="125">
        <v>58</v>
      </c>
      <c r="AG74" s="125"/>
      <c r="AH74" s="125"/>
      <c r="AI74" s="125">
        <v>36</v>
      </c>
      <c r="AJ74" s="125">
        <v>0</v>
      </c>
      <c r="AK74" s="125">
        <v>67988</v>
      </c>
      <c r="AL74" s="125">
        <v>3399</v>
      </c>
      <c r="AM74" s="125">
        <v>2435</v>
      </c>
      <c r="AN74" s="125">
        <v>30</v>
      </c>
      <c r="AO74" s="125">
        <v>9</v>
      </c>
      <c r="AP74" s="125">
        <v>0</v>
      </c>
      <c r="AQ74" s="125">
        <v>0</v>
      </c>
      <c r="AR74" s="125">
        <v>1921</v>
      </c>
      <c r="AS74" s="125" t="s">
        <v>370</v>
      </c>
      <c r="AT74" s="125">
        <v>725</v>
      </c>
      <c r="AU74" s="125">
        <v>1156</v>
      </c>
      <c r="AV74" s="125">
        <v>1712</v>
      </c>
      <c r="AW74" s="125">
        <v>6174</v>
      </c>
      <c r="AX74" s="126"/>
      <c r="AY74" s="126"/>
      <c r="AZ74" s="126">
        <v>0</v>
      </c>
      <c r="BA74" s="126"/>
      <c r="BB74" s="125">
        <v>1493</v>
      </c>
      <c r="BC74" s="125"/>
      <c r="BD74" s="125">
        <v>59614</v>
      </c>
      <c r="BE74" s="125">
        <v>129664</v>
      </c>
      <c r="BF74" s="125">
        <v>280</v>
      </c>
      <c r="BG74" s="125">
        <v>1012</v>
      </c>
      <c r="BH74" s="125">
        <v>1245</v>
      </c>
      <c r="BI74" s="125">
        <v>3671</v>
      </c>
      <c r="BJ74" s="125">
        <v>205</v>
      </c>
      <c r="BK74" s="125">
        <v>2683</v>
      </c>
      <c r="BL74" s="125"/>
      <c r="BM74" s="125">
        <v>461</v>
      </c>
      <c r="BN74" s="125">
        <v>111</v>
      </c>
      <c r="BO74" s="125">
        <v>0</v>
      </c>
      <c r="BP74" s="125">
        <v>7339</v>
      </c>
      <c r="BQ74" s="125">
        <v>12258</v>
      </c>
      <c r="BR74" s="125">
        <v>34</v>
      </c>
      <c r="BS74" s="125">
        <v>726</v>
      </c>
      <c r="BT74" s="125">
        <v>864</v>
      </c>
      <c r="BU74" s="125"/>
      <c r="BV74" s="125">
        <v>12</v>
      </c>
      <c r="BW74" s="125">
        <v>272</v>
      </c>
      <c r="BX74" s="125"/>
      <c r="BY74" s="125">
        <v>1812</v>
      </c>
      <c r="BZ74" s="125">
        <v>2</v>
      </c>
      <c r="CA74" s="125">
        <v>0</v>
      </c>
      <c r="CB74" s="125">
        <v>13306</v>
      </c>
      <c r="CC74" s="125">
        <v>58390</v>
      </c>
      <c r="CD74" s="125">
        <v>51251</v>
      </c>
      <c r="CE74" s="125">
        <v>13226</v>
      </c>
      <c r="CF74" s="125">
        <v>0</v>
      </c>
      <c r="CG74" s="125">
        <v>0</v>
      </c>
      <c r="CH74" s="125">
        <v>13</v>
      </c>
      <c r="CI74" s="125">
        <v>210</v>
      </c>
      <c r="CJ74" s="125">
        <v>190</v>
      </c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 t="s">
        <v>370</v>
      </c>
      <c r="CZ74" s="125" t="s">
        <v>370</v>
      </c>
      <c r="DA74" s="125" t="s">
        <v>370</v>
      </c>
      <c r="DB74" s="125">
        <v>0</v>
      </c>
      <c r="DC74" s="125">
        <v>0</v>
      </c>
      <c r="DD74" s="125">
        <v>0</v>
      </c>
      <c r="DE74">
        <f t="shared" si="19"/>
        <v>519458</v>
      </c>
      <c r="DG74" s="1">
        <f t="shared" si="33"/>
        <v>358831</v>
      </c>
      <c r="DH74" s="1">
        <f t="shared" si="20"/>
        <v>161557</v>
      </c>
      <c r="DI74" s="127">
        <f t="shared" si="21"/>
        <v>520388</v>
      </c>
      <c r="DK74" s="1">
        <f t="shared" si="22"/>
        <v>60449</v>
      </c>
      <c r="DL74" s="1">
        <f t="shared" si="23"/>
        <v>79433</v>
      </c>
      <c r="DM74" s="1">
        <f t="shared" si="24"/>
        <v>12300</v>
      </c>
      <c r="DN74" s="1">
        <f t="shared" si="25"/>
        <v>8809</v>
      </c>
      <c r="DO74" s="1">
        <f t="shared" si="26"/>
        <v>270210</v>
      </c>
      <c r="DP74" s="1">
        <f t="shared" si="27"/>
        <v>69152</v>
      </c>
      <c r="DQ74" s="1">
        <f t="shared" si="34"/>
        <v>0</v>
      </c>
      <c r="DR74" s="1">
        <f t="shared" si="28"/>
        <v>13185</v>
      </c>
      <c r="DS74" s="1">
        <f t="shared" si="29"/>
        <v>0</v>
      </c>
      <c r="DT74" s="1">
        <f t="shared" si="30"/>
        <v>7009</v>
      </c>
      <c r="DU74" s="1"/>
      <c r="DV74" s="1"/>
      <c r="DW74" s="1"/>
      <c r="DX74" s="1">
        <f t="shared" si="35"/>
        <v>520547</v>
      </c>
      <c r="DZ74" s="1">
        <f t="shared" si="36"/>
        <v>0</v>
      </c>
      <c r="EA74" s="1">
        <f t="shared" si="31"/>
        <v>0</v>
      </c>
      <c r="EC74" s="1">
        <f t="shared" si="37"/>
        <v>520547</v>
      </c>
      <c r="ED74" s="1">
        <f t="shared" si="32"/>
        <v>1089</v>
      </c>
      <c r="EE74" s="1"/>
    </row>
    <row r="75" spans="1:135" x14ac:dyDescent="0.25">
      <c r="A75" s="124">
        <v>34486</v>
      </c>
      <c r="B75" s="125">
        <v>0</v>
      </c>
      <c r="C75" s="125">
        <v>0</v>
      </c>
      <c r="D75" s="125">
        <v>0</v>
      </c>
      <c r="E75" s="125" t="s">
        <v>370</v>
      </c>
      <c r="F75" s="125" t="s">
        <v>370</v>
      </c>
      <c r="G75" s="125">
        <v>0</v>
      </c>
      <c r="H75" s="125">
        <v>0</v>
      </c>
      <c r="I75" s="125">
        <v>0</v>
      </c>
      <c r="J75" s="125">
        <v>0</v>
      </c>
      <c r="K75" s="125"/>
      <c r="L75" s="125">
        <v>34694</v>
      </c>
      <c r="M75" s="125">
        <v>3335</v>
      </c>
      <c r="N75" s="125"/>
      <c r="O75" s="125">
        <v>7734</v>
      </c>
      <c r="P75" s="125">
        <v>1301</v>
      </c>
      <c r="Q75" s="125">
        <v>1449</v>
      </c>
      <c r="R75" s="125">
        <v>2955</v>
      </c>
      <c r="S75" s="125">
        <v>12300</v>
      </c>
      <c r="T75" s="125"/>
      <c r="U75" s="125"/>
      <c r="V75" s="125">
        <v>8981</v>
      </c>
      <c r="W75" s="125">
        <v>0</v>
      </c>
      <c r="X75" s="125">
        <v>885</v>
      </c>
      <c r="Y75" s="125">
        <v>33</v>
      </c>
      <c r="Z75" s="126"/>
      <c r="AA75" s="125">
        <v>26</v>
      </c>
      <c r="AB75" s="125">
        <v>0</v>
      </c>
      <c r="AC75" s="125">
        <v>2</v>
      </c>
      <c r="AD75" s="125">
        <v>24</v>
      </c>
      <c r="AE75" s="125">
        <v>5</v>
      </c>
      <c r="AF75" s="125">
        <v>56</v>
      </c>
      <c r="AG75" s="125"/>
      <c r="AH75" s="125"/>
      <c r="AI75" s="125">
        <v>36</v>
      </c>
      <c r="AJ75" s="125">
        <v>0</v>
      </c>
      <c r="AK75" s="125">
        <v>68397</v>
      </c>
      <c r="AL75" s="125">
        <v>3420</v>
      </c>
      <c r="AM75" s="125">
        <v>2498</v>
      </c>
      <c r="AN75" s="125">
        <v>35</v>
      </c>
      <c r="AO75" s="125">
        <v>10</v>
      </c>
      <c r="AP75" s="125">
        <v>0</v>
      </c>
      <c r="AQ75" s="125">
        <v>0</v>
      </c>
      <c r="AR75" s="125">
        <v>1994</v>
      </c>
      <c r="AS75" s="125" t="s">
        <v>370</v>
      </c>
      <c r="AT75" s="125">
        <v>735</v>
      </c>
      <c r="AU75" s="125">
        <v>1163</v>
      </c>
      <c r="AV75" s="125">
        <v>1725</v>
      </c>
      <c r="AW75" s="125">
        <v>6245</v>
      </c>
      <c r="AX75" s="126"/>
      <c r="AY75" s="126"/>
      <c r="AZ75" s="126">
        <v>0</v>
      </c>
      <c r="BA75" s="126"/>
      <c r="BB75" s="125">
        <v>1519</v>
      </c>
      <c r="BC75" s="125"/>
      <c r="BD75" s="125">
        <v>58807</v>
      </c>
      <c r="BE75" s="125">
        <v>128687</v>
      </c>
      <c r="BF75" s="125">
        <v>275</v>
      </c>
      <c r="BG75" s="125">
        <v>929</v>
      </c>
      <c r="BH75" s="125">
        <v>1161</v>
      </c>
      <c r="BI75" s="125">
        <v>3761</v>
      </c>
      <c r="BJ75" s="125">
        <v>147</v>
      </c>
      <c r="BK75" s="125">
        <v>2700</v>
      </c>
      <c r="BL75" s="125"/>
      <c r="BM75" s="125">
        <v>492</v>
      </c>
      <c r="BN75" s="125">
        <v>109</v>
      </c>
      <c r="BO75" s="125">
        <v>0</v>
      </c>
      <c r="BP75" s="125">
        <v>7544</v>
      </c>
      <c r="BQ75" s="125">
        <v>12558</v>
      </c>
      <c r="BR75" s="125">
        <v>32</v>
      </c>
      <c r="BS75" s="125">
        <v>655</v>
      </c>
      <c r="BT75" s="125">
        <v>813</v>
      </c>
      <c r="BU75" s="125"/>
      <c r="BV75" s="125">
        <v>13</v>
      </c>
      <c r="BW75" s="125">
        <v>273</v>
      </c>
      <c r="BX75" s="125"/>
      <c r="BY75" s="125">
        <v>1664</v>
      </c>
      <c r="BZ75" s="125">
        <v>2</v>
      </c>
      <c r="CA75" s="125">
        <v>0</v>
      </c>
      <c r="CB75" s="125">
        <v>13174</v>
      </c>
      <c r="CC75" s="125">
        <v>58534</v>
      </c>
      <c r="CD75" s="125">
        <v>52932</v>
      </c>
      <c r="CE75" s="125">
        <v>13189</v>
      </c>
      <c r="CF75" s="125">
        <v>0</v>
      </c>
      <c r="CG75" s="125">
        <v>0</v>
      </c>
      <c r="CH75" s="125">
        <v>11</v>
      </c>
      <c r="CI75" s="125">
        <v>193</v>
      </c>
      <c r="CJ75" s="125">
        <v>176</v>
      </c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 t="s">
        <v>370</v>
      </c>
      <c r="CZ75" s="125" t="s">
        <v>370</v>
      </c>
      <c r="DA75" s="125" t="s">
        <v>370</v>
      </c>
      <c r="DB75" s="125">
        <v>0</v>
      </c>
      <c r="DC75" s="125">
        <v>0</v>
      </c>
      <c r="DD75" s="125">
        <v>0</v>
      </c>
      <c r="DE75">
        <f t="shared" si="19"/>
        <v>520388</v>
      </c>
      <c r="DG75" s="1">
        <f t="shared" si="33"/>
        <v>360074</v>
      </c>
      <c r="DH75" s="1">
        <f t="shared" si="20"/>
        <v>162806</v>
      </c>
      <c r="DI75" s="127">
        <f t="shared" si="21"/>
        <v>522880</v>
      </c>
      <c r="DK75" s="1">
        <f t="shared" si="22"/>
        <v>60665</v>
      </c>
      <c r="DL75" s="1">
        <f t="shared" si="23"/>
        <v>79999</v>
      </c>
      <c r="DM75" s="1">
        <f t="shared" si="24"/>
        <v>12451</v>
      </c>
      <c r="DN75" s="1">
        <f t="shared" si="25"/>
        <v>8980</v>
      </c>
      <c r="DO75" s="1">
        <f t="shared" si="26"/>
        <v>271445</v>
      </c>
      <c r="DP75" s="1">
        <f t="shared" si="27"/>
        <v>68427</v>
      </c>
      <c r="DQ75" s="1">
        <f t="shared" si="34"/>
        <v>0</v>
      </c>
      <c r="DR75" s="1">
        <f t="shared" si="28"/>
        <v>13348</v>
      </c>
      <c r="DS75" s="1">
        <f t="shared" si="29"/>
        <v>0</v>
      </c>
      <c r="DT75" s="1">
        <f t="shared" si="30"/>
        <v>7070</v>
      </c>
      <c r="DU75" s="1"/>
      <c r="DV75" s="1"/>
      <c r="DW75" s="1"/>
      <c r="DX75" s="1">
        <f t="shared" si="35"/>
        <v>522385</v>
      </c>
      <c r="DZ75" s="1">
        <f t="shared" si="36"/>
        <v>0</v>
      </c>
      <c r="EA75" s="1">
        <f t="shared" si="31"/>
        <v>0</v>
      </c>
      <c r="EC75" s="1">
        <f t="shared" si="37"/>
        <v>522385</v>
      </c>
      <c r="ED75" s="1">
        <f t="shared" si="32"/>
        <v>1997</v>
      </c>
      <c r="EE75" s="1"/>
    </row>
    <row r="76" spans="1:135" x14ac:dyDescent="0.25">
      <c r="A76" s="124">
        <v>34516</v>
      </c>
      <c r="B76" s="125">
        <v>0</v>
      </c>
      <c r="C76" s="125">
        <v>0</v>
      </c>
      <c r="D76" s="125">
        <v>0</v>
      </c>
      <c r="E76" s="125" t="s">
        <v>370</v>
      </c>
      <c r="F76" s="125" t="s">
        <v>370</v>
      </c>
      <c r="G76" s="125">
        <v>0</v>
      </c>
      <c r="H76" s="125">
        <v>0</v>
      </c>
      <c r="I76" s="125">
        <v>0</v>
      </c>
      <c r="J76" s="125">
        <v>0</v>
      </c>
      <c r="K76" s="125"/>
      <c r="L76" s="125">
        <v>34713</v>
      </c>
      <c r="M76" s="125">
        <v>3375</v>
      </c>
      <c r="N76" s="125"/>
      <c r="O76" s="125">
        <v>7808</v>
      </c>
      <c r="P76" s="125">
        <v>1304</v>
      </c>
      <c r="Q76" s="125">
        <v>1443</v>
      </c>
      <c r="R76" s="125">
        <v>2979</v>
      </c>
      <c r="S76" s="125">
        <v>12451</v>
      </c>
      <c r="T76" s="125"/>
      <c r="U76" s="125"/>
      <c r="V76" s="125">
        <v>9043</v>
      </c>
      <c r="W76" s="125">
        <v>0</v>
      </c>
      <c r="X76" s="125">
        <v>880</v>
      </c>
      <c r="Y76" s="125">
        <v>34</v>
      </c>
      <c r="Z76" s="126"/>
      <c r="AA76" s="125">
        <v>25</v>
      </c>
      <c r="AB76" s="125">
        <v>0</v>
      </c>
      <c r="AC76" s="125">
        <v>3</v>
      </c>
      <c r="AD76" s="125">
        <v>23</v>
      </c>
      <c r="AE76" s="125">
        <v>6</v>
      </c>
      <c r="AF76" s="125">
        <v>52</v>
      </c>
      <c r="AG76" s="125"/>
      <c r="AH76" s="125"/>
      <c r="AI76" s="125">
        <v>36</v>
      </c>
      <c r="AJ76" s="125">
        <v>0</v>
      </c>
      <c r="AK76" s="125">
        <v>68998</v>
      </c>
      <c r="AL76" s="125">
        <v>3441</v>
      </c>
      <c r="AM76" s="125">
        <v>2584</v>
      </c>
      <c r="AN76" s="125">
        <v>38</v>
      </c>
      <c r="AO76" s="125">
        <v>9</v>
      </c>
      <c r="AP76" s="125">
        <v>0</v>
      </c>
      <c r="AQ76" s="125">
        <v>0</v>
      </c>
      <c r="AR76" s="125">
        <v>2038</v>
      </c>
      <c r="AS76" s="125" t="s">
        <v>370</v>
      </c>
      <c r="AT76" s="125">
        <v>750</v>
      </c>
      <c r="AU76" s="125">
        <v>1170</v>
      </c>
      <c r="AV76" s="125">
        <v>1743</v>
      </c>
      <c r="AW76" s="125">
        <v>6335</v>
      </c>
      <c r="AX76" s="126"/>
      <c r="AY76" s="126"/>
      <c r="AZ76" s="126">
        <v>0</v>
      </c>
      <c r="BA76" s="126"/>
      <c r="BB76" s="125">
        <v>1525</v>
      </c>
      <c r="BC76" s="125"/>
      <c r="BD76" s="125">
        <v>58341</v>
      </c>
      <c r="BE76" s="125">
        <v>127900</v>
      </c>
      <c r="BF76" s="125">
        <v>261</v>
      </c>
      <c r="BG76" s="125">
        <v>868</v>
      </c>
      <c r="BH76" s="125">
        <v>1079</v>
      </c>
      <c r="BI76" s="125">
        <v>3792</v>
      </c>
      <c r="BJ76" s="125">
        <v>141</v>
      </c>
      <c r="BK76" s="125">
        <v>2737</v>
      </c>
      <c r="BL76" s="125"/>
      <c r="BM76" s="125">
        <v>510</v>
      </c>
      <c r="BN76" s="125">
        <v>108</v>
      </c>
      <c r="BO76" s="125">
        <v>0</v>
      </c>
      <c r="BP76" s="125">
        <v>7845</v>
      </c>
      <c r="BQ76" s="125">
        <v>12851</v>
      </c>
      <c r="BR76" s="125">
        <v>32</v>
      </c>
      <c r="BS76" s="125">
        <v>647</v>
      </c>
      <c r="BT76" s="125">
        <v>790</v>
      </c>
      <c r="BU76" s="125"/>
      <c r="BV76" s="125">
        <v>16</v>
      </c>
      <c r="BW76" s="125">
        <v>280</v>
      </c>
      <c r="BX76" s="125"/>
      <c r="BY76" s="125">
        <v>1539</v>
      </c>
      <c r="BZ76" s="125">
        <v>2</v>
      </c>
      <c r="CA76" s="125">
        <v>0</v>
      </c>
      <c r="CB76" s="125">
        <v>13336</v>
      </c>
      <c r="CC76" s="125">
        <v>59017</v>
      </c>
      <c r="CD76" s="125">
        <v>54394</v>
      </c>
      <c r="CE76" s="125">
        <v>13206</v>
      </c>
      <c r="CF76" s="125">
        <v>0</v>
      </c>
      <c r="CG76" s="125">
        <v>0</v>
      </c>
      <c r="CH76" s="125">
        <v>12</v>
      </c>
      <c r="CI76" s="125">
        <v>191</v>
      </c>
      <c r="CJ76" s="125">
        <v>179</v>
      </c>
      <c r="CK76" s="125"/>
      <c r="CL76" s="125"/>
      <c r="CM76" s="125"/>
      <c r="CN76" s="125"/>
      <c r="CO76" s="125"/>
      <c r="CP76" s="125"/>
      <c r="CQ76" s="125"/>
      <c r="CR76" s="125"/>
      <c r="CS76" s="125"/>
      <c r="CT76" s="125"/>
      <c r="CU76" s="125"/>
      <c r="CV76" s="125"/>
      <c r="CW76" s="125"/>
      <c r="CX76" s="125"/>
      <c r="CY76" s="125" t="s">
        <v>370</v>
      </c>
      <c r="CZ76" s="125" t="s">
        <v>370</v>
      </c>
      <c r="DA76" s="125" t="s">
        <v>370</v>
      </c>
      <c r="DB76" s="125">
        <v>0</v>
      </c>
      <c r="DC76" s="125">
        <v>0</v>
      </c>
      <c r="DD76" s="125">
        <v>0</v>
      </c>
      <c r="DE76">
        <f t="shared" si="19"/>
        <v>522880</v>
      </c>
      <c r="DG76" s="1">
        <f t="shared" si="33"/>
        <v>359684</v>
      </c>
      <c r="DH76" s="1">
        <f t="shared" si="20"/>
        <v>163616</v>
      </c>
      <c r="DI76" s="127">
        <f t="shared" si="21"/>
        <v>523300</v>
      </c>
      <c r="DK76" s="1">
        <f t="shared" si="22"/>
        <v>60735</v>
      </c>
      <c r="DL76" s="1">
        <f t="shared" si="23"/>
        <v>80710</v>
      </c>
      <c r="DM76" s="1">
        <f t="shared" si="24"/>
        <v>12545</v>
      </c>
      <c r="DN76" s="1">
        <f t="shared" si="25"/>
        <v>9117</v>
      </c>
      <c r="DO76" s="1">
        <f t="shared" si="26"/>
        <v>271388</v>
      </c>
      <c r="DP76" s="1">
        <f t="shared" si="27"/>
        <v>68211</v>
      </c>
      <c r="DQ76" s="1">
        <f t="shared" si="34"/>
        <v>0</v>
      </c>
      <c r="DR76" s="1">
        <f t="shared" si="28"/>
        <v>13223</v>
      </c>
      <c r="DS76" s="1">
        <f t="shared" si="29"/>
        <v>0</v>
      </c>
      <c r="DT76" s="1">
        <f t="shared" si="30"/>
        <v>7101</v>
      </c>
      <c r="DU76" s="1"/>
      <c r="DV76" s="1"/>
      <c r="DW76" s="1"/>
      <c r="DX76" s="1">
        <f t="shared" si="35"/>
        <v>523030</v>
      </c>
      <c r="DZ76" s="1">
        <f t="shared" si="36"/>
        <v>0</v>
      </c>
      <c r="EA76" s="1">
        <f t="shared" si="31"/>
        <v>0</v>
      </c>
      <c r="EC76" s="1">
        <f t="shared" si="37"/>
        <v>523030</v>
      </c>
      <c r="ED76" s="1">
        <f t="shared" si="32"/>
        <v>150</v>
      </c>
      <c r="EE76" s="1"/>
    </row>
    <row r="77" spans="1:135" x14ac:dyDescent="0.25">
      <c r="A77" s="124">
        <v>34547</v>
      </c>
      <c r="B77" s="125">
        <v>0</v>
      </c>
      <c r="C77" s="125">
        <v>0</v>
      </c>
      <c r="D77" s="125">
        <v>0</v>
      </c>
      <c r="E77" s="125" t="s">
        <v>370</v>
      </c>
      <c r="F77" s="125" t="s">
        <v>370</v>
      </c>
      <c r="G77" s="125">
        <v>0</v>
      </c>
      <c r="H77" s="125">
        <v>0</v>
      </c>
      <c r="I77" s="125">
        <v>0</v>
      </c>
      <c r="J77" s="125">
        <v>0</v>
      </c>
      <c r="K77" s="125"/>
      <c r="L77" s="125">
        <v>34733</v>
      </c>
      <c r="M77" s="125">
        <v>3420</v>
      </c>
      <c r="N77" s="125"/>
      <c r="O77" s="125">
        <v>7873</v>
      </c>
      <c r="P77" s="125">
        <v>1350</v>
      </c>
      <c r="Q77" s="125">
        <v>1447</v>
      </c>
      <c r="R77" s="125">
        <v>3122</v>
      </c>
      <c r="S77" s="125">
        <v>12545</v>
      </c>
      <c r="T77" s="125"/>
      <c r="U77" s="125"/>
      <c r="V77" s="125">
        <v>8790</v>
      </c>
      <c r="W77" s="125">
        <v>0</v>
      </c>
      <c r="X77" s="125">
        <v>879</v>
      </c>
      <c r="Y77" s="125">
        <v>33</v>
      </c>
      <c r="Z77" s="126"/>
      <c r="AA77" s="125">
        <v>27</v>
      </c>
      <c r="AB77" s="125">
        <v>0</v>
      </c>
      <c r="AC77" s="125">
        <v>4</v>
      </c>
      <c r="AD77" s="125">
        <v>25</v>
      </c>
      <c r="AE77" s="125">
        <v>6</v>
      </c>
      <c r="AF77" s="125">
        <v>53</v>
      </c>
      <c r="AG77" s="125"/>
      <c r="AH77" s="125"/>
      <c r="AI77" s="125">
        <v>37</v>
      </c>
      <c r="AJ77" s="125">
        <v>0</v>
      </c>
      <c r="AK77" s="125">
        <v>69585</v>
      </c>
      <c r="AL77" s="125">
        <v>3434</v>
      </c>
      <c r="AM77" s="125">
        <v>2618</v>
      </c>
      <c r="AN77" s="125">
        <v>43</v>
      </c>
      <c r="AO77" s="125">
        <v>5</v>
      </c>
      <c r="AP77" s="125">
        <v>0</v>
      </c>
      <c r="AQ77" s="125">
        <v>0</v>
      </c>
      <c r="AR77" s="125">
        <v>2085</v>
      </c>
      <c r="AS77" s="125" t="s">
        <v>370</v>
      </c>
      <c r="AT77" s="125">
        <v>756</v>
      </c>
      <c r="AU77" s="125">
        <v>1177</v>
      </c>
      <c r="AV77" s="125">
        <v>1767</v>
      </c>
      <c r="AW77" s="125">
        <v>6441</v>
      </c>
      <c r="AX77" s="126"/>
      <c r="AY77" s="126"/>
      <c r="AZ77" s="126">
        <v>0</v>
      </c>
      <c r="BA77" s="126"/>
      <c r="BB77" s="125">
        <v>1361</v>
      </c>
      <c r="BC77" s="125"/>
      <c r="BD77" s="125">
        <v>57953</v>
      </c>
      <c r="BE77" s="125">
        <v>127486</v>
      </c>
      <c r="BF77" s="125">
        <v>255</v>
      </c>
      <c r="BG77" s="125">
        <v>767</v>
      </c>
      <c r="BH77" s="125">
        <v>989</v>
      </c>
      <c r="BI77" s="125">
        <v>3816</v>
      </c>
      <c r="BJ77" s="125">
        <v>131</v>
      </c>
      <c r="BK77" s="125">
        <v>2748</v>
      </c>
      <c r="BL77" s="125"/>
      <c r="BM77" s="125">
        <v>509</v>
      </c>
      <c r="BN77" s="125">
        <v>101</v>
      </c>
      <c r="BO77" s="125">
        <v>0</v>
      </c>
      <c r="BP77" s="125">
        <v>8090</v>
      </c>
      <c r="BQ77" s="125">
        <v>13217</v>
      </c>
      <c r="BR77" s="125">
        <v>32</v>
      </c>
      <c r="BS77" s="125">
        <v>653</v>
      </c>
      <c r="BT77" s="125">
        <v>792</v>
      </c>
      <c r="BU77" s="125"/>
      <c r="BV77" s="125">
        <v>18</v>
      </c>
      <c r="BW77" s="125">
        <v>282</v>
      </c>
      <c r="BX77" s="125"/>
      <c r="BY77" s="125">
        <v>1473</v>
      </c>
      <c r="BZ77" s="125">
        <v>3</v>
      </c>
      <c r="CA77" s="125">
        <v>0</v>
      </c>
      <c r="CB77" s="125">
        <v>13207</v>
      </c>
      <c r="CC77" s="125">
        <v>58756</v>
      </c>
      <c r="CD77" s="125">
        <v>54875</v>
      </c>
      <c r="CE77" s="125">
        <v>13147</v>
      </c>
      <c r="CF77" s="125">
        <v>0</v>
      </c>
      <c r="CG77" s="125">
        <v>0</v>
      </c>
      <c r="CH77" s="125">
        <v>16</v>
      </c>
      <c r="CI77" s="125">
        <v>192</v>
      </c>
      <c r="CJ77" s="125">
        <v>176</v>
      </c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5"/>
      <c r="CV77" s="125"/>
      <c r="CW77" s="125"/>
      <c r="CX77" s="125"/>
      <c r="CY77" s="125" t="s">
        <v>370</v>
      </c>
      <c r="CZ77" s="125" t="s">
        <v>370</v>
      </c>
      <c r="DA77" s="125" t="s">
        <v>370</v>
      </c>
      <c r="DB77" s="125">
        <v>0</v>
      </c>
      <c r="DC77" s="125">
        <v>0</v>
      </c>
      <c r="DD77" s="125">
        <v>0</v>
      </c>
      <c r="DE77">
        <f t="shared" si="19"/>
        <v>523300</v>
      </c>
      <c r="DG77" s="1">
        <f t="shared" si="33"/>
        <v>360710</v>
      </c>
      <c r="DH77" s="1">
        <f t="shared" si="20"/>
        <v>164591</v>
      </c>
      <c r="DI77" s="127">
        <f t="shared" si="21"/>
        <v>525301</v>
      </c>
      <c r="DK77" s="1">
        <f t="shared" si="22"/>
        <v>60889</v>
      </c>
      <c r="DL77" s="1">
        <f t="shared" si="23"/>
        <v>81219</v>
      </c>
      <c r="DM77" s="1">
        <f t="shared" si="24"/>
        <v>12642</v>
      </c>
      <c r="DN77" s="1">
        <f t="shared" si="25"/>
        <v>9301</v>
      </c>
      <c r="DO77" s="1">
        <f t="shared" si="26"/>
        <v>272221</v>
      </c>
      <c r="DP77" s="1">
        <f t="shared" si="27"/>
        <v>67972</v>
      </c>
      <c r="DQ77" s="1">
        <f t="shared" si="34"/>
        <v>0</v>
      </c>
      <c r="DR77" s="1">
        <f t="shared" si="28"/>
        <v>13295</v>
      </c>
      <c r="DS77" s="1">
        <f t="shared" si="29"/>
        <v>0</v>
      </c>
      <c r="DT77" s="1">
        <f t="shared" si="30"/>
        <v>7138</v>
      </c>
      <c r="DU77" s="1"/>
      <c r="DV77" s="1"/>
      <c r="DW77" s="1"/>
      <c r="DX77" s="1">
        <f t="shared" si="35"/>
        <v>524677</v>
      </c>
      <c r="DZ77" s="1">
        <f t="shared" si="36"/>
        <v>0</v>
      </c>
      <c r="EA77" s="1">
        <f t="shared" si="31"/>
        <v>0</v>
      </c>
      <c r="EC77" s="1">
        <f t="shared" si="37"/>
        <v>524677</v>
      </c>
      <c r="ED77" s="1">
        <f t="shared" si="32"/>
        <v>1377</v>
      </c>
      <c r="EE77" s="1"/>
    </row>
    <row r="78" spans="1:135" x14ac:dyDescent="0.25">
      <c r="A78" s="124">
        <v>34578</v>
      </c>
      <c r="B78" s="125">
        <v>0</v>
      </c>
      <c r="C78" s="125">
        <v>0</v>
      </c>
      <c r="D78" s="125">
        <v>0</v>
      </c>
      <c r="E78" s="125" t="s">
        <v>370</v>
      </c>
      <c r="F78" s="125" t="s">
        <v>370</v>
      </c>
      <c r="G78" s="125">
        <v>0</v>
      </c>
      <c r="H78" s="125">
        <v>0</v>
      </c>
      <c r="I78" s="125">
        <v>0</v>
      </c>
      <c r="J78" s="125">
        <v>0</v>
      </c>
      <c r="K78" s="125"/>
      <c r="L78" s="125">
        <v>34745</v>
      </c>
      <c r="M78" s="125">
        <v>3451</v>
      </c>
      <c r="N78" s="125"/>
      <c r="O78" s="125">
        <v>8029</v>
      </c>
      <c r="P78" s="125">
        <v>1421</v>
      </c>
      <c r="Q78" s="125">
        <v>1467</v>
      </c>
      <c r="R78" s="125">
        <v>3164</v>
      </c>
      <c r="S78" s="125">
        <v>12642</v>
      </c>
      <c r="T78" s="125"/>
      <c r="U78" s="125"/>
      <c r="V78" s="125">
        <v>8612</v>
      </c>
      <c r="W78" s="125">
        <v>0</v>
      </c>
      <c r="X78" s="125">
        <v>869</v>
      </c>
      <c r="Y78" s="125">
        <v>31</v>
      </c>
      <c r="Z78" s="126"/>
      <c r="AA78" s="125">
        <v>26</v>
      </c>
      <c r="AB78" s="125">
        <v>0</v>
      </c>
      <c r="AC78" s="125">
        <v>6</v>
      </c>
      <c r="AD78" s="125">
        <v>27</v>
      </c>
      <c r="AE78" s="125">
        <v>7</v>
      </c>
      <c r="AF78" s="125">
        <v>52</v>
      </c>
      <c r="AG78" s="125"/>
      <c r="AH78" s="125"/>
      <c r="AI78" s="125">
        <v>38</v>
      </c>
      <c r="AJ78" s="125">
        <v>0</v>
      </c>
      <c r="AK78" s="125">
        <v>70094</v>
      </c>
      <c r="AL78" s="125">
        <v>3457</v>
      </c>
      <c r="AM78" s="125">
        <v>2679</v>
      </c>
      <c r="AN78" s="125">
        <v>38</v>
      </c>
      <c r="AO78" s="125">
        <v>3</v>
      </c>
      <c r="AP78" s="125">
        <v>0</v>
      </c>
      <c r="AQ78" s="125">
        <v>0</v>
      </c>
      <c r="AR78" s="125">
        <v>2080</v>
      </c>
      <c r="AS78" s="125" t="s">
        <v>370</v>
      </c>
      <c r="AT78" s="125">
        <v>785</v>
      </c>
      <c r="AU78" s="125">
        <v>1177</v>
      </c>
      <c r="AV78" s="125">
        <v>1770</v>
      </c>
      <c r="AW78" s="125">
        <v>6567</v>
      </c>
      <c r="AX78" s="126"/>
      <c r="AY78" s="126"/>
      <c r="AZ78" s="126">
        <v>0</v>
      </c>
      <c r="BA78" s="126"/>
      <c r="BB78" s="125">
        <v>1354</v>
      </c>
      <c r="BC78" s="125"/>
      <c r="BD78" s="125">
        <v>57831</v>
      </c>
      <c r="BE78" s="125">
        <v>127179</v>
      </c>
      <c r="BF78" s="125">
        <v>253</v>
      </c>
      <c r="BG78" s="125">
        <v>748</v>
      </c>
      <c r="BH78" s="125">
        <v>937</v>
      </c>
      <c r="BI78" s="125">
        <v>3843</v>
      </c>
      <c r="BJ78" s="125">
        <v>129</v>
      </c>
      <c r="BK78" s="125">
        <v>2766</v>
      </c>
      <c r="BL78" s="125"/>
      <c r="BM78" s="125">
        <v>587</v>
      </c>
      <c r="BN78" s="125">
        <v>95</v>
      </c>
      <c r="BO78" s="125">
        <v>0</v>
      </c>
      <c r="BP78" s="125">
        <v>8278</v>
      </c>
      <c r="BQ78" s="125">
        <v>13545</v>
      </c>
      <c r="BR78" s="125">
        <v>31</v>
      </c>
      <c r="BS78" s="125">
        <v>612</v>
      </c>
      <c r="BT78" s="125">
        <v>746</v>
      </c>
      <c r="BU78" s="125"/>
      <c r="BV78" s="125">
        <v>18</v>
      </c>
      <c r="BW78" s="125">
        <v>276</v>
      </c>
      <c r="BX78" s="125"/>
      <c r="BY78" s="125">
        <v>1349</v>
      </c>
      <c r="BZ78" s="125">
        <v>3</v>
      </c>
      <c r="CA78" s="125">
        <v>0</v>
      </c>
      <c r="CB78" s="125">
        <v>13273</v>
      </c>
      <c r="CC78" s="125">
        <v>58811</v>
      </c>
      <c r="CD78" s="125">
        <v>55733</v>
      </c>
      <c r="CE78" s="125">
        <v>13271</v>
      </c>
      <c r="CF78" s="125">
        <v>0</v>
      </c>
      <c r="CG78" s="125">
        <v>0</v>
      </c>
      <c r="CH78" s="125">
        <v>22</v>
      </c>
      <c r="CI78" s="125">
        <v>196</v>
      </c>
      <c r="CJ78" s="125">
        <v>178</v>
      </c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 t="s">
        <v>370</v>
      </c>
      <c r="CZ78" s="125" t="s">
        <v>370</v>
      </c>
      <c r="DA78" s="125" t="s">
        <v>370</v>
      </c>
      <c r="DB78" s="125">
        <v>0</v>
      </c>
      <c r="DC78" s="125">
        <v>0</v>
      </c>
      <c r="DD78" s="125">
        <v>0</v>
      </c>
      <c r="DE78">
        <f t="shared" si="19"/>
        <v>525301</v>
      </c>
      <c r="DG78" s="1">
        <f t="shared" si="33"/>
        <v>361912</v>
      </c>
      <c r="DH78" s="1">
        <f t="shared" si="20"/>
        <v>165623</v>
      </c>
      <c r="DI78" s="127">
        <f t="shared" si="21"/>
        <v>527535</v>
      </c>
      <c r="DK78" s="1">
        <f t="shared" si="22"/>
        <v>60971</v>
      </c>
      <c r="DL78" s="1">
        <f t="shared" si="23"/>
        <v>81759</v>
      </c>
      <c r="DM78" s="1">
        <f t="shared" si="24"/>
        <v>12732</v>
      </c>
      <c r="DN78" s="1">
        <f t="shared" si="25"/>
        <v>9506</v>
      </c>
      <c r="DO78" s="1">
        <f t="shared" si="26"/>
        <v>273512</v>
      </c>
      <c r="DP78" s="1">
        <f t="shared" si="27"/>
        <v>68056</v>
      </c>
      <c r="DQ78" s="1">
        <f t="shared" si="34"/>
        <v>0</v>
      </c>
      <c r="DR78" s="1">
        <f t="shared" si="28"/>
        <v>13203</v>
      </c>
      <c r="DS78" s="1">
        <f t="shared" si="29"/>
        <v>0</v>
      </c>
      <c r="DT78" s="1">
        <f t="shared" si="30"/>
        <v>7167</v>
      </c>
      <c r="DU78" s="1"/>
      <c r="DV78" s="1"/>
      <c r="DW78" s="1"/>
      <c r="DX78" s="1">
        <f t="shared" si="35"/>
        <v>526906</v>
      </c>
      <c r="DZ78" s="1">
        <f t="shared" si="36"/>
        <v>0</v>
      </c>
      <c r="EA78" s="1">
        <f t="shared" si="31"/>
        <v>0</v>
      </c>
      <c r="EC78" s="1">
        <f t="shared" si="37"/>
        <v>526906</v>
      </c>
      <c r="ED78" s="1">
        <f t="shared" si="32"/>
        <v>1605</v>
      </c>
      <c r="EE78" s="1"/>
    </row>
    <row r="79" spans="1:135" x14ac:dyDescent="0.25">
      <c r="A79" s="124">
        <v>34608</v>
      </c>
      <c r="B79" s="125">
        <v>0</v>
      </c>
      <c r="C79" s="125">
        <v>0</v>
      </c>
      <c r="D79" s="125">
        <v>0</v>
      </c>
      <c r="E79" s="125" t="s">
        <v>370</v>
      </c>
      <c r="F79" s="125" t="s">
        <v>370</v>
      </c>
      <c r="G79" s="125">
        <v>0</v>
      </c>
      <c r="H79" s="125">
        <v>0</v>
      </c>
      <c r="I79" s="125">
        <v>0</v>
      </c>
      <c r="J79" s="125">
        <v>0</v>
      </c>
      <c r="K79" s="125"/>
      <c r="L79" s="125">
        <v>34753</v>
      </c>
      <c r="M79" s="125">
        <v>3450</v>
      </c>
      <c r="N79" s="125"/>
      <c r="O79" s="125">
        <v>8039</v>
      </c>
      <c r="P79" s="125">
        <v>1487</v>
      </c>
      <c r="Q79" s="125">
        <v>1451</v>
      </c>
      <c r="R79" s="125">
        <v>3244</v>
      </c>
      <c r="S79" s="125">
        <v>12732</v>
      </c>
      <c r="T79" s="125"/>
      <c r="U79" s="125"/>
      <c r="V79" s="125">
        <v>8547</v>
      </c>
      <c r="W79" s="125">
        <v>0</v>
      </c>
      <c r="X79" s="125">
        <v>870</v>
      </c>
      <c r="Y79" s="125">
        <v>30</v>
      </c>
      <c r="Z79" s="126"/>
      <c r="AA79" s="125">
        <v>27</v>
      </c>
      <c r="AB79" s="125">
        <v>0</v>
      </c>
      <c r="AC79" s="125">
        <v>6</v>
      </c>
      <c r="AD79" s="125">
        <v>28</v>
      </c>
      <c r="AE79" s="125">
        <v>7</v>
      </c>
      <c r="AF79" s="125">
        <v>54</v>
      </c>
      <c r="AG79" s="125"/>
      <c r="AH79" s="125"/>
      <c r="AI79" s="125">
        <v>36</v>
      </c>
      <c r="AJ79" s="125">
        <v>0</v>
      </c>
      <c r="AK79" s="125">
        <v>70722</v>
      </c>
      <c r="AL79" s="125">
        <v>3492</v>
      </c>
      <c r="AM79" s="125">
        <v>2778</v>
      </c>
      <c r="AN79" s="125">
        <v>41</v>
      </c>
      <c r="AO79" s="125">
        <v>3</v>
      </c>
      <c r="AP79" s="125">
        <v>0</v>
      </c>
      <c r="AQ79" s="125">
        <v>0</v>
      </c>
      <c r="AR79" s="125">
        <v>2043</v>
      </c>
      <c r="AS79" s="125" t="s">
        <v>370</v>
      </c>
      <c r="AT79" s="125">
        <v>793</v>
      </c>
      <c r="AU79" s="125">
        <v>1200</v>
      </c>
      <c r="AV79" s="125">
        <v>1777</v>
      </c>
      <c r="AW79" s="125">
        <v>6671</v>
      </c>
      <c r="AX79" s="126"/>
      <c r="AY79" s="126"/>
      <c r="AZ79" s="126">
        <v>0</v>
      </c>
      <c r="BA79" s="126"/>
      <c r="BB79" s="125">
        <v>1342</v>
      </c>
      <c r="BC79" s="125"/>
      <c r="BD79" s="125">
        <v>57559</v>
      </c>
      <c r="BE79" s="125">
        <v>126715</v>
      </c>
      <c r="BF79" s="125">
        <v>251</v>
      </c>
      <c r="BG79" s="125">
        <v>728</v>
      </c>
      <c r="BH79" s="125">
        <v>887</v>
      </c>
      <c r="BI79" s="125">
        <v>3895</v>
      </c>
      <c r="BJ79" s="125">
        <v>119</v>
      </c>
      <c r="BK79" s="125">
        <v>2748</v>
      </c>
      <c r="BL79" s="125"/>
      <c r="BM79" s="125">
        <v>648</v>
      </c>
      <c r="BN79" s="125">
        <v>96</v>
      </c>
      <c r="BO79" s="125">
        <v>0</v>
      </c>
      <c r="BP79" s="125">
        <v>8495</v>
      </c>
      <c r="BQ79" s="125">
        <v>13945</v>
      </c>
      <c r="BR79" s="125">
        <v>32</v>
      </c>
      <c r="BS79" s="125">
        <v>600</v>
      </c>
      <c r="BT79" s="125">
        <v>718</v>
      </c>
      <c r="BU79" s="125"/>
      <c r="BV79" s="125">
        <v>18</v>
      </c>
      <c r="BW79" s="125">
        <v>273</v>
      </c>
      <c r="BX79" s="125"/>
      <c r="BY79" s="125">
        <v>1292</v>
      </c>
      <c r="BZ79" s="125">
        <v>2</v>
      </c>
      <c r="CA79" s="125">
        <v>0</v>
      </c>
      <c r="CB79" s="125">
        <v>13182</v>
      </c>
      <c r="CC79" s="125">
        <v>58957</v>
      </c>
      <c r="CD79" s="125">
        <v>56883</v>
      </c>
      <c r="CE79" s="125">
        <v>13447</v>
      </c>
      <c r="CF79" s="125">
        <v>0</v>
      </c>
      <c r="CG79" s="125">
        <v>0</v>
      </c>
      <c r="CH79" s="125">
        <v>21</v>
      </c>
      <c r="CI79" s="125">
        <v>198</v>
      </c>
      <c r="CJ79" s="125">
        <v>203</v>
      </c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 t="s">
        <v>370</v>
      </c>
      <c r="CZ79" s="125" t="s">
        <v>370</v>
      </c>
      <c r="DA79" s="125" t="s">
        <v>370</v>
      </c>
      <c r="DB79" s="125">
        <v>0</v>
      </c>
      <c r="DC79" s="125">
        <v>0</v>
      </c>
      <c r="DD79" s="125">
        <v>0</v>
      </c>
      <c r="DE79">
        <f t="shared" si="19"/>
        <v>527535</v>
      </c>
      <c r="DG79" s="1">
        <f t="shared" si="33"/>
        <v>362838</v>
      </c>
      <c r="DH79" s="1">
        <f t="shared" si="20"/>
        <v>166330</v>
      </c>
      <c r="DI79" s="127">
        <f t="shared" si="21"/>
        <v>529168</v>
      </c>
      <c r="DK79" s="1">
        <f t="shared" si="22"/>
        <v>60978</v>
      </c>
      <c r="DL79" s="1">
        <f t="shared" si="23"/>
        <v>82414</v>
      </c>
      <c r="DM79" s="1">
        <f t="shared" si="24"/>
        <v>12860</v>
      </c>
      <c r="DN79" s="1">
        <f t="shared" si="25"/>
        <v>9638</v>
      </c>
      <c r="DO79" s="1">
        <f t="shared" si="26"/>
        <v>274781</v>
      </c>
      <c r="DP79" s="1">
        <f t="shared" si="27"/>
        <v>68030</v>
      </c>
      <c r="DQ79" s="1">
        <f t="shared" si="34"/>
        <v>0</v>
      </c>
      <c r="DR79" s="1">
        <f t="shared" si="28"/>
        <v>13019</v>
      </c>
      <c r="DS79" s="1">
        <f t="shared" si="29"/>
        <v>0</v>
      </c>
      <c r="DT79" s="1">
        <f t="shared" si="30"/>
        <v>7280</v>
      </c>
      <c r="DU79" s="1"/>
      <c r="DV79" s="1"/>
      <c r="DW79" s="1"/>
      <c r="DX79" s="1">
        <f t="shared" si="35"/>
        <v>529000</v>
      </c>
      <c r="DZ79" s="1">
        <f t="shared" si="36"/>
        <v>0</v>
      </c>
      <c r="EA79" s="1">
        <f t="shared" si="31"/>
        <v>0</v>
      </c>
      <c r="EC79" s="1">
        <f t="shared" si="37"/>
        <v>529000</v>
      </c>
      <c r="ED79" s="1">
        <f t="shared" si="32"/>
        <v>1465</v>
      </c>
      <c r="EE79" s="1"/>
    </row>
    <row r="80" spans="1:135" x14ac:dyDescent="0.25">
      <c r="A80" s="124">
        <v>34639</v>
      </c>
      <c r="B80" s="125">
        <v>0</v>
      </c>
      <c r="C80" s="125">
        <v>0</v>
      </c>
      <c r="D80" s="125">
        <v>0</v>
      </c>
      <c r="E80" s="125" t="s">
        <v>370</v>
      </c>
      <c r="F80" s="125" t="s">
        <v>370</v>
      </c>
      <c r="G80" s="125">
        <v>0</v>
      </c>
      <c r="H80" s="125">
        <v>0</v>
      </c>
      <c r="I80" s="125">
        <v>0</v>
      </c>
      <c r="J80" s="125">
        <v>0</v>
      </c>
      <c r="K80" s="125"/>
      <c r="L80" s="125">
        <v>34699</v>
      </c>
      <c r="M80" s="125">
        <v>3458</v>
      </c>
      <c r="N80" s="125"/>
      <c r="O80" s="125">
        <v>7889</v>
      </c>
      <c r="P80" s="125">
        <v>1681</v>
      </c>
      <c r="Q80" s="125">
        <v>1471</v>
      </c>
      <c r="R80" s="125">
        <v>3460</v>
      </c>
      <c r="S80" s="125">
        <v>12860</v>
      </c>
      <c r="T80" s="125"/>
      <c r="U80" s="125"/>
      <c r="V80" s="125">
        <v>8320</v>
      </c>
      <c r="W80" s="125">
        <v>0</v>
      </c>
      <c r="X80" s="125">
        <v>858</v>
      </c>
      <c r="Y80" s="125">
        <v>30</v>
      </c>
      <c r="Z80" s="126"/>
      <c r="AA80" s="125">
        <v>26</v>
      </c>
      <c r="AB80" s="125">
        <v>0</v>
      </c>
      <c r="AC80" s="125">
        <v>7</v>
      </c>
      <c r="AD80" s="125">
        <v>28</v>
      </c>
      <c r="AE80" s="125">
        <v>8</v>
      </c>
      <c r="AF80" s="125">
        <v>54</v>
      </c>
      <c r="AG80" s="125"/>
      <c r="AH80" s="125"/>
      <c r="AI80" s="125">
        <v>34</v>
      </c>
      <c r="AJ80" s="125">
        <v>0</v>
      </c>
      <c r="AK80" s="125">
        <v>71207</v>
      </c>
      <c r="AL80" s="125">
        <v>3494</v>
      </c>
      <c r="AM80" s="125">
        <v>2840</v>
      </c>
      <c r="AN80" s="125">
        <v>40</v>
      </c>
      <c r="AO80" s="125">
        <v>1</v>
      </c>
      <c r="AP80" s="125">
        <v>0</v>
      </c>
      <c r="AQ80" s="125">
        <v>0</v>
      </c>
      <c r="AR80" s="125">
        <v>2001</v>
      </c>
      <c r="AS80" s="125" t="s">
        <v>370</v>
      </c>
      <c r="AT80" s="125">
        <v>814</v>
      </c>
      <c r="AU80" s="125">
        <v>1198</v>
      </c>
      <c r="AV80" s="125">
        <v>1789</v>
      </c>
      <c r="AW80" s="125">
        <v>6743</v>
      </c>
      <c r="AX80" s="126"/>
      <c r="AY80" s="126"/>
      <c r="AZ80" s="126">
        <v>0</v>
      </c>
      <c r="BA80" s="126"/>
      <c r="BB80" s="125">
        <v>1320</v>
      </c>
      <c r="BC80" s="125"/>
      <c r="BD80" s="125">
        <v>57125</v>
      </c>
      <c r="BE80" s="125">
        <v>126085</v>
      </c>
      <c r="BF80" s="125">
        <v>251</v>
      </c>
      <c r="BG80" s="125">
        <v>707</v>
      </c>
      <c r="BH80" s="125">
        <v>860</v>
      </c>
      <c r="BI80" s="125">
        <v>4008</v>
      </c>
      <c r="BJ80" s="125">
        <v>109</v>
      </c>
      <c r="BK80" s="125">
        <v>2747</v>
      </c>
      <c r="BL80" s="125"/>
      <c r="BM80" s="125">
        <v>715</v>
      </c>
      <c r="BN80" s="125">
        <v>92</v>
      </c>
      <c r="BO80" s="125">
        <v>0</v>
      </c>
      <c r="BP80" s="125">
        <v>8658</v>
      </c>
      <c r="BQ80" s="125">
        <v>14270</v>
      </c>
      <c r="BR80" s="125">
        <v>32</v>
      </c>
      <c r="BS80" s="125">
        <v>553</v>
      </c>
      <c r="BT80" s="125">
        <v>685</v>
      </c>
      <c r="BU80" s="125"/>
      <c r="BV80" s="125">
        <v>15</v>
      </c>
      <c r="BW80" s="125">
        <v>274</v>
      </c>
      <c r="BX80" s="125"/>
      <c r="BY80" s="125">
        <v>1250</v>
      </c>
      <c r="BZ80" s="125">
        <v>4</v>
      </c>
      <c r="CA80" s="125">
        <v>0</v>
      </c>
      <c r="CB80" s="125">
        <v>13003</v>
      </c>
      <c r="CC80" s="125">
        <v>59294</v>
      </c>
      <c r="CD80" s="125">
        <v>58162</v>
      </c>
      <c r="CE80" s="125">
        <v>13540</v>
      </c>
      <c r="CF80" s="125">
        <v>0</v>
      </c>
      <c r="CG80" s="125">
        <v>0</v>
      </c>
      <c r="CH80" s="125">
        <v>16</v>
      </c>
      <c r="CI80" s="125">
        <v>185</v>
      </c>
      <c r="CJ80" s="125">
        <v>198</v>
      </c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25"/>
      <c r="CW80" s="125"/>
      <c r="CX80" s="125"/>
      <c r="CY80" s="125" t="s">
        <v>370</v>
      </c>
      <c r="CZ80" s="125" t="s">
        <v>370</v>
      </c>
      <c r="DA80" s="125" t="s">
        <v>370</v>
      </c>
      <c r="DB80" s="125">
        <v>0</v>
      </c>
      <c r="DC80" s="125">
        <v>0</v>
      </c>
      <c r="DD80" s="125">
        <v>0</v>
      </c>
      <c r="DE80">
        <f t="shared" si="19"/>
        <v>529168</v>
      </c>
      <c r="DG80" s="1">
        <f t="shared" si="33"/>
        <v>366032</v>
      </c>
      <c r="DH80" s="1">
        <f t="shared" si="20"/>
        <v>167430</v>
      </c>
      <c r="DI80" s="127">
        <f t="shared" si="21"/>
        <v>533462</v>
      </c>
      <c r="DK80" s="1">
        <f t="shared" si="22"/>
        <v>60974</v>
      </c>
      <c r="DL80" s="1">
        <f t="shared" si="23"/>
        <v>82854</v>
      </c>
      <c r="DM80" s="1">
        <f t="shared" si="24"/>
        <v>12984</v>
      </c>
      <c r="DN80" s="1">
        <f t="shared" si="25"/>
        <v>9872</v>
      </c>
      <c r="DO80" s="1">
        <f t="shared" si="26"/>
        <v>277552</v>
      </c>
      <c r="DP80" s="1">
        <f t="shared" si="27"/>
        <v>67758</v>
      </c>
      <c r="DQ80" s="1">
        <f t="shared" si="34"/>
        <v>0</v>
      </c>
      <c r="DR80" s="1">
        <f t="shared" si="28"/>
        <v>12979</v>
      </c>
      <c r="DS80" s="1">
        <f t="shared" si="29"/>
        <v>0</v>
      </c>
      <c r="DT80" s="1">
        <f t="shared" si="30"/>
        <v>7313</v>
      </c>
      <c r="DU80" s="1"/>
      <c r="DV80" s="1"/>
      <c r="DW80" s="1"/>
      <c r="DX80" s="1">
        <f t="shared" si="35"/>
        <v>532286</v>
      </c>
      <c r="DZ80" s="1">
        <f t="shared" si="36"/>
        <v>0</v>
      </c>
      <c r="EA80" s="1">
        <f t="shared" si="31"/>
        <v>0</v>
      </c>
      <c r="EC80" s="1">
        <f t="shared" si="37"/>
        <v>532286</v>
      </c>
      <c r="ED80" s="1">
        <f t="shared" si="32"/>
        <v>3118</v>
      </c>
      <c r="EE80" s="1"/>
    </row>
    <row r="81" spans="1:135" x14ac:dyDescent="0.25">
      <c r="A81" s="124">
        <v>34669</v>
      </c>
      <c r="B81" s="125">
        <v>0</v>
      </c>
      <c r="C81" s="125">
        <v>0</v>
      </c>
      <c r="D81" s="125">
        <v>0</v>
      </c>
      <c r="E81" s="125" t="s">
        <v>370</v>
      </c>
      <c r="F81" s="125" t="s">
        <v>370</v>
      </c>
      <c r="G81" s="125">
        <v>0</v>
      </c>
      <c r="H81" s="125">
        <v>0</v>
      </c>
      <c r="I81" s="125">
        <v>0</v>
      </c>
      <c r="J81" s="125">
        <v>0</v>
      </c>
      <c r="K81" s="125"/>
      <c r="L81" s="125">
        <v>34657</v>
      </c>
      <c r="M81" s="125">
        <v>3468</v>
      </c>
      <c r="N81" s="125"/>
      <c r="O81" s="125">
        <v>7853</v>
      </c>
      <c r="P81" s="125">
        <v>1742</v>
      </c>
      <c r="Q81" s="125">
        <v>1490</v>
      </c>
      <c r="R81" s="125">
        <v>3551</v>
      </c>
      <c r="S81" s="125">
        <v>12984</v>
      </c>
      <c r="T81" s="125"/>
      <c r="U81" s="125"/>
      <c r="V81" s="125">
        <v>8213</v>
      </c>
      <c r="W81" s="125">
        <v>0</v>
      </c>
      <c r="X81" s="125">
        <v>858</v>
      </c>
      <c r="Y81" s="125">
        <v>30</v>
      </c>
      <c r="Z81" s="126"/>
      <c r="AA81" s="125">
        <v>27</v>
      </c>
      <c r="AB81" s="125">
        <v>0</v>
      </c>
      <c r="AC81" s="125">
        <v>6</v>
      </c>
      <c r="AD81" s="125">
        <v>28</v>
      </c>
      <c r="AE81" s="125">
        <v>7</v>
      </c>
      <c r="AF81" s="125">
        <v>52</v>
      </c>
      <c r="AG81" s="125"/>
      <c r="AH81" s="125"/>
      <c r="AI81" s="125">
        <v>34</v>
      </c>
      <c r="AJ81" s="125">
        <v>0</v>
      </c>
      <c r="AK81" s="125">
        <v>71902</v>
      </c>
      <c r="AL81" s="125">
        <v>3511</v>
      </c>
      <c r="AM81" s="125">
        <v>2945</v>
      </c>
      <c r="AN81" s="125">
        <v>38</v>
      </c>
      <c r="AO81" s="125">
        <v>2</v>
      </c>
      <c r="AP81" s="125">
        <v>0</v>
      </c>
      <c r="AQ81" s="125">
        <v>0</v>
      </c>
      <c r="AR81" s="125">
        <v>1993</v>
      </c>
      <c r="AS81" s="125" t="s">
        <v>370</v>
      </c>
      <c r="AT81" s="125">
        <v>818</v>
      </c>
      <c r="AU81" s="125">
        <v>1202</v>
      </c>
      <c r="AV81" s="125">
        <v>1822</v>
      </c>
      <c r="AW81" s="125">
        <v>6873</v>
      </c>
      <c r="AX81" s="126"/>
      <c r="AY81" s="126"/>
      <c r="AZ81" s="126">
        <v>0</v>
      </c>
      <c r="BA81" s="126"/>
      <c r="BB81" s="125">
        <v>1324</v>
      </c>
      <c r="BC81" s="125"/>
      <c r="BD81" s="125">
        <v>57553</v>
      </c>
      <c r="BE81" s="125">
        <v>126860</v>
      </c>
      <c r="BF81" s="125">
        <v>250</v>
      </c>
      <c r="BG81" s="125">
        <v>758</v>
      </c>
      <c r="BH81" s="125">
        <v>902</v>
      </c>
      <c r="BI81" s="125">
        <v>4046</v>
      </c>
      <c r="BJ81" s="125">
        <v>109</v>
      </c>
      <c r="BK81" s="125">
        <v>2745</v>
      </c>
      <c r="BL81" s="125"/>
      <c r="BM81" s="125">
        <v>709</v>
      </c>
      <c r="BN81" s="125">
        <v>92</v>
      </c>
      <c r="BO81" s="125">
        <v>0</v>
      </c>
      <c r="BP81" s="125">
        <v>8633</v>
      </c>
      <c r="BQ81" s="125">
        <v>14211</v>
      </c>
      <c r="BR81" s="125">
        <v>28</v>
      </c>
      <c r="BS81" s="125">
        <v>535</v>
      </c>
      <c r="BT81" s="125">
        <v>647</v>
      </c>
      <c r="BU81" s="125"/>
      <c r="BV81" s="125">
        <v>13</v>
      </c>
      <c r="BW81" s="125">
        <v>272</v>
      </c>
      <c r="BX81" s="125"/>
      <c r="BY81" s="125">
        <v>1186</v>
      </c>
      <c r="BZ81" s="125">
        <v>4</v>
      </c>
      <c r="CA81" s="125">
        <v>0</v>
      </c>
      <c r="CB81" s="125">
        <v>12962</v>
      </c>
      <c r="CC81" s="125">
        <v>59860</v>
      </c>
      <c r="CD81" s="125">
        <v>59544</v>
      </c>
      <c r="CE81" s="125">
        <v>13707</v>
      </c>
      <c r="CF81" s="125">
        <v>0</v>
      </c>
      <c r="CG81" s="125">
        <v>0</v>
      </c>
      <c r="CH81" s="125">
        <v>17</v>
      </c>
      <c r="CI81" s="125">
        <v>180</v>
      </c>
      <c r="CJ81" s="125">
        <v>209</v>
      </c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 t="s">
        <v>370</v>
      </c>
      <c r="CZ81" s="125" t="s">
        <v>370</v>
      </c>
      <c r="DA81" s="125" t="s">
        <v>370</v>
      </c>
      <c r="DB81" s="125">
        <v>0</v>
      </c>
      <c r="DC81" s="125">
        <v>0</v>
      </c>
      <c r="DD81" s="125">
        <v>0</v>
      </c>
      <c r="DE81">
        <f t="shared" si="19"/>
        <v>533462</v>
      </c>
      <c r="DG81" s="1">
        <f t="shared" si="33"/>
        <v>366474</v>
      </c>
      <c r="DH81" s="1">
        <f t="shared" si="20"/>
        <v>168086</v>
      </c>
      <c r="DI81" s="127">
        <f t="shared" si="21"/>
        <v>534560</v>
      </c>
      <c r="DK81" s="1">
        <f t="shared" si="22"/>
        <v>60919</v>
      </c>
      <c r="DL81" s="1">
        <f t="shared" si="23"/>
        <v>83600</v>
      </c>
      <c r="DM81" s="1">
        <f t="shared" si="24"/>
        <v>13038</v>
      </c>
      <c r="DN81" s="1">
        <f t="shared" si="25"/>
        <v>10004</v>
      </c>
      <c r="DO81" s="1">
        <f t="shared" si="26"/>
        <v>278375</v>
      </c>
      <c r="DP81" s="1">
        <f t="shared" si="27"/>
        <v>68188</v>
      </c>
      <c r="DQ81" s="1">
        <f t="shared" si="34"/>
        <v>0</v>
      </c>
      <c r="DR81" s="1">
        <f t="shared" si="28"/>
        <v>12709</v>
      </c>
      <c r="DS81" s="1">
        <f t="shared" si="29"/>
        <v>0</v>
      </c>
      <c r="DT81" s="1">
        <f t="shared" si="30"/>
        <v>7340</v>
      </c>
      <c r="DU81" s="1"/>
      <c r="DV81" s="1"/>
      <c r="DW81" s="1"/>
      <c r="DX81" s="1">
        <f t="shared" si="35"/>
        <v>534173</v>
      </c>
      <c r="DZ81" s="1">
        <f t="shared" si="36"/>
        <v>0</v>
      </c>
      <c r="EA81" s="1">
        <f t="shared" si="31"/>
        <v>0</v>
      </c>
      <c r="EC81" s="1">
        <f t="shared" si="37"/>
        <v>534173</v>
      </c>
      <c r="ED81" s="1">
        <f t="shared" si="32"/>
        <v>711</v>
      </c>
      <c r="EE81" s="1"/>
    </row>
    <row r="82" spans="1:135" x14ac:dyDescent="0.25">
      <c r="A82" s="124">
        <v>34700</v>
      </c>
      <c r="B82" s="125">
        <v>0</v>
      </c>
      <c r="C82" s="125">
        <v>0</v>
      </c>
      <c r="D82" s="125">
        <v>0</v>
      </c>
      <c r="E82" s="125" t="s">
        <v>370</v>
      </c>
      <c r="F82" s="125" t="s">
        <v>370</v>
      </c>
      <c r="G82" s="125">
        <v>0</v>
      </c>
      <c r="H82" s="125">
        <v>0</v>
      </c>
      <c r="I82" s="125">
        <v>0</v>
      </c>
      <c r="J82" s="125">
        <v>0</v>
      </c>
      <c r="K82" s="125"/>
      <c r="L82" s="125">
        <v>34661</v>
      </c>
      <c r="M82" s="125">
        <v>3462</v>
      </c>
      <c r="N82" s="125"/>
      <c r="O82" s="125">
        <v>7773</v>
      </c>
      <c r="P82" s="125">
        <v>1797</v>
      </c>
      <c r="Q82" s="125">
        <v>1483</v>
      </c>
      <c r="R82" s="125">
        <v>3612</v>
      </c>
      <c r="S82" s="125">
        <v>13038</v>
      </c>
      <c r="T82" s="125"/>
      <c r="U82" s="125"/>
      <c r="V82" s="125">
        <v>8131</v>
      </c>
      <c r="W82" s="125">
        <v>0</v>
      </c>
      <c r="X82" s="125">
        <v>855</v>
      </c>
      <c r="Y82" s="125">
        <v>29</v>
      </c>
      <c r="Z82" s="126"/>
      <c r="AA82" s="125">
        <v>27</v>
      </c>
      <c r="AB82" s="125">
        <v>0</v>
      </c>
      <c r="AC82" s="125">
        <v>7</v>
      </c>
      <c r="AD82" s="125">
        <v>27</v>
      </c>
      <c r="AE82" s="125">
        <v>9</v>
      </c>
      <c r="AF82" s="125">
        <v>54</v>
      </c>
      <c r="AG82" s="125"/>
      <c r="AH82" s="125"/>
      <c r="AI82" s="125">
        <v>34</v>
      </c>
      <c r="AJ82" s="125">
        <v>0</v>
      </c>
      <c r="AK82" s="125">
        <v>72363</v>
      </c>
      <c r="AL82" s="125">
        <v>3536</v>
      </c>
      <c r="AM82" s="125">
        <v>3010</v>
      </c>
      <c r="AN82" s="125">
        <v>36</v>
      </c>
      <c r="AO82" s="125">
        <v>2</v>
      </c>
      <c r="AP82" s="125">
        <v>0</v>
      </c>
      <c r="AQ82" s="125">
        <v>0</v>
      </c>
      <c r="AR82" s="125">
        <v>2010</v>
      </c>
      <c r="AS82" s="125" t="s">
        <v>370</v>
      </c>
      <c r="AT82" s="125">
        <v>836</v>
      </c>
      <c r="AU82" s="125">
        <v>1213</v>
      </c>
      <c r="AV82" s="125">
        <v>1835</v>
      </c>
      <c r="AW82" s="125">
        <v>6938</v>
      </c>
      <c r="AX82" s="126"/>
      <c r="AY82" s="126"/>
      <c r="AZ82" s="126">
        <v>0</v>
      </c>
      <c r="BA82" s="126"/>
      <c r="BB82" s="125">
        <v>1308</v>
      </c>
      <c r="BC82" s="125"/>
      <c r="BD82" s="125">
        <v>57575</v>
      </c>
      <c r="BE82" s="125">
        <v>126997</v>
      </c>
      <c r="BF82" s="125">
        <v>251</v>
      </c>
      <c r="BG82" s="125">
        <v>748</v>
      </c>
      <c r="BH82" s="125">
        <v>891</v>
      </c>
      <c r="BI82" s="125">
        <v>4098</v>
      </c>
      <c r="BJ82" s="125">
        <v>106</v>
      </c>
      <c r="BK82" s="125">
        <v>2732</v>
      </c>
      <c r="BL82" s="125"/>
      <c r="BM82" s="125">
        <v>658</v>
      </c>
      <c r="BN82" s="125">
        <v>83</v>
      </c>
      <c r="BO82" s="125">
        <v>0</v>
      </c>
      <c r="BP82" s="125">
        <v>8556</v>
      </c>
      <c r="BQ82" s="125">
        <v>14027</v>
      </c>
      <c r="BR82" s="125">
        <v>29</v>
      </c>
      <c r="BS82" s="125">
        <v>513</v>
      </c>
      <c r="BT82" s="125">
        <v>613</v>
      </c>
      <c r="BU82" s="125"/>
      <c r="BV82" s="125">
        <v>14</v>
      </c>
      <c r="BW82" s="125">
        <v>259</v>
      </c>
      <c r="BX82" s="125"/>
      <c r="BY82" s="125">
        <v>1122</v>
      </c>
      <c r="BZ82" s="125">
        <v>4</v>
      </c>
      <c r="CA82" s="125">
        <v>0</v>
      </c>
      <c r="CB82" s="125">
        <v>12694</v>
      </c>
      <c r="CC82" s="125">
        <v>59763</v>
      </c>
      <c r="CD82" s="125">
        <v>60646</v>
      </c>
      <c r="CE82" s="125">
        <v>13693</v>
      </c>
      <c r="CF82" s="125">
        <v>0</v>
      </c>
      <c r="CG82" s="125">
        <v>0</v>
      </c>
      <c r="CH82" s="125">
        <v>15</v>
      </c>
      <c r="CI82" s="125">
        <v>178</v>
      </c>
      <c r="CJ82" s="125">
        <v>209</v>
      </c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 t="s">
        <v>370</v>
      </c>
      <c r="CZ82" s="125" t="s">
        <v>370</v>
      </c>
      <c r="DA82" s="125" t="s">
        <v>370</v>
      </c>
      <c r="DB82" s="125">
        <v>0</v>
      </c>
      <c r="DC82" s="125">
        <v>0</v>
      </c>
      <c r="DD82" s="125">
        <v>0</v>
      </c>
      <c r="DE82">
        <f t="shared" si="19"/>
        <v>534560</v>
      </c>
      <c r="DG82" s="1">
        <f t="shared" si="33"/>
        <v>366504</v>
      </c>
      <c r="DH82" s="1">
        <f t="shared" si="20"/>
        <v>168562</v>
      </c>
      <c r="DI82" s="127">
        <f t="shared" si="21"/>
        <v>535066</v>
      </c>
      <c r="DK82" s="1">
        <f t="shared" si="22"/>
        <v>60653</v>
      </c>
      <c r="DL82" s="1">
        <f t="shared" si="23"/>
        <v>84125</v>
      </c>
      <c r="DM82" s="1">
        <f t="shared" si="24"/>
        <v>13103</v>
      </c>
      <c r="DN82" s="1">
        <f t="shared" si="25"/>
        <v>10104</v>
      </c>
      <c r="DO82" s="1">
        <f t="shared" si="26"/>
        <v>278914</v>
      </c>
      <c r="DP82" s="1">
        <f t="shared" si="27"/>
        <v>68050</v>
      </c>
      <c r="DQ82" s="1">
        <f t="shared" si="34"/>
        <v>0</v>
      </c>
      <c r="DR82" s="1">
        <f t="shared" si="28"/>
        <v>12826</v>
      </c>
      <c r="DS82" s="1">
        <f t="shared" si="29"/>
        <v>0</v>
      </c>
      <c r="DT82" s="1">
        <f t="shared" si="30"/>
        <v>7423</v>
      </c>
      <c r="DU82" s="1"/>
      <c r="DV82" s="1"/>
      <c r="DW82" s="1"/>
      <c r="DX82" s="1">
        <f t="shared" si="35"/>
        <v>535198</v>
      </c>
      <c r="DZ82" s="1">
        <f t="shared" si="36"/>
        <v>0</v>
      </c>
      <c r="EA82" s="1">
        <f t="shared" si="31"/>
        <v>0</v>
      </c>
      <c r="EC82" s="1">
        <f t="shared" si="37"/>
        <v>535198</v>
      </c>
      <c r="ED82" s="1">
        <f t="shared" si="32"/>
        <v>638</v>
      </c>
      <c r="EE82" s="1"/>
    </row>
    <row r="83" spans="1:135" x14ac:dyDescent="0.25">
      <c r="A83" s="124">
        <v>34731</v>
      </c>
      <c r="B83" s="125">
        <v>0</v>
      </c>
      <c r="C83" s="125">
        <v>0</v>
      </c>
      <c r="D83" s="125">
        <v>0</v>
      </c>
      <c r="E83" s="125" t="s">
        <v>370</v>
      </c>
      <c r="F83" s="125" t="s">
        <v>370</v>
      </c>
      <c r="G83" s="125">
        <v>0</v>
      </c>
      <c r="H83" s="125">
        <v>0</v>
      </c>
      <c r="I83" s="125">
        <v>0</v>
      </c>
      <c r="J83" s="125">
        <v>0</v>
      </c>
      <c r="K83" s="125"/>
      <c r="L83" s="125">
        <v>34560</v>
      </c>
      <c r="M83" s="125">
        <v>3427</v>
      </c>
      <c r="N83" s="125"/>
      <c r="O83" s="125">
        <v>7640</v>
      </c>
      <c r="P83" s="125">
        <v>1873</v>
      </c>
      <c r="Q83" s="125">
        <v>1507</v>
      </c>
      <c r="R83" s="125">
        <v>3688</v>
      </c>
      <c r="S83" s="125">
        <v>13103</v>
      </c>
      <c r="T83" s="125"/>
      <c r="U83" s="125"/>
      <c r="V83" s="125">
        <v>7958</v>
      </c>
      <c r="W83" s="125">
        <v>0</v>
      </c>
      <c r="X83" s="125">
        <v>846</v>
      </c>
      <c r="Y83" s="125">
        <v>29</v>
      </c>
      <c r="Z83" s="126"/>
      <c r="AA83" s="125">
        <v>32</v>
      </c>
      <c r="AB83" s="125">
        <v>0</v>
      </c>
      <c r="AC83" s="125">
        <v>8</v>
      </c>
      <c r="AD83" s="125">
        <v>27</v>
      </c>
      <c r="AE83" s="125">
        <v>11</v>
      </c>
      <c r="AF83" s="125">
        <v>55</v>
      </c>
      <c r="AG83" s="125"/>
      <c r="AH83" s="125"/>
      <c r="AI83" s="125">
        <v>34</v>
      </c>
      <c r="AJ83" s="125">
        <v>0</v>
      </c>
      <c r="AK83" s="125">
        <v>72894</v>
      </c>
      <c r="AL83" s="125">
        <v>3536</v>
      </c>
      <c r="AM83" s="125">
        <v>3059</v>
      </c>
      <c r="AN83" s="125">
        <v>34</v>
      </c>
      <c r="AO83" s="125">
        <v>1</v>
      </c>
      <c r="AP83" s="125">
        <v>0</v>
      </c>
      <c r="AQ83" s="125">
        <v>0</v>
      </c>
      <c r="AR83" s="125">
        <v>2011</v>
      </c>
      <c r="AS83" s="125" t="s">
        <v>370</v>
      </c>
      <c r="AT83" s="125">
        <v>853</v>
      </c>
      <c r="AU83" s="125">
        <v>1225</v>
      </c>
      <c r="AV83" s="125">
        <v>1869</v>
      </c>
      <c r="AW83" s="125">
        <v>6989</v>
      </c>
      <c r="AX83" s="126"/>
      <c r="AY83" s="126"/>
      <c r="AZ83" s="126">
        <v>0</v>
      </c>
      <c r="BA83" s="126"/>
      <c r="BB83" s="125">
        <v>1293</v>
      </c>
      <c r="BC83" s="125"/>
      <c r="BD83" s="125">
        <v>57061</v>
      </c>
      <c r="BE83" s="125">
        <v>126425</v>
      </c>
      <c r="BF83" s="125">
        <v>244</v>
      </c>
      <c r="BG83" s="125">
        <v>753</v>
      </c>
      <c r="BH83" s="125">
        <v>922</v>
      </c>
      <c r="BI83" s="125">
        <v>4173</v>
      </c>
      <c r="BJ83" s="125">
        <v>91</v>
      </c>
      <c r="BK83" s="125">
        <v>2754</v>
      </c>
      <c r="BL83" s="125"/>
      <c r="BM83" s="125">
        <v>635</v>
      </c>
      <c r="BN83" s="125">
        <v>82</v>
      </c>
      <c r="BO83" s="125">
        <v>0</v>
      </c>
      <c r="BP83" s="125">
        <v>8376</v>
      </c>
      <c r="BQ83" s="125">
        <v>13722</v>
      </c>
      <c r="BR83" s="125">
        <v>27</v>
      </c>
      <c r="BS83" s="125">
        <v>516</v>
      </c>
      <c r="BT83" s="125">
        <v>608</v>
      </c>
      <c r="BU83" s="125"/>
      <c r="BV83" s="125">
        <v>10</v>
      </c>
      <c r="BW83" s="125">
        <v>252</v>
      </c>
      <c r="BX83" s="125"/>
      <c r="BY83" s="125">
        <v>1075</v>
      </c>
      <c r="BZ83" s="125">
        <v>3</v>
      </c>
      <c r="CA83" s="125">
        <v>0</v>
      </c>
      <c r="CB83" s="125">
        <v>12807</v>
      </c>
      <c r="CC83" s="125">
        <v>60078</v>
      </c>
      <c r="CD83" s="125">
        <v>61690</v>
      </c>
      <c r="CE83" s="125">
        <v>13780</v>
      </c>
      <c r="CF83" s="125">
        <v>0</v>
      </c>
      <c r="CG83" s="125">
        <v>0</v>
      </c>
      <c r="CH83" s="125">
        <v>19</v>
      </c>
      <c r="CI83" s="125">
        <v>188</v>
      </c>
      <c r="CJ83" s="125">
        <v>213</v>
      </c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 t="s">
        <v>370</v>
      </c>
      <c r="CZ83" s="125" t="s">
        <v>370</v>
      </c>
      <c r="DA83" s="125" t="s">
        <v>370</v>
      </c>
      <c r="DB83" s="125">
        <v>0</v>
      </c>
      <c r="DC83" s="125">
        <v>0</v>
      </c>
      <c r="DD83" s="125">
        <v>0</v>
      </c>
      <c r="DE83">
        <f t="shared" si="19"/>
        <v>535066</v>
      </c>
      <c r="DG83" s="1">
        <f t="shared" si="33"/>
        <v>366406</v>
      </c>
      <c r="DH83" s="1">
        <f t="shared" si="20"/>
        <v>169367</v>
      </c>
      <c r="DI83" s="127">
        <f t="shared" si="21"/>
        <v>535773</v>
      </c>
      <c r="DK83" s="1">
        <f t="shared" si="22"/>
        <v>60567</v>
      </c>
      <c r="DL83" s="1">
        <f t="shared" si="23"/>
        <v>84702</v>
      </c>
      <c r="DM83" s="1">
        <f t="shared" si="24"/>
        <v>13195</v>
      </c>
      <c r="DN83" s="1">
        <f t="shared" si="25"/>
        <v>10308</v>
      </c>
      <c r="DO83" s="1">
        <f t="shared" si="26"/>
        <v>279362</v>
      </c>
      <c r="DP83" s="1">
        <f t="shared" si="27"/>
        <v>67341</v>
      </c>
      <c r="DQ83" s="1">
        <f t="shared" si="34"/>
        <v>0</v>
      </c>
      <c r="DR83" s="1">
        <f t="shared" si="28"/>
        <v>12804</v>
      </c>
      <c r="DS83" s="1">
        <f t="shared" si="29"/>
        <v>0</v>
      </c>
      <c r="DT83" s="1">
        <f t="shared" si="30"/>
        <v>7456</v>
      </c>
      <c r="DU83" s="1"/>
      <c r="DV83" s="1"/>
      <c r="DW83" s="1"/>
      <c r="DX83" s="1">
        <f t="shared" si="35"/>
        <v>535735</v>
      </c>
      <c r="DZ83" s="1">
        <f t="shared" si="36"/>
        <v>0</v>
      </c>
      <c r="EA83" s="1">
        <f t="shared" si="31"/>
        <v>0</v>
      </c>
      <c r="EC83" s="1">
        <f t="shared" si="37"/>
        <v>535735</v>
      </c>
      <c r="ED83" s="1">
        <f t="shared" si="32"/>
        <v>669</v>
      </c>
      <c r="EE83" s="1"/>
    </row>
    <row r="84" spans="1:135" x14ac:dyDescent="0.25">
      <c r="A84" s="124">
        <v>34759</v>
      </c>
      <c r="B84" s="125">
        <v>0</v>
      </c>
      <c r="C84" s="125">
        <v>0</v>
      </c>
      <c r="D84" s="125">
        <v>0</v>
      </c>
      <c r="E84" s="125" t="s">
        <v>370</v>
      </c>
      <c r="F84" s="125" t="s">
        <v>370</v>
      </c>
      <c r="G84" s="125">
        <v>0</v>
      </c>
      <c r="H84" s="125">
        <v>0</v>
      </c>
      <c r="I84" s="125">
        <v>0</v>
      </c>
      <c r="J84" s="125">
        <v>0</v>
      </c>
      <c r="K84" s="125"/>
      <c r="L84" s="125">
        <v>34520</v>
      </c>
      <c r="M84" s="125">
        <v>3401</v>
      </c>
      <c r="N84" s="125"/>
      <c r="O84" s="125">
        <v>7517</v>
      </c>
      <c r="P84" s="125">
        <v>2013</v>
      </c>
      <c r="Q84" s="125">
        <v>1498</v>
      </c>
      <c r="R84" s="125">
        <v>3927</v>
      </c>
      <c r="S84" s="125">
        <v>13195</v>
      </c>
      <c r="T84" s="125"/>
      <c r="U84" s="125"/>
      <c r="V84" s="125">
        <v>7691</v>
      </c>
      <c r="W84" s="125">
        <v>0</v>
      </c>
      <c r="X84" s="125">
        <v>842</v>
      </c>
      <c r="Y84" s="125">
        <v>30</v>
      </c>
      <c r="Z84" s="126"/>
      <c r="AA84" s="125">
        <v>34</v>
      </c>
      <c r="AB84" s="125">
        <v>0</v>
      </c>
      <c r="AC84" s="125">
        <v>8</v>
      </c>
      <c r="AD84" s="125">
        <v>28</v>
      </c>
      <c r="AE84" s="125">
        <v>11</v>
      </c>
      <c r="AF84" s="125">
        <v>56</v>
      </c>
      <c r="AG84" s="125"/>
      <c r="AH84" s="125"/>
      <c r="AI84" s="125">
        <v>31</v>
      </c>
      <c r="AJ84" s="125">
        <v>0</v>
      </c>
      <c r="AK84" s="125">
        <v>73436</v>
      </c>
      <c r="AL84" s="125">
        <v>3508</v>
      </c>
      <c r="AM84" s="125">
        <v>3199</v>
      </c>
      <c r="AN84" s="125">
        <v>37</v>
      </c>
      <c r="AO84" s="125">
        <v>2</v>
      </c>
      <c r="AP84" s="125">
        <v>0</v>
      </c>
      <c r="AQ84" s="125">
        <v>0</v>
      </c>
      <c r="AR84" s="125">
        <v>2032</v>
      </c>
      <c r="AS84" s="125" t="s">
        <v>370</v>
      </c>
      <c r="AT84" s="125">
        <v>893</v>
      </c>
      <c r="AU84" s="125">
        <v>1234</v>
      </c>
      <c r="AV84" s="125">
        <v>1910</v>
      </c>
      <c r="AW84" s="125">
        <v>7051</v>
      </c>
      <c r="AX84" s="126"/>
      <c r="AY84" s="126"/>
      <c r="AZ84" s="126">
        <v>0</v>
      </c>
      <c r="BA84" s="126"/>
      <c r="BB84" s="125">
        <v>1263</v>
      </c>
      <c r="BC84" s="125"/>
      <c r="BD84" s="125">
        <v>56758</v>
      </c>
      <c r="BE84" s="125">
        <v>125842</v>
      </c>
      <c r="BF84" s="125">
        <v>246</v>
      </c>
      <c r="BG84" s="125">
        <v>723</v>
      </c>
      <c r="BH84" s="125">
        <v>911</v>
      </c>
      <c r="BI84" s="125">
        <v>4224</v>
      </c>
      <c r="BJ84" s="125">
        <v>90</v>
      </c>
      <c r="BK84" s="125">
        <v>2739</v>
      </c>
      <c r="BL84" s="125"/>
      <c r="BM84" s="125">
        <v>575</v>
      </c>
      <c r="BN84" s="125">
        <v>80</v>
      </c>
      <c r="BO84" s="125">
        <v>0</v>
      </c>
      <c r="BP84" s="125">
        <v>8235</v>
      </c>
      <c r="BQ84" s="125">
        <v>13423</v>
      </c>
      <c r="BR84" s="125">
        <v>28</v>
      </c>
      <c r="BS84" s="125">
        <v>493</v>
      </c>
      <c r="BT84" s="125">
        <v>599</v>
      </c>
      <c r="BU84" s="125"/>
      <c r="BV84" s="125">
        <v>10</v>
      </c>
      <c r="BW84" s="125">
        <v>247</v>
      </c>
      <c r="BX84" s="125"/>
      <c r="BY84" s="125">
        <v>1022</v>
      </c>
      <c r="BZ84" s="125">
        <v>3</v>
      </c>
      <c r="CA84" s="125">
        <v>0</v>
      </c>
      <c r="CB84" s="125">
        <v>12781</v>
      </c>
      <c r="CC84" s="125">
        <v>60366</v>
      </c>
      <c r="CD84" s="125">
        <v>62667</v>
      </c>
      <c r="CE84" s="125">
        <v>13922</v>
      </c>
      <c r="CF84" s="125">
        <v>0</v>
      </c>
      <c r="CG84" s="125">
        <v>0</v>
      </c>
      <c r="CH84" s="125">
        <v>23</v>
      </c>
      <c r="CI84" s="125">
        <v>194</v>
      </c>
      <c r="CJ84" s="125">
        <v>205</v>
      </c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 t="s">
        <v>370</v>
      </c>
      <c r="CZ84" s="125" t="s">
        <v>370</v>
      </c>
      <c r="DA84" s="125" t="s">
        <v>370</v>
      </c>
      <c r="DB84" s="125">
        <v>0</v>
      </c>
      <c r="DC84" s="125">
        <v>0</v>
      </c>
      <c r="DD84" s="125">
        <v>0</v>
      </c>
      <c r="DE84">
        <f t="shared" si="19"/>
        <v>535773</v>
      </c>
      <c r="DG84" s="1">
        <f t="shared" si="33"/>
        <v>369429</v>
      </c>
      <c r="DH84" s="1">
        <f t="shared" si="20"/>
        <v>170683</v>
      </c>
      <c r="DI84" s="127">
        <f t="shared" si="21"/>
        <v>540112</v>
      </c>
      <c r="DK84" s="1">
        <f t="shared" si="22"/>
        <v>60642</v>
      </c>
      <c r="DL84" s="1">
        <f t="shared" si="23"/>
        <v>85297</v>
      </c>
      <c r="DM84" s="1">
        <f t="shared" si="24"/>
        <v>13309</v>
      </c>
      <c r="DN84" s="1">
        <f t="shared" si="25"/>
        <v>10639</v>
      </c>
      <c r="DO84" s="1">
        <f t="shared" si="26"/>
        <v>281976</v>
      </c>
      <c r="DP84" s="1">
        <f t="shared" si="27"/>
        <v>66784</v>
      </c>
      <c r="DQ84" s="1">
        <f t="shared" si="34"/>
        <v>0</v>
      </c>
      <c r="DR84" s="1">
        <f t="shared" si="28"/>
        <v>13127</v>
      </c>
      <c r="DS84" s="1">
        <f t="shared" si="29"/>
        <v>0</v>
      </c>
      <c r="DT84" s="1">
        <f t="shared" si="30"/>
        <v>7551</v>
      </c>
      <c r="DU84" s="1"/>
      <c r="DV84" s="1"/>
      <c r="DW84" s="1"/>
      <c r="DX84" s="1">
        <f t="shared" si="35"/>
        <v>539325</v>
      </c>
      <c r="DZ84" s="1">
        <f t="shared" si="36"/>
        <v>0</v>
      </c>
      <c r="EA84" s="1">
        <f t="shared" si="31"/>
        <v>0</v>
      </c>
      <c r="EC84" s="1">
        <f t="shared" si="37"/>
        <v>539325</v>
      </c>
      <c r="ED84" s="1">
        <f t="shared" si="32"/>
        <v>3552</v>
      </c>
      <c r="EE84" s="1"/>
    </row>
    <row r="85" spans="1:135" x14ac:dyDescent="0.25">
      <c r="A85" s="124">
        <v>34790</v>
      </c>
      <c r="B85" s="125">
        <v>0</v>
      </c>
      <c r="C85" s="125">
        <v>0</v>
      </c>
      <c r="D85" s="125">
        <v>0</v>
      </c>
      <c r="E85" s="125" t="s">
        <v>370</v>
      </c>
      <c r="F85" s="125" t="s">
        <v>370</v>
      </c>
      <c r="G85" s="125">
        <v>0</v>
      </c>
      <c r="H85" s="125">
        <v>0</v>
      </c>
      <c r="I85" s="125">
        <v>0</v>
      </c>
      <c r="J85" s="125">
        <v>0</v>
      </c>
      <c r="K85" s="125"/>
      <c r="L85" s="125">
        <v>34572</v>
      </c>
      <c r="M85" s="125">
        <v>3385</v>
      </c>
      <c r="N85" s="125"/>
      <c r="O85" s="125">
        <v>7248</v>
      </c>
      <c r="P85" s="125">
        <v>2315</v>
      </c>
      <c r="Q85" s="125">
        <v>1511</v>
      </c>
      <c r="R85" s="125">
        <v>4292</v>
      </c>
      <c r="S85" s="125">
        <v>13309</v>
      </c>
      <c r="T85" s="125"/>
      <c r="U85" s="125"/>
      <c r="V85" s="125">
        <v>7319</v>
      </c>
      <c r="W85" s="125">
        <v>0</v>
      </c>
      <c r="X85" s="125">
        <v>844</v>
      </c>
      <c r="Y85" s="125">
        <v>33</v>
      </c>
      <c r="Z85" s="126"/>
      <c r="AA85" s="125">
        <v>36</v>
      </c>
      <c r="AB85" s="125">
        <v>0</v>
      </c>
      <c r="AC85" s="125">
        <v>7</v>
      </c>
      <c r="AD85" s="125">
        <v>29</v>
      </c>
      <c r="AE85" s="125">
        <v>12</v>
      </c>
      <c r="AF85" s="125">
        <v>57</v>
      </c>
      <c r="AG85" s="125"/>
      <c r="AH85" s="125"/>
      <c r="AI85" s="125">
        <v>30</v>
      </c>
      <c r="AJ85" s="125">
        <v>0</v>
      </c>
      <c r="AK85" s="125">
        <v>74057</v>
      </c>
      <c r="AL85" s="125">
        <v>3540</v>
      </c>
      <c r="AM85" s="125">
        <v>3426</v>
      </c>
      <c r="AN85" s="125">
        <v>40</v>
      </c>
      <c r="AO85" s="125">
        <v>2</v>
      </c>
      <c r="AP85" s="125">
        <v>0</v>
      </c>
      <c r="AQ85" s="125">
        <v>0</v>
      </c>
      <c r="AR85" s="125">
        <v>2051</v>
      </c>
      <c r="AS85" s="125" t="s">
        <v>370</v>
      </c>
      <c r="AT85" s="125">
        <v>944</v>
      </c>
      <c r="AU85" s="125">
        <v>1268</v>
      </c>
      <c r="AV85" s="125">
        <v>1959</v>
      </c>
      <c r="AW85" s="125">
        <v>7154</v>
      </c>
      <c r="AX85" s="126"/>
      <c r="AY85" s="126"/>
      <c r="AZ85" s="126">
        <v>0</v>
      </c>
      <c r="BA85" s="126"/>
      <c r="BB85" s="125">
        <v>1243</v>
      </c>
      <c r="BC85" s="125"/>
      <c r="BD85" s="125">
        <v>56679</v>
      </c>
      <c r="BE85" s="125">
        <v>125849</v>
      </c>
      <c r="BF85" s="125">
        <v>251</v>
      </c>
      <c r="BG85" s="125">
        <v>796</v>
      </c>
      <c r="BH85" s="125">
        <v>971</v>
      </c>
      <c r="BI85" s="125">
        <v>4289</v>
      </c>
      <c r="BJ85" s="125">
        <v>86</v>
      </c>
      <c r="BK85" s="125">
        <v>2768</v>
      </c>
      <c r="BL85" s="125"/>
      <c r="BM85" s="125">
        <v>551</v>
      </c>
      <c r="BN85" s="125">
        <v>81</v>
      </c>
      <c r="BO85" s="125">
        <v>0</v>
      </c>
      <c r="BP85" s="125">
        <v>8240</v>
      </c>
      <c r="BQ85" s="125">
        <v>13309</v>
      </c>
      <c r="BR85" s="125">
        <v>25</v>
      </c>
      <c r="BS85" s="125">
        <v>509</v>
      </c>
      <c r="BT85" s="125">
        <v>601</v>
      </c>
      <c r="BU85" s="125"/>
      <c r="BV85" s="125">
        <v>10</v>
      </c>
      <c r="BW85" s="125">
        <v>243</v>
      </c>
      <c r="BX85" s="125"/>
      <c r="BY85" s="125">
        <v>967</v>
      </c>
      <c r="BZ85" s="125">
        <v>1</v>
      </c>
      <c r="CA85" s="125">
        <v>0</v>
      </c>
      <c r="CB85" s="125">
        <v>13106</v>
      </c>
      <c r="CC85" s="125">
        <v>61338</v>
      </c>
      <c r="CD85" s="125">
        <v>64392</v>
      </c>
      <c r="CE85" s="125">
        <v>13947</v>
      </c>
      <c r="CF85" s="125">
        <v>0</v>
      </c>
      <c r="CG85" s="125">
        <v>0</v>
      </c>
      <c r="CH85" s="125">
        <v>21</v>
      </c>
      <c r="CI85" s="125">
        <v>197</v>
      </c>
      <c r="CJ85" s="125">
        <v>202</v>
      </c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 t="s">
        <v>370</v>
      </c>
      <c r="CZ85" s="125" t="s">
        <v>370</v>
      </c>
      <c r="DA85" s="125" t="s">
        <v>370</v>
      </c>
      <c r="DB85" s="125">
        <v>0</v>
      </c>
      <c r="DC85" s="125">
        <v>0</v>
      </c>
      <c r="DD85" s="125">
        <v>0</v>
      </c>
      <c r="DE85">
        <f t="shared" si="19"/>
        <v>540112</v>
      </c>
      <c r="DG85" s="1">
        <f t="shared" si="33"/>
        <v>366482</v>
      </c>
      <c r="DH85" s="1">
        <f t="shared" si="20"/>
        <v>171319</v>
      </c>
      <c r="DI85" s="127">
        <f t="shared" si="21"/>
        <v>537801</v>
      </c>
      <c r="DK85" s="1">
        <f t="shared" si="22"/>
        <v>60659</v>
      </c>
      <c r="DL85" s="1">
        <f t="shared" si="23"/>
        <v>86093</v>
      </c>
      <c r="DM85" s="1">
        <f t="shared" si="24"/>
        <v>13301</v>
      </c>
      <c r="DN85" s="1">
        <f t="shared" si="25"/>
        <v>10942</v>
      </c>
      <c r="DO85" s="1">
        <f t="shared" si="26"/>
        <v>280362</v>
      </c>
      <c r="DP85" s="1">
        <f t="shared" si="27"/>
        <v>66775</v>
      </c>
      <c r="DQ85" s="1">
        <f t="shared" si="34"/>
        <v>0</v>
      </c>
      <c r="DR85" s="1">
        <f t="shared" si="28"/>
        <v>12956</v>
      </c>
      <c r="DS85" s="1">
        <f t="shared" si="29"/>
        <v>0</v>
      </c>
      <c r="DT85" s="1">
        <f t="shared" si="30"/>
        <v>7617</v>
      </c>
      <c r="DU85" s="1"/>
      <c r="DV85" s="1"/>
      <c r="DW85" s="1"/>
      <c r="DX85" s="1">
        <f t="shared" si="35"/>
        <v>538705</v>
      </c>
      <c r="DZ85" s="1">
        <f t="shared" si="36"/>
        <v>0</v>
      </c>
      <c r="EA85" s="1">
        <f t="shared" si="31"/>
        <v>0</v>
      </c>
      <c r="EC85" s="1">
        <f t="shared" si="37"/>
        <v>538705</v>
      </c>
      <c r="ED85" s="1">
        <f t="shared" si="32"/>
        <v>-1407</v>
      </c>
      <c r="EE85" s="1"/>
    </row>
    <row r="86" spans="1:135" x14ac:dyDescent="0.25">
      <c r="A86" s="124">
        <v>34820</v>
      </c>
      <c r="B86" s="125">
        <v>0</v>
      </c>
      <c r="C86" s="125">
        <v>0</v>
      </c>
      <c r="D86" s="125">
        <v>0</v>
      </c>
      <c r="E86" s="125" t="s">
        <v>370</v>
      </c>
      <c r="F86" s="125" t="s">
        <v>370</v>
      </c>
      <c r="G86" s="125">
        <v>0</v>
      </c>
      <c r="H86" s="125">
        <v>0</v>
      </c>
      <c r="I86" s="125">
        <v>0</v>
      </c>
      <c r="J86" s="125">
        <v>0</v>
      </c>
      <c r="K86" s="125"/>
      <c r="L86" s="125">
        <v>34590</v>
      </c>
      <c r="M86" s="125">
        <v>3374</v>
      </c>
      <c r="N86" s="125"/>
      <c r="O86" s="125">
        <v>7095</v>
      </c>
      <c r="P86" s="125">
        <v>2477</v>
      </c>
      <c r="Q86" s="125">
        <v>1506</v>
      </c>
      <c r="R86" s="125">
        <v>4618</v>
      </c>
      <c r="S86" s="125">
        <v>13301</v>
      </c>
      <c r="T86" s="125"/>
      <c r="U86" s="125"/>
      <c r="V86" s="125">
        <v>6999</v>
      </c>
      <c r="W86" s="125">
        <v>0</v>
      </c>
      <c r="X86" s="125">
        <v>848</v>
      </c>
      <c r="Y86" s="125">
        <v>31</v>
      </c>
      <c r="Z86" s="126"/>
      <c r="AA86" s="125">
        <v>33</v>
      </c>
      <c r="AB86" s="125">
        <v>0</v>
      </c>
      <c r="AC86" s="125">
        <v>8</v>
      </c>
      <c r="AD86" s="125">
        <v>30</v>
      </c>
      <c r="AE86" s="125">
        <v>13</v>
      </c>
      <c r="AF86" s="125">
        <v>60</v>
      </c>
      <c r="AG86" s="125"/>
      <c r="AH86" s="125"/>
      <c r="AI86" s="125">
        <v>29</v>
      </c>
      <c r="AJ86" s="125">
        <v>0</v>
      </c>
      <c r="AK86" s="125">
        <v>74392</v>
      </c>
      <c r="AL86" s="125">
        <v>3549</v>
      </c>
      <c r="AM86" s="125">
        <v>3668</v>
      </c>
      <c r="AN86" s="125">
        <v>40</v>
      </c>
      <c r="AO86" s="125">
        <v>2</v>
      </c>
      <c r="AP86" s="125">
        <v>0</v>
      </c>
      <c r="AQ86" s="125">
        <v>0</v>
      </c>
      <c r="AR86" s="125">
        <v>1973</v>
      </c>
      <c r="AS86" s="125" t="s">
        <v>370</v>
      </c>
      <c r="AT86" s="125">
        <v>974</v>
      </c>
      <c r="AU86" s="125">
        <v>1265</v>
      </c>
      <c r="AV86" s="125">
        <v>1997</v>
      </c>
      <c r="AW86" s="125">
        <v>7212</v>
      </c>
      <c r="AX86" s="126"/>
      <c r="AY86" s="126"/>
      <c r="AZ86" s="126">
        <v>0</v>
      </c>
      <c r="BA86" s="126"/>
      <c r="BB86" s="125">
        <v>1235</v>
      </c>
      <c r="BC86" s="125"/>
      <c r="BD86" s="125">
        <v>55492</v>
      </c>
      <c r="BE86" s="125">
        <v>123920</v>
      </c>
      <c r="BF86" s="125">
        <v>253</v>
      </c>
      <c r="BG86" s="125">
        <v>723</v>
      </c>
      <c r="BH86" s="125">
        <v>890</v>
      </c>
      <c r="BI86" s="125">
        <v>4327</v>
      </c>
      <c r="BJ86" s="125">
        <v>92</v>
      </c>
      <c r="BK86" s="125">
        <v>2796</v>
      </c>
      <c r="BL86" s="125"/>
      <c r="BM86" s="125">
        <v>526</v>
      </c>
      <c r="BN86" s="125">
        <v>92</v>
      </c>
      <c r="BO86" s="125">
        <v>0</v>
      </c>
      <c r="BP86" s="125">
        <v>8296</v>
      </c>
      <c r="BQ86" s="125">
        <v>13505</v>
      </c>
      <c r="BR86" s="125">
        <v>26</v>
      </c>
      <c r="BS86" s="125">
        <v>510</v>
      </c>
      <c r="BT86" s="125">
        <v>602</v>
      </c>
      <c r="BU86" s="125"/>
      <c r="BV86" s="125">
        <v>8</v>
      </c>
      <c r="BW86" s="125">
        <v>241</v>
      </c>
      <c r="BX86" s="125"/>
      <c r="BY86" s="125">
        <v>919</v>
      </c>
      <c r="BZ86" s="125">
        <v>4</v>
      </c>
      <c r="CA86" s="125">
        <v>0</v>
      </c>
      <c r="CB86" s="125">
        <v>12935</v>
      </c>
      <c r="CC86" s="125">
        <v>60987</v>
      </c>
      <c r="CD86" s="125">
        <v>65067</v>
      </c>
      <c r="CE86" s="125">
        <v>13876</v>
      </c>
      <c r="CF86" s="125">
        <v>0</v>
      </c>
      <c r="CG86" s="125">
        <v>0</v>
      </c>
      <c r="CH86" s="125">
        <v>21</v>
      </c>
      <c r="CI86" s="125">
        <v>175</v>
      </c>
      <c r="CJ86" s="125">
        <v>199</v>
      </c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 t="s">
        <v>370</v>
      </c>
      <c r="CZ86" s="125" t="s">
        <v>370</v>
      </c>
      <c r="DA86" s="125" t="s">
        <v>370</v>
      </c>
      <c r="DB86" s="125">
        <v>0</v>
      </c>
      <c r="DC86" s="125">
        <v>0</v>
      </c>
      <c r="DD86" s="125">
        <v>0</v>
      </c>
      <c r="DE86">
        <f t="shared" si="19"/>
        <v>537801</v>
      </c>
      <c r="DG86" s="1">
        <f t="shared" si="33"/>
        <v>364978</v>
      </c>
      <c r="DH86" s="1">
        <f t="shared" si="20"/>
        <v>172478</v>
      </c>
      <c r="DI86" s="127">
        <f t="shared" si="21"/>
        <v>537456</v>
      </c>
      <c r="DK86" s="1">
        <f t="shared" si="22"/>
        <v>60695</v>
      </c>
      <c r="DL86" s="1">
        <f t="shared" si="23"/>
        <v>86417</v>
      </c>
      <c r="DM86" s="1">
        <f t="shared" si="24"/>
        <v>13361</v>
      </c>
      <c r="DN86" s="1">
        <f t="shared" si="25"/>
        <v>11295</v>
      </c>
      <c r="DO86" s="1">
        <f t="shared" si="26"/>
        <v>279755</v>
      </c>
      <c r="DP86" s="1">
        <f t="shared" si="27"/>
        <v>65547</v>
      </c>
      <c r="DQ86" s="1">
        <f t="shared" si="34"/>
        <v>0</v>
      </c>
      <c r="DR86" s="1">
        <f t="shared" si="28"/>
        <v>13037</v>
      </c>
      <c r="DS86" s="1">
        <f t="shared" si="29"/>
        <v>0</v>
      </c>
      <c r="DT86" s="1">
        <f t="shared" si="30"/>
        <v>7709</v>
      </c>
      <c r="DU86" s="1"/>
      <c r="DV86" s="1"/>
      <c r="DW86" s="1"/>
      <c r="DX86" s="1">
        <f t="shared" si="35"/>
        <v>537816</v>
      </c>
      <c r="DZ86" s="1">
        <f t="shared" si="36"/>
        <v>0</v>
      </c>
      <c r="EA86" s="1">
        <f t="shared" si="31"/>
        <v>0</v>
      </c>
      <c r="EC86" s="1">
        <f t="shared" si="37"/>
        <v>537816</v>
      </c>
      <c r="ED86" s="1">
        <f t="shared" si="32"/>
        <v>15</v>
      </c>
      <c r="EE86" s="1"/>
    </row>
    <row r="87" spans="1:135" x14ac:dyDescent="0.25">
      <c r="A87" s="124">
        <v>34851</v>
      </c>
      <c r="B87" s="125">
        <v>0</v>
      </c>
      <c r="C87" s="125">
        <v>0</v>
      </c>
      <c r="D87" s="125">
        <v>0</v>
      </c>
      <c r="E87" s="125" t="s">
        <v>370</v>
      </c>
      <c r="F87" s="125" t="s">
        <v>370</v>
      </c>
      <c r="G87" s="125">
        <v>0</v>
      </c>
      <c r="H87" s="125">
        <v>0</v>
      </c>
      <c r="I87" s="125">
        <v>0</v>
      </c>
      <c r="J87" s="125">
        <v>0</v>
      </c>
      <c r="K87" s="125"/>
      <c r="L87" s="125">
        <v>34539</v>
      </c>
      <c r="M87" s="125">
        <v>3377</v>
      </c>
      <c r="N87" s="125"/>
      <c r="O87" s="125">
        <v>6947</v>
      </c>
      <c r="P87" s="125">
        <v>2652</v>
      </c>
      <c r="Q87" s="125">
        <v>1499</v>
      </c>
      <c r="R87" s="125">
        <v>4886</v>
      </c>
      <c r="S87" s="125">
        <v>13361</v>
      </c>
      <c r="T87" s="125"/>
      <c r="U87" s="125"/>
      <c r="V87" s="125">
        <v>6795</v>
      </c>
      <c r="W87" s="125">
        <v>0</v>
      </c>
      <c r="X87" s="125">
        <v>847</v>
      </c>
      <c r="Y87" s="125">
        <v>28</v>
      </c>
      <c r="Z87" s="126"/>
      <c r="AA87" s="125">
        <v>29</v>
      </c>
      <c r="AB87" s="125">
        <v>0</v>
      </c>
      <c r="AC87" s="125">
        <v>7</v>
      </c>
      <c r="AD87" s="125">
        <v>33</v>
      </c>
      <c r="AE87" s="125">
        <v>16</v>
      </c>
      <c r="AF87" s="125">
        <v>64</v>
      </c>
      <c r="AG87" s="125"/>
      <c r="AH87" s="125"/>
      <c r="AI87" s="125">
        <v>29</v>
      </c>
      <c r="AJ87" s="125">
        <v>0</v>
      </c>
      <c r="AK87" s="125">
        <v>74997</v>
      </c>
      <c r="AL87" s="125">
        <v>3558</v>
      </c>
      <c r="AM87" s="125">
        <v>3928</v>
      </c>
      <c r="AN87" s="125">
        <v>41</v>
      </c>
      <c r="AO87" s="125">
        <v>4</v>
      </c>
      <c r="AP87" s="125">
        <v>0</v>
      </c>
      <c r="AQ87" s="125">
        <v>0</v>
      </c>
      <c r="AR87" s="125">
        <v>1969</v>
      </c>
      <c r="AS87" s="125" t="s">
        <v>370</v>
      </c>
      <c r="AT87" s="125">
        <v>1012</v>
      </c>
      <c r="AU87" s="125">
        <v>1273</v>
      </c>
      <c r="AV87" s="125">
        <v>2035</v>
      </c>
      <c r="AW87" s="125">
        <v>7299</v>
      </c>
      <c r="AX87" s="126"/>
      <c r="AY87" s="126"/>
      <c r="AZ87" s="126">
        <v>0</v>
      </c>
      <c r="BA87" s="126"/>
      <c r="BB87" s="125">
        <v>1253</v>
      </c>
      <c r="BC87" s="125"/>
      <c r="BD87" s="125">
        <v>54031</v>
      </c>
      <c r="BE87" s="125">
        <v>121676</v>
      </c>
      <c r="BF87" s="125">
        <v>257</v>
      </c>
      <c r="BG87" s="125">
        <v>671</v>
      </c>
      <c r="BH87" s="125">
        <v>814</v>
      </c>
      <c r="BI87" s="125">
        <v>4410</v>
      </c>
      <c r="BJ87" s="125">
        <v>90</v>
      </c>
      <c r="BK87" s="125">
        <v>2799</v>
      </c>
      <c r="BL87" s="125"/>
      <c r="BM87" s="125">
        <v>593</v>
      </c>
      <c r="BN87" s="125">
        <v>88</v>
      </c>
      <c r="BO87" s="125">
        <v>0</v>
      </c>
      <c r="BP87" s="125">
        <v>8687</v>
      </c>
      <c r="BQ87" s="125">
        <v>14168</v>
      </c>
      <c r="BR87" s="125">
        <v>25</v>
      </c>
      <c r="BS87" s="125">
        <v>495</v>
      </c>
      <c r="BT87" s="125">
        <v>611</v>
      </c>
      <c r="BU87" s="125"/>
      <c r="BV87" s="125">
        <v>7</v>
      </c>
      <c r="BW87" s="125">
        <v>243</v>
      </c>
      <c r="BX87" s="125"/>
      <c r="BY87" s="125">
        <v>869</v>
      </c>
      <c r="BZ87" s="125">
        <v>4</v>
      </c>
      <c r="CA87" s="125">
        <v>0</v>
      </c>
      <c r="CB87" s="125">
        <v>13014</v>
      </c>
      <c r="CC87" s="125">
        <v>61184</v>
      </c>
      <c r="CD87" s="125">
        <v>65940</v>
      </c>
      <c r="CE87" s="125">
        <v>13925</v>
      </c>
      <c r="CF87" s="125">
        <v>0</v>
      </c>
      <c r="CG87" s="125">
        <v>0</v>
      </c>
      <c r="CH87" s="125">
        <v>23</v>
      </c>
      <c r="CI87" s="125">
        <v>163</v>
      </c>
      <c r="CJ87" s="125">
        <v>191</v>
      </c>
      <c r="CK87" s="125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 t="s">
        <v>370</v>
      </c>
      <c r="CZ87" s="125" t="s">
        <v>370</v>
      </c>
      <c r="DA87" s="125" t="s">
        <v>370</v>
      </c>
      <c r="DB87" s="125">
        <v>0</v>
      </c>
      <c r="DC87" s="125">
        <v>0</v>
      </c>
      <c r="DD87" s="125">
        <v>0</v>
      </c>
      <c r="DE87">
        <f t="shared" si="19"/>
        <v>537456</v>
      </c>
      <c r="DG87" s="1">
        <f t="shared" si="33"/>
        <v>362342</v>
      </c>
      <c r="DH87" s="1">
        <f t="shared" si="20"/>
        <v>173284</v>
      </c>
      <c r="DI87" s="127">
        <f t="shared" si="21"/>
        <v>535626</v>
      </c>
      <c r="DK87" s="1">
        <f t="shared" si="22"/>
        <v>60896</v>
      </c>
      <c r="DL87" s="1">
        <f t="shared" si="23"/>
        <v>87127</v>
      </c>
      <c r="DM87" s="1">
        <f t="shared" si="24"/>
        <v>13387</v>
      </c>
      <c r="DN87" s="1">
        <f t="shared" si="25"/>
        <v>11469</v>
      </c>
      <c r="DO87" s="1">
        <f t="shared" si="26"/>
        <v>278386</v>
      </c>
      <c r="DP87" s="1">
        <f t="shared" si="27"/>
        <v>64477</v>
      </c>
      <c r="DQ87" s="1">
        <f t="shared" si="34"/>
        <v>0</v>
      </c>
      <c r="DR87" s="1">
        <f t="shared" si="28"/>
        <v>12900</v>
      </c>
      <c r="DS87" s="1">
        <f t="shared" si="29"/>
        <v>0</v>
      </c>
      <c r="DT87" s="1">
        <f t="shared" si="30"/>
        <v>7659</v>
      </c>
      <c r="DU87" s="1"/>
      <c r="DV87" s="1"/>
      <c r="DW87" s="1"/>
      <c r="DX87" s="1">
        <f t="shared" si="35"/>
        <v>536301</v>
      </c>
      <c r="DZ87" s="1">
        <f t="shared" si="36"/>
        <v>0</v>
      </c>
      <c r="EA87" s="1">
        <f t="shared" si="31"/>
        <v>0</v>
      </c>
      <c r="EC87" s="1">
        <f t="shared" si="37"/>
        <v>536301</v>
      </c>
      <c r="ED87" s="1">
        <f t="shared" si="32"/>
        <v>-1155</v>
      </c>
      <c r="EE87" s="1"/>
    </row>
    <row r="88" spans="1:135" x14ac:dyDescent="0.25">
      <c r="A88" s="124">
        <v>34881</v>
      </c>
      <c r="B88" s="125">
        <v>0</v>
      </c>
      <c r="C88" s="125">
        <v>0</v>
      </c>
      <c r="D88" s="125">
        <v>0</v>
      </c>
      <c r="E88" s="125" t="s">
        <v>370</v>
      </c>
      <c r="F88" s="125" t="s">
        <v>370</v>
      </c>
      <c r="G88" s="125">
        <v>0</v>
      </c>
      <c r="H88" s="125">
        <v>0</v>
      </c>
      <c r="I88" s="125">
        <v>0</v>
      </c>
      <c r="J88" s="125">
        <v>0</v>
      </c>
      <c r="K88" s="125"/>
      <c r="L88" s="125">
        <v>34602</v>
      </c>
      <c r="M88" s="125">
        <v>3354</v>
      </c>
      <c r="N88" s="125"/>
      <c r="O88" s="125">
        <v>6881</v>
      </c>
      <c r="P88" s="125">
        <v>2809</v>
      </c>
      <c r="Q88" s="125">
        <v>1487</v>
      </c>
      <c r="R88" s="125">
        <v>5026</v>
      </c>
      <c r="S88" s="125">
        <v>13387</v>
      </c>
      <c r="T88" s="125"/>
      <c r="U88" s="125"/>
      <c r="V88" s="125">
        <v>6737</v>
      </c>
      <c r="W88" s="125">
        <v>0</v>
      </c>
      <c r="X88" s="125">
        <v>843</v>
      </c>
      <c r="Y88" s="125">
        <v>30</v>
      </c>
      <c r="Z88" s="126"/>
      <c r="AA88" s="125">
        <v>28</v>
      </c>
      <c r="AB88" s="125">
        <v>0</v>
      </c>
      <c r="AC88" s="125">
        <v>7</v>
      </c>
      <c r="AD88" s="125">
        <v>31</v>
      </c>
      <c r="AE88" s="125">
        <v>19</v>
      </c>
      <c r="AF88" s="125">
        <v>59</v>
      </c>
      <c r="AG88" s="125"/>
      <c r="AH88" s="125"/>
      <c r="AI88" s="125">
        <v>28</v>
      </c>
      <c r="AJ88" s="125">
        <v>0</v>
      </c>
      <c r="AK88" s="125">
        <v>75429</v>
      </c>
      <c r="AL88" s="125">
        <v>3540</v>
      </c>
      <c r="AM88" s="125">
        <v>4078</v>
      </c>
      <c r="AN88" s="125">
        <v>43</v>
      </c>
      <c r="AO88" s="125">
        <v>3</v>
      </c>
      <c r="AP88" s="125">
        <v>0</v>
      </c>
      <c r="AQ88" s="125">
        <v>0</v>
      </c>
      <c r="AR88" s="125">
        <v>1935</v>
      </c>
      <c r="AS88" s="125" t="s">
        <v>370</v>
      </c>
      <c r="AT88" s="125">
        <v>1027</v>
      </c>
      <c r="AU88" s="125">
        <v>1285</v>
      </c>
      <c r="AV88" s="125">
        <v>2059</v>
      </c>
      <c r="AW88" s="125">
        <v>7329</v>
      </c>
      <c r="AX88" s="126"/>
      <c r="AY88" s="126"/>
      <c r="AZ88" s="126">
        <v>0</v>
      </c>
      <c r="BA88" s="126"/>
      <c r="BB88" s="125">
        <v>1228</v>
      </c>
      <c r="BC88" s="125"/>
      <c r="BD88" s="125">
        <v>52770</v>
      </c>
      <c r="BE88" s="125">
        <v>119578</v>
      </c>
      <c r="BF88" s="125">
        <v>256</v>
      </c>
      <c r="BG88" s="125">
        <v>634</v>
      </c>
      <c r="BH88" s="125">
        <v>767</v>
      </c>
      <c r="BI88" s="125">
        <v>4419</v>
      </c>
      <c r="BJ88" s="125">
        <v>90</v>
      </c>
      <c r="BK88" s="125">
        <v>2737</v>
      </c>
      <c r="BL88" s="125"/>
      <c r="BM88" s="125">
        <v>590</v>
      </c>
      <c r="BN88" s="125">
        <v>85</v>
      </c>
      <c r="BO88" s="125">
        <v>0</v>
      </c>
      <c r="BP88" s="125">
        <v>8950</v>
      </c>
      <c r="BQ88" s="125">
        <v>14679</v>
      </c>
      <c r="BR88" s="125">
        <v>23</v>
      </c>
      <c r="BS88" s="125">
        <v>453</v>
      </c>
      <c r="BT88" s="125">
        <v>552</v>
      </c>
      <c r="BU88" s="125"/>
      <c r="BV88" s="125">
        <v>8</v>
      </c>
      <c r="BW88" s="125">
        <v>247</v>
      </c>
      <c r="BX88" s="125"/>
      <c r="BY88" s="125">
        <v>855</v>
      </c>
      <c r="BZ88" s="125">
        <v>4</v>
      </c>
      <c r="CA88" s="125">
        <v>0</v>
      </c>
      <c r="CB88" s="125">
        <v>12877</v>
      </c>
      <c r="CC88" s="125">
        <v>61058</v>
      </c>
      <c r="CD88" s="125">
        <v>66513</v>
      </c>
      <c r="CE88" s="125">
        <v>13840</v>
      </c>
      <c r="CF88" s="125">
        <v>0</v>
      </c>
      <c r="CG88" s="125">
        <v>0</v>
      </c>
      <c r="CH88" s="125">
        <v>23</v>
      </c>
      <c r="CI88" s="125">
        <v>154</v>
      </c>
      <c r="CJ88" s="125">
        <v>180</v>
      </c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 t="s">
        <v>370</v>
      </c>
      <c r="CZ88" s="125" t="s">
        <v>370</v>
      </c>
      <c r="DA88" s="125" t="s">
        <v>370</v>
      </c>
      <c r="DB88" s="125">
        <v>0</v>
      </c>
      <c r="DC88" s="125">
        <v>0</v>
      </c>
      <c r="DD88" s="125">
        <v>0</v>
      </c>
      <c r="DE88">
        <f t="shared" si="19"/>
        <v>535626</v>
      </c>
      <c r="DG88" s="1">
        <f t="shared" si="33"/>
        <v>360514</v>
      </c>
      <c r="DH88" s="1">
        <f t="shared" si="20"/>
        <v>174176</v>
      </c>
      <c r="DI88" s="127">
        <f t="shared" si="21"/>
        <v>534690</v>
      </c>
      <c r="DK88" s="1">
        <f t="shared" si="22"/>
        <v>60949</v>
      </c>
      <c r="DL88" s="1">
        <f t="shared" si="23"/>
        <v>87532</v>
      </c>
      <c r="DM88" s="1">
        <f t="shared" si="24"/>
        <v>13378</v>
      </c>
      <c r="DN88" s="1">
        <f t="shared" si="25"/>
        <v>11721</v>
      </c>
      <c r="DO88" s="1">
        <f t="shared" si="26"/>
        <v>277148</v>
      </c>
      <c r="DP88" s="1">
        <f t="shared" si="27"/>
        <v>63397</v>
      </c>
      <c r="DQ88" s="1">
        <f t="shared" si="34"/>
        <v>0</v>
      </c>
      <c r="DR88" s="1">
        <f t="shared" si="28"/>
        <v>12888</v>
      </c>
      <c r="DS88" s="1">
        <f t="shared" si="29"/>
        <v>0</v>
      </c>
      <c r="DT88" s="1">
        <f t="shared" si="30"/>
        <v>7735</v>
      </c>
      <c r="DU88" s="1"/>
      <c r="DV88" s="1"/>
      <c r="DW88" s="1"/>
      <c r="DX88" s="1">
        <f t="shared" si="35"/>
        <v>534748</v>
      </c>
      <c r="DZ88" s="1">
        <f t="shared" si="36"/>
        <v>0</v>
      </c>
      <c r="EA88" s="1">
        <f t="shared" si="31"/>
        <v>0</v>
      </c>
      <c r="EC88" s="1">
        <f t="shared" si="37"/>
        <v>534748</v>
      </c>
      <c r="ED88" s="1">
        <f t="shared" si="32"/>
        <v>-878</v>
      </c>
      <c r="EE88" s="1"/>
    </row>
    <row r="89" spans="1:135" x14ac:dyDescent="0.25">
      <c r="A89" s="124">
        <v>34912</v>
      </c>
      <c r="B89" s="125">
        <v>0</v>
      </c>
      <c r="C89" s="125">
        <v>0</v>
      </c>
      <c r="D89" s="125">
        <v>0</v>
      </c>
      <c r="E89" s="125" t="s">
        <v>370</v>
      </c>
      <c r="F89" s="125" t="s">
        <v>370</v>
      </c>
      <c r="G89" s="125">
        <v>0</v>
      </c>
      <c r="H89" s="125">
        <v>0</v>
      </c>
      <c r="I89" s="125">
        <v>0</v>
      </c>
      <c r="J89" s="125">
        <v>0</v>
      </c>
      <c r="K89" s="125"/>
      <c r="L89" s="125">
        <v>34572</v>
      </c>
      <c r="M89" s="125">
        <v>3361</v>
      </c>
      <c r="N89" s="125"/>
      <c r="O89" s="125">
        <v>6831</v>
      </c>
      <c r="P89" s="125">
        <v>2896</v>
      </c>
      <c r="Q89" s="125">
        <v>1492</v>
      </c>
      <c r="R89" s="125">
        <v>5121</v>
      </c>
      <c r="S89" s="125">
        <v>13378</v>
      </c>
      <c r="T89" s="125"/>
      <c r="U89" s="125"/>
      <c r="V89" s="125">
        <v>6676</v>
      </c>
      <c r="W89" s="125">
        <v>0</v>
      </c>
      <c r="X89" s="125">
        <v>848</v>
      </c>
      <c r="Y89" s="125">
        <v>29</v>
      </c>
      <c r="Z89" s="126"/>
      <c r="AA89" s="125">
        <v>27</v>
      </c>
      <c r="AB89" s="125">
        <v>0</v>
      </c>
      <c r="AC89" s="125">
        <v>7</v>
      </c>
      <c r="AD89" s="125">
        <v>31</v>
      </c>
      <c r="AE89" s="125">
        <v>19</v>
      </c>
      <c r="AF89" s="125">
        <v>56</v>
      </c>
      <c r="AG89" s="125"/>
      <c r="AH89" s="125"/>
      <c r="AI89" s="125">
        <v>28</v>
      </c>
      <c r="AJ89" s="125">
        <v>0</v>
      </c>
      <c r="AK89" s="125">
        <v>76015</v>
      </c>
      <c r="AL89" s="125">
        <v>3524</v>
      </c>
      <c r="AM89" s="125">
        <v>4257</v>
      </c>
      <c r="AN89" s="125">
        <v>40</v>
      </c>
      <c r="AO89" s="125">
        <v>4</v>
      </c>
      <c r="AP89" s="125">
        <v>0</v>
      </c>
      <c r="AQ89" s="125">
        <v>0</v>
      </c>
      <c r="AR89" s="125">
        <v>1915</v>
      </c>
      <c r="AS89" s="125" t="s">
        <v>370</v>
      </c>
      <c r="AT89" s="125">
        <v>1058</v>
      </c>
      <c r="AU89" s="125">
        <v>1295</v>
      </c>
      <c r="AV89" s="125">
        <v>2071</v>
      </c>
      <c r="AW89" s="125">
        <v>7404</v>
      </c>
      <c r="AX89" s="126"/>
      <c r="AY89" s="126"/>
      <c r="AZ89" s="126">
        <v>0</v>
      </c>
      <c r="BA89" s="126"/>
      <c r="BB89" s="125">
        <v>1221</v>
      </c>
      <c r="BC89" s="125"/>
      <c r="BD89" s="125">
        <v>51956</v>
      </c>
      <c r="BE89" s="125">
        <v>118328</v>
      </c>
      <c r="BF89" s="125">
        <v>263</v>
      </c>
      <c r="BG89" s="125">
        <v>662</v>
      </c>
      <c r="BH89" s="125">
        <v>830</v>
      </c>
      <c r="BI89" s="125">
        <v>4489</v>
      </c>
      <c r="BJ89" s="125">
        <v>84</v>
      </c>
      <c r="BK89" s="125">
        <v>2739</v>
      </c>
      <c r="BL89" s="125"/>
      <c r="BM89" s="125">
        <v>661</v>
      </c>
      <c r="BN89" s="125">
        <v>89</v>
      </c>
      <c r="BO89" s="125">
        <v>0</v>
      </c>
      <c r="BP89" s="125">
        <v>9056</v>
      </c>
      <c r="BQ89" s="125">
        <v>14920</v>
      </c>
      <c r="BR89" s="125">
        <v>21</v>
      </c>
      <c r="BS89" s="125">
        <v>408</v>
      </c>
      <c r="BT89" s="125">
        <v>506</v>
      </c>
      <c r="BU89" s="125"/>
      <c r="BV89" s="125">
        <v>8</v>
      </c>
      <c r="BW89" s="125">
        <v>244</v>
      </c>
      <c r="BX89" s="125"/>
      <c r="BY89" s="125">
        <v>824</v>
      </c>
      <c r="BZ89" s="125">
        <v>4</v>
      </c>
      <c r="CA89" s="125">
        <v>0</v>
      </c>
      <c r="CB89" s="125">
        <v>12867</v>
      </c>
      <c r="CC89" s="125">
        <v>60674</v>
      </c>
      <c r="CD89" s="125">
        <v>66760</v>
      </c>
      <c r="CE89" s="125">
        <v>13766</v>
      </c>
      <c r="CF89" s="125">
        <v>0</v>
      </c>
      <c r="CG89" s="125">
        <v>0</v>
      </c>
      <c r="CH89" s="125">
        <v>21</v>
      </c>
      <c r="CI89" s="125">
        <v>146</v>
      </c>
      <c r="CJ89" s="125">
        <v>188</v>
      </c>
      <c r="CK89" s="125"/>
      <c r="CL89" s="125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 t="s">
        <v>370</v>
      </c>
      <c r="CZ89" s="125" t="s">
        <v>370</v>
      </c>
      <c r="DA89" s="125" t="s">
        <v>370</v>
      </c>
      <c r="DB89" s="125">
        <v>0</v>
      </c>
      <c r="DC89" s="125">
        <v>0</v>
      </c>
      <c r="DD89" s="125">
        <v>0</v>
      </c>
      <c r="DE89">
        <f t="shared" si="19"/>
        <v>534690</v>
      </c>
      <c r="DG89" s="1">
        <f t="shared" si="33"/>
        <v>360565</v>
      </c>
      <c r="DH89" s="1">
        <f t="shared" si="20"/>
        <v>175187</v>
      </c>
      <c r="DI89" s="127">
        <f t="shared" si="21"/>
        <v>535752</v>
      </c>
      <c r="DK89" s="1">
        <f t="shared" si="22"/>
        <v>61109</v>
      </c>
      <c r="DL89" s="1">
        <f t="shared" si="23"/>
        <v>88128</v>
      </c>
      <c r="DM89" s="1">
        <f t="shared" si="24"/>
        <v>13353</v>
      </c>
      <c r="DN89" s="1">
        <f t="shared" si="25"/>
        <v>12000</v>
      </c>
      <c r="DO89" s="1">
        <f t="shared" si="26"/>
        <v>277455</v>
      </c>
      <c r="DP89" s="1">
        <f t="shared" si="27"/>
        <v>62743</v>
      </c>
      <c r="DQ89" s="1">
        <f t="shared" si="34"/>
        <v>0</v>
      </c>
      <c r="DR89" s="1">
        <f t="shared" si="28"/>
        <v>13032</v>
      </c>
      <c r="DS89" s="1">
        <f t="shared" si="29"/>
        <v>0</v>
      </c>
      <c r="DT89" s="1">
        <f t="shared" si="30"/>
        <v>7736</v>
      </c>
      <c r="DU89" s="1"/>
      <c r="DV89" s="1"/>
      <c r="DW89" s="1"/>
      <c r="DX89" s="1">
        <f t="shared" si="35"/>
        <v>535556</v>
      </c>
      <c r="DZ89" s="1">
        <f t="shared" si="36"/>
        <v>0</v>
      </c>
      <c r="EA89" s="1">
        <f t="shared" si="31"/>
        <v>0</v>
      </c>
      <c r="EC89" s="1">
        <f t="shared" si="37"/>
        <v>535556</v>
      </c>
      <c r="ED89" s="1">
        <f t="shared" si="32"/>
        <v>866</v>
      </c>
      <c r="EE89" s="1"/>
    </row>
    <row r="90" spans="1:135" x14ac:dyDescent="0.25">
      <c r="A90" s="124">
        <v>34943</v>
      </c>
      <c r="B90" s="125">
        <v>0</v>
      </c>
      <c r="C90" s="125">
        <v>0</v>
      </c>
      <c r="D90" s="125">
        <v>0</v>
      </c>
      <c r="E90" s="125" t="s">
        <v>370</v>
      </c>
      <c r="F90" s="125" t="s">
        <v>370</v>
      </c>
      <c r="G90" s="125">
        <v>0</v>
      </c>
      <c r="H90" s="125">
        <v>0</v>
      </c>
      <c r="I90" s="125">
        <v>0</v>
      </c>
      <c r="J90" s="125">
        <v>0</v>
      </c>
      <c r="K90" s="125"/>
      <c r="L90" s="125">
        <v>34577</v>
      </c>
      <c r="M90" s="125">
        <v>3387</v>
      </c>
      <c r="N90" s="125"/>
      <c r="O90" s="125">
        <v>6787</v>
      </c>
      <c r="P90" s="125">
        <v>3009</v>
      </c>
      <c r="Q90" s="125">
        <v>1523</v>
      </c>
      <c r="R90" s="125">
        <v>5273</v>
      </c>
      <c r="S90" s="125">
        <v>13353</v>
      </c>
      <c r="T90" s="125"/>
      <c r="U90" s="125"/>
      <c r="V90" s="125">
        <v>6553</v>
      </c>
      <c r="W90" s="125">
        <v>0</v>
      </c>
      <c r="X90" s="125">
        <v>849</v>
      </c>
      <c r="Y90" s="125">
        <v>29</v>
      </c>
      <c r="Z90" s="126"/>
      <c r="AA90" s="125">
        <v>24</v>
      </c>
      <c r="AB90" s="125">
        <v>0</v>
      </c>
      <c r="AC90" s="125">
        <v>7</v>
      </c>
      <c r="AD90" s="125">
        <v>30</v>
      </c>
      <c r="AE90" s="125">
        <v>16</v>
      </c>
      <c r="AF90" s="125">
        <v>56</v>
      </c>
      <c r="AG90" s="125"/>
      <c r="AH90" s="125"/>
      <c r="AI90" s="125">
        <v>30</v>
      </c>
      <c r="AJ90" s="125">
        <v>0</v>
      </c>
      <c r="AK90" s="125">
        <v>76553</v>
      </c>
      <c r="AL90" s="125">
        <v>3533</v>
      </c>
      <c r="AM90" s="125">
        <v>4438</v>
      </c>
      <c r="AN90" s="125">
        <v>41</v>
      </c>
      <c r="AO90" s="125">
        <v>1</v>
      </c>
      <c r="AP90" s="125">
        <v>0</v>
      </c>
      <c r="AQ90" s="125">
        <v>0</v>
      </c>
      <c r="AR90" s="125">
        <v>1944</v>
      </c>
      <c r="AS90" s="125" t="s">
        <v>370</v>
      </c>
      <c r="AT90" s="125">
        <v>1076</v>
      </c>
      <c r="AU90" s="125">
        <v>1300</v>
      </c>
      <c r="AV90" s="125">
        <v>2083</v>
      </c>
      <c r="AW90" s="125">
        <v>7505</v>
      </c>
      <c r="AX90" s="126"/>
      <c r="AY90" s="126"/>
      <c r="AZ90" s="126">
        <v>0</v>
      </c>
      <c r="BA90" s="126"/>
      <c r="BB90" s="125">
        <v>1210</v>
      </c>
      <c r="BC90" s="125"/>
      <c r="BD90" s="125">
        <v>51410</v>
      </c>
      <c r="BE90" s="125">
        <v>117311</v>
      </c>
      <c r="BF90" s="125">
        <v>267</v>
      </c>
      <c r="BG90" s="125">
        <v>707</v>
      </c>
      <c r="BH90" s="125">
        <v>844</v>
      </c>
      <c r="BI90" s="125">
        <v>4501</v>
      </c>
      <c r="BJ90" s="125">
        <v>88</v>
      </c>
      <c r="BK90" s="125">
        <v>2734</v>
      </c>
      <c r="BL90" s="125"/>
      <c r="BM90" s="125">
        <v>664</v>
      </c>
      <c r="BN90" s="125">
        <v>86</v>
      </c>
      <c r="BO90" s="125">
        <v>0</v>
      </c>
      <c r="BP90" s="125">
        <v>9230</v>
      </c>
      <c r="BQ90" s="125">
        <v>15225</v>
      </c>
      <c r="BR90" s="125">
        <v>20</v>
      </c>
      <c r="BS90" s="125">
        <v>331</v>
      </c>
      <c r="BT90" s="125">
        <v>431</v>
      </c>
      <c r="BU90" s="125"/>
      <c r="BV90" s="125">
        <v>8</v>
      </c>
      <c r="BW90" s="125">
        <v>234</v>
      </c>
      <c r="BX90" s="125"/>
      <c r="BY90" s="125">
        <v>811</v>
      </c>
      <c r="BZ90" s="125">
        <v>1</v>
      </c>
      <c r="CA90" s="125">
        <v>0</v>
      </c>
      <c r="CB90" s="125">
        <v>13009</v>
      </c>
      <c r="CC90" s="125">
        <v>60695</v>
      </c>
      <c r="CD90" s="125">
        <v>67822</v>
      </c>
      <c r="CE90" s="125">
        <v>13774</v>
      </c>
      <c r="CF90" s="125">
        <v>0</v>
      </c>
      <c r="CG90" s="125">
        <v>0</v>
      </c>
      <c r="CH90" s="125">
        <v>23</v>
      </c>
      <c r="CI90" s="125">
        <v>145</v>
      </c>
      <c r="CJ90" s="125">
        <v>194</v>
      </c>
      <c r="CK90" s="125"/>
      <c r="CL90" s="125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 t="s">
        <v>370</v>
      </c>
      <c r="CZ90" s="125" t="s">
        <v>370</v>
      </c>
      <c r="DA90" s="125" t="s">
        <v>370</v>
      </c>
      <c r="DB90" s="125">
        <v>0</v>
      </c>
      <c r="DC90" s="125">
        <v>0</v>
      </c>
      <c r="DD90" s="125">
        <v>0</v>
      </c>
      <c r="DE90">
        <f t="shared" si="19"/>
        <v>535752</v>
      </c>
      <c r="DG90" s="1">
        <f t="shared" si="33"/>
        <v>357316</v>
      </c>
      <c r="DH90" s="1">
        <f t="shared" si="20"/>
        <v>176000</v>
      </c>
      <c r="DI90" s="127">
        <f t="shared" si="21"/>
        <v>533316</v>
      </c>
      <c r="DK90" s="1">
        <f t="shared" si="22"/>
        <v>61150</v>
      </c>
      <c r="DL90" s="1">
        <f t="shared" si="23"/>
        <v>88725</v>
      </c>
      <c r="DM90" s="1">
        <f t="shared" si="24"/>
        <v>13381</v>
      </c>
      <c r="DN90" s="1">
        <f t="shared" si="25"/>
        <v>12256</v>
      </c>
      <c r="DO90" s="1">
        <f t="shared" si="26"/>
        <v>275582</v>
      </c>
      <c r="DP90" s="1">
        <f t="shared" si="27"/>
        <v>62342</v>
      </c>
      <c r="DQ90" s="1">
        <f t="shared" si="34"/>
        <v>0</v>
      </c>
      <c r="DR90" s="1">
        <f t="shared" si="28"/>
        <v>12746</v>
      </c>
      <c r="DS90" s="1">
        <f t="shared" si="29"/>
        <v>0</v>
      </c>
      <c r="DT90" s="1">
        <f t="shared" si="30"/>
        <v>7729</v>
      </c>
      <c r="DU90" s="1"/>
      <c r="DV90" s="1"/>
      <c r="DW90" s="1"/>
      <c r="DX90" s="1">
        <f t="shared" si="35"/>
        <v>533911</v>
      </c>
      <c r="DZ90" s="1">
        <f t="shared" si="36"/>
        <v>0</v>
      </c>
      <c r="EA90" s="1">
        <f t="shared" si="31"/>
        <v>0</v>
      </c>
      <c r="EC90" s="1">
        <f t="shared" si="37"/>
        <v>533911</v>
      </c>
      <c r="ED90" s="1">
        <f t="shared" si="32"/>
        <v>-1841</v>
      </c>
      <c r="EE90" s="1"/>
    </row>
    <row r="91" spans="1:135" x14ac:dyDescent="0.25">
      <c r="A91" s="124">
        <v>34973</v>
      </c>
      <c r="B91" s="125">
        <v>0</v>
      </c>
      <c r="C91" s="125">
        <v>0</v>
      </c>
      <c r="D91" s="125">
        <v>0</v>
      </c>
      <c r="E91" s="125" t="s">
        <v>370</v>
      </c>
      <c r="F91" s="125" t="s">
        <v>370</v>
      </c>
      <c r="G91" s="125">
        <v>0</v>
      </c>
      <c r="H91" s="125">
        <v>0</v>
      </c>
      <c r="I91" s="125">
        <v>0</v>
      </c>
      <c r="J91" s="125">
        <v>0</v>
      </c>
      <c r="K91" s="125"/>
      <c r="L91" s="125">
        <v>34547</v>
      </c>
      <c r="M91" s="125">
        <v>3410</v>
      </c>
      <c r="N91" s="125"/>
      <c r="O91" s="125">
        <v>6734</v>
      </c>
      <c r="P91" s="125">
        <v>3086</v>
      </c>
      <c r="Q91" s="125">
        <v>1548</v>
      </c>
      <c r="R91" s="125">
        <v>5371</v>
      </c>
      <c r="S91" s="125">
        <v>13381</v>
      </c>
      <c r="T91" s="125"/>
      <c r="U91" s="125"/>
      <c r="V91" s="125">
        <v>6454</v>
      </c>
      <c r="W91" s="125">
        <v>0</v>
      </c>
      <c r="X91" s="125">
        <v>838</v>
      </c>
      <c r="Y91" s="125">
        <v>30</v>
      </c>
      <c r="Z91" s="126"/>
      <c r="AA91" s="125">
        <v>26</v>
      </c>
      <c r="AB91" s="125">
        <v>0</v>
      </c>
      <c r="AC91" s="125">
        <v>8</v>
      </c>
      <c r="AD91" s="125">
        <v>29</v>
      </c>
      <c r="AE91" s="125">
        <v>17</v>
      </c>
      <c r="AF91" s="125">
        <v>56</v>
      </c>
      <c r="AG91" s="125"/>
      <c r="AH91" s="125"/>
      <c r="AI91" s="125">
        <v>31</v>
      </c>
      <c r="AJ91" s="125">
        <v>0</v>
      </c>
      <c r="AK91" s="125">
        <v>77012</v>
      </c>
      <c r="AL91" s="125">
        <v>3546</v>
      </c>
      <c r="AM91" s="125">
        <v>4640</v>
      </c>
      <c r="AN91" s="125">
        <v>44</v>
      </c>
      <c r="AO91" s="125">
        <v>2</v>
      </c>
      <c r="AP91" s="125">
        <v>0</v>
      </c>
      <c r="AQ91" s="125">
        <v>0</v>
      </c>
      <c r="AR91" s="125">
        <v>1927</v>
      </c>
      <c r="AS91" s="125" t="s">
        <v>370</v>
      </c>
      <c r="AT91" s="125">
        <v>1101</v>
      </c>
      <c r="AU91" s="125">
        <v>1308</v>
      </c>
      <c r="AV91" s="125">
        <v>2099</v>
      </c>
      <c r="AW91" s="125">
        <v>7558</v>
      </c>
      <c r="AX91" s="126"/>
      <c r="AY91" s="126"/>
      <c r="AZ91" s="126">
        <v>0</v>
      </c>
      <c r="BA91" s="126"/>
      <c r="BB91" s="125">
        <v>1197</v>
      </c>
      <c r="BC91" s="125"/>
      <c r="BD91" s="125">
        <v>50355</v>
      </c>
      <c r="BE91" s="125">
        <v>115525</v>
      </c>
      <c r="BF91" s="125">
        <v>275</v>
      </c>
      <c r="BG91" s="125">
        <v>724</v>
      </c>
      <c r="BH91" s="125">
        <v>908</v>
      </c>
      <c r="BI91" s="125">
        <v>4516</v>
      </c>
      <c r="BJ91" s="125">
        <v>80</v>
      </c>
      <c r="BK91" s="125">
        <v>2699</v>
      </c>
      <c r="BL91" s="125"/>
      <c r="BM91" s="125">
        <v>578</v>
      </c>
      <c r="BN91" s="125">
        <v>79</v>
      </c>
      <c r="BO91" s="125">
        <v>0</v>
      </c>
      <c r="BP91" s="125">
        <v>9333</v>
      </c>
      <c r="BQ91" s="125">
        <v>15479</v>
      </c>
      <c r="BR91" s="125">
        <v>20</v>
      </c>
      <c r="BS91" s="125">
        <v>269</v>
      </c>
      <c r="BT91" s="125">
        <v>348</v>
      </c>
      <c r="BU91" s="125"/>
      <c r="BV91" s="125">
        <v>6</v>
      </c>
      <c r="BW91" s="125">
        <v>239</v>
      </c>
      <c r="BX91" s="125"/>
      <c r="BY91" s="125">
        <v>764</v>
      </c>
      <c r="BZ91" s="125">
        <v>1</v>
      </c>
      <c r="CA91" s="125">
        <v>0</v>
      </c>
      <c r="CB91" s="125">
        <v>12721</v>
      </c>
      <c r="CC91" s="125">
        <v>60193</v>
      </c>
      <c r="CD91" s="125">
        <v>68110</v>
      </c>
      <c r="CE91" s="125">
        <v>13732</v>
      </c>
      <c r="CF91" s="125">
        <v>0</v>
      </c>
      <c r="CG91" s="125">
        <v>0</v>
      </c>
      <c r="CH91" s="125">
        <v>25</v>
      </c>
      <c r="CI91" s="125">
        <v>144</v>
      </c>
      <c r="CJ91" s="125">
        <v>193</v>
      </c>
      <c r="CK91" s="125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 t="s">
        <v>370</v>
      </c>
      <c r="CZ91" s="125" t="s">
        <v>370</v>
      </c>
      <c r="DA91" s="125" t="s">
        <v>370</v>
      </c>
      <c r="DB91" s="125">
        <v>0</v>
      </c>
      <c r="DC91" s="125">
        <v>0</v>
      </c>
      <c r="DD91" s="125">
        <v>0</v>
      </c>
      <c r="DE91">
        <f t="shared" si="19"/>
        <v>533316</v>
      </c>
      <c r="DG91" s="1">
        <f t="shared" si="33"/>
        <v>356159</v>
      </c>
      <c r="DH91" s="1">
        <f t="shared" si="20"/>
        <v>177033</v>
      </c>
      <c r="DI91" s="127">
        <f t="shared" si="21"/>
        <v>533192</v>
      </c>
      <c r="DK91" s="1">
        <f t="shared" si="22"/>
        <v>61147</v>
      </c>
      <c r="DL91" s="1">
        <f t="shared" si="23"/>
        <v>89213</v>
      </c>
      <c r="DM91" s="1">
        <f t="shared" si="24"/>
        <v>13516</v>
      </c>
      <c r="DN91" s="1">
        <f t="shared" si="25"/>
        <v>12545</v>
      </c>
      <c r="DO91" s="1">
        <f t="shared" si="26"/>
        <v>275298</v>
      </c>
      <c r="DP91" s="1">
        <f t="shared" si="27"/>
        <v>61259</v>
      </c>
      <c r="DQ91" s="1">
        <f t="shared" si="34"/>
        <v>0</v>
      </c>
      <c r="DR91" s="1">
        <f t="shared" si="28"/>
        <v>12541</v>
      </c>
      <c r="DS91" s="1">
        <f t="shared" si="29"/>
        <v>0</v>
      </c>
      <c r="DT91" s="1">
        <f t="shared" si="30"/>
        <v>7695</v>
      </c>
      <c r="DU91" s="1"/>
      <c r="DV91" s="1"/>
      <c r="DW91" s="1"/>
      <c r="DX91" s="1">
        <f t="shared" si="35"/>
        <v>533214</v>
      </c>
      <c r="DZ91" s="1">
        <f t="shared" si="36"/>
        <v>0</v>
      </c>
      <c r="EA91" s="1">
        <f t="shared" si="31"/>
        <v>0</v>
      </c>
      <c r="EC91" s="1">
        <f t="shared" si="37"/>
        <v>533214</v>
      </c>
      <c r="ED91" s="1">
        <f t="shared" si="32"/>
        <v>-102</v>
      </c>
      <c r="EE91" s="1"/>
    </row>
    <row r="92" spans="1:135" x14ac:dyDescent="0.25">
      <c r="A92" s="124">
        <v>35004</v>
      </c>
      <c r="B92" s="125">
        <v>0</v>
      </c>
      <c r="C92" s="125">
        <v>0</v>
      </c>
      <c r="D92" s="125">
        <v>0</v>
      </c>
      <c r="E92" s="125" t="s">
        <v>370</v>
      </c>
      <c r="F92" s="125" t="s">
        <v>370</v>
      </c>
      <c r="G92" s="125">
        <v>0</v>
      </c>
      <c r="H92" s="125">
        <v>0</v>
      </c>
      <c r="I92" s="125">
        <v>0</v>
      </c>
      <c r="J92" s="125">
        <v>0</v>
      </c>
      <c r="K92" s="125"/>
      <c r="L92" s="125">
        <v>34598</v>
      </c>
      <c r="M92" s="125">
        <v>3383</v>
      </c>
      <c r="N92" s="125"/>
      <c r="O92" s="125">
        <v>6666</v>
      </c>
      <c r="P92" s="125">
        <v>3157</v>
      </c>
      <c r="Q92" s="125">
        <v>1569</v>
      </c>
      <c r="R92" s="125">
        <v>5475</v>
      </c>
      <c r="S92" s="125">
        <v>13516</v>
      </c>
      <c r="T92" s="125"/>
      <c r="U92" s="125"/>
      <c r="V92" s="125">
        <v>6299</v>
      </c>
      <c r="W92" s="125">
        <v>0</v>
      </c>
      <c r="X92" s="125">
        <v>841</v>
      </c>
      <c r="Y92" s="125">
        <v>32</v>
      </c>
      <c r="Z92" s="126"/>
      <c r="AA92" s="125">
        <v>25</v>
      </c>
      <c r="AB92" s="125">
        <v>0</v>
      </c>
      <c r="AC92" s="125">
        <v>9</v>
      </c>
      <c r="AD92" s="125">
        <v>29</v>
      </c>
      <c r="AE92" s="125">
        <v>19</v>
      </c>
      <c r="AF92" s="125">
        <v>57</v>
      </c>
      <c r="AG92" s="125"/>
      <c r="AH92" s="125"/>
      <c r="AI92" s="125">
        <v>30</v>
      </c>
      <c r="AJ92" s="125">
        <v>0</v>
      </c>
      <c r="AK92" s="125">
        <v>77528</v>
      </c>
      <c r="AL92" s="125">
        <v>3565</v>
      </c>
      <c r="AM92" s="125">
        <v>4847</v>
      </c>
      <c r="AN92" s="125">
        <v>47</v>
      </c>
      <c r="AO92" s="125">
        <v>1</v>
      </c>
      <c r="AP92" s="125">
        <v>0</v>
      </c>
      <c r="AQ92" s="125">
        <v>0</v>
      </c>
      <c r="AR92" s="125">
        <v>1935</v>
      </c>
      <c r="AS92" s="125" t="s">
        <v>370</v>
      </c>
      <c r="AT92" s="125">
        <v>1091</v>
      </c>
      <c r="AU92" s="125">
        <v>1327</v>
      </c>
      <c r="AV92" s="125">
        <v>2127</v>
      </c>
      <c r="AW92" s="125">
        <v>7640</v>
      </c>
      <c r="AX92" s="126"/>
      <c r="AY92" s="126"/>
      <c r="AZ92" s="126">
        <v>0</v>
      </c>
      <c r="BA92" s="126"/>
      <c r="BB92" s="125">
        <v>1220</v>
      </c>
      <c r="BC92" s="125"/>
      <c r="BD92" s="125">
        <v>49722</v>
      </c>
      <c r="BE92" s="125">
        <v>114428</v>
      </c>
      <c r="BF92" s="125">
        <v>264</v>
      </c>
      <c r="BG92" s="125">
        <v>745</v>
      </c>
      <c r="BH92" s="125">
        <v>949</v>
      </c>
      <c r="BI92" s="125">
        <v>4497</v>
      </c>
      <c r="BJ92" s="125">
        <v>74</v>
      </c>
      <c r="BK92" s="125">
        <v>2697</v>
      </c>
      <c r="BL92" s="125"/>
      <c r="BM92" s="125">
        <v>599</v>
      </c>
      <c r="BN92" s="125">
        <v>76</v>
      </c>
      <c r="BO92" s="125">
        <v>0</v>
      </c>
      <c r="BP92" s="125">
        <v>9334</v>
      </c>
      <c r="BQ92" s="125">
        <v>15444</v>
      </c>
      <c r="BR92" s="125">
        <v>19</v>
      </c>
      <c r="BS92" s="125">
        <v>225</v>
      </c>
      <c r="BT92" s="125">
        <v>309</v>
      </c>
      <c r="BU92" s="125"/>
      <c r="BV92" s="125">
        <v>8</v>
      </c>
      <c r="BW92" s="125">
        <v>237</v>
      </c>
      <c r="BX92" s="125"/>
      <c r="BY92" s="125">
        <v>726</v>
      </c>
      <c r="BZ92" s="125">
        <v>1</v>
      </c>
      <c r="CA92" s="125">
        <v>0</v>
      </c>
      <c r="CB92" s="125">
        <v>12514</v>
      </c>
      <c r="CC92" s="125">
        <v>60379</v>
      </c>
      <c r="CD92" s="125">
        <v>68835</v>
      </c>
      <c r="CE92" s="125">
        <v>13730</v>
      </c>
      <c r="CF92" s="125">
        <v>0</v>
      </c>
      <c r="CG92" s="125">
        <v>0</v>
      </c>
      <c r="CH92" s="125">
        <v>27</v>
      </c>
      <c r="CI92" s="125">
        <v>129</v>
      </c>
      <c r="CJ92" s="125">
        <v>191</v>
      </c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 t="s">
        <v>370</v>
      </c>
      <c r="CZ92" s="125" t="s">
        <v>370</v>
      </c>
      <c r="DA92" s="125" t="s">
        <v>370</v>
      </c>
      <c r="DB92" s="125">
        <v>0</v>
      </c>
      <c r="DC92" s="125">
        <v>0</v>
      </c>
      <c r="DD92" s="125">
        <v>0</v>
      </c>
      <c r="DE92">
        <f t="shared" si="19"/>
        <v>533192</v>
      </c>
      <c r="DG92" s="1">
        <f t="shared" si="33"/>
        <v>356213</v>
      </c>
      <c r="DH92" s="1">
        <f t="shared" si="20"/>
        <v>177692</v>
      </c>
      <c r="DI92" s="127">
        <f t="shared" si="21"/>
        <v>533905</v>
      </c>
      <c r="DK92" s="1">
        <f t="shared" si="22"/>
        <v>61121</v>
      </c>
      <c r="DL92" s="1">
        <f t="shared" si="23"/>
        <v>89825</v>
      </c>
      <c r="DM92" s="1">
        <f t="shared" si="24"/>
        <v>13541</v>
      </c>
      <c r="DN92" s="1">
        <f t="shared" si="25"/>
        <v>12775</v>
      </c>
      <c r="DO92" s="1">
        <f t="shared" si="26"/>
        <v>275789</v>
      </c>
      <c r="DP92" s="1">
        <f t="shared" si="27"/>
        <v>60625</v>
      </c>
      <c r="DQ92" s="1">
        <f t="shared" si="34"/>
        <v>0</v>
      </c>
      <c r="DR92" s="1">
        <f t="shared" si="28"/>
        <v>12352</v>
      </c>
      <c r="DS92" s="1">
        <f t="shared" si="29"/>
        <v>0</v>
      </c>
      <c r="DT92" s="1">
        <f t="shared" si="30"/>
        <v>7719</v>
      </c>
      <c r="DU92" s="1"/>
      <c r="DV92" s="1"/>
      <c r="DW92" s="1"/>
      <c r="DX92" s="1">
        <f t="shared" si="35"/>
        <v>533747</v>
      </c>
      <c r="DZ92" s="1">
        <f t="shared" si="36"/>
        <v>0</v>
      </c>
      <c r="EA92" s="1">
        <f t="shared" si="31"/>
        <v>0</v>
      </c>
      <c r="EC92" s="1">
        <f t="shared" si="37"/>
        <v>533747</v>
      </c>
      <c r="ED92" s="1">
        <f t="shared" si="32"/>
        <v>555</v>
      </c>
      <c r="EE92" s="1"/>
    </row>
    <row r="93" spans="1:135" x14ac:dyDescent="0.25">
      <c r="A93" s="124">
        <v>35034</v>
      </c>
      <c r="B93" s="125">
        <v>0</v>
      </c>
      <c r="C93" s="125">
        <v>0</v>
      </c>
      <c r="D93" s="125">
        <v>0</v>
      </c>
      <c r="E93" s="125" t="s">
        <v>370</v>
      </c>
      <c r="F93" s="125" t="s">
        <v>370</v>
      </c>
      <c r="G93" s="125">
        <v>0</v>
      </c>
      <c r="H93" s="125">
        <v>0</v>
      </c>
      <c r="I93" s="125">
        <v>0</v>
      </c>
      <c r="J93" s="125">
        <v>0</v>
      </c>
      <c r="K93" s="125"/>
      <c r="L93" s="125">
        <v>34584</v>
      </c>
      <c r="M93" s="125">
        <v>3389</v>
      </c>
      <c r="N93" s="125"/>
      <c r="O93" s="125">
        <v>6607</v>
      </c>
      <c r="P93" s="125">
        <v>3210</v>
      </c>
      <c r="Q93" s="125">
        <v>1600</v>
      </c>
      <c r="R93" s="125">
        <v>5559</v>
      </c>
      <c r="S93" s="125">
        <v>13541</v>
      </c>
      <c r="T93" s="125"/>
      <c r="U93" s="125"/>
      <c r="V93" s="125">
        <v>6172</v>
      </c>
      <c r="W93" s="125">
        <v>0</v>
      </c>
      <c r="X93" s="125">
        <v>836</v>
      </c>
      <c r="Y93" s="125">
        <v>33</v>
      </c>
      <c r="Z93" s="126"/>
      <c r="AA93" s="125">
        <v>28</v>
      </c>
      <c r="AB93" s="125">
        <v>0</v>
      </c>
      <c r="AC93" s="125">
        <v>9</v>
      </c>
      <c r="AD93" s="125">
        <v>29</v>
      </c>
      <c r="AE93" s="125">
        <v>20</v>
      </c>
      <c r="AF93" s="125">
        <v>57</v>
      </c>
      <c r="AG93" s="125"/>
      <c r="AH93" s="125"/>
      <c r="AI93" s="125">
        <v>30</v>
      </c>
      <c r="AJ93" s="125">
        <v>0</v>
      </c>
      <c r="AK93" s="125">
        <v>77913</v>
      </c>
      <c r="AL93" s="125">
        <v>3573</v>
      </c>
      <c r="AM93" s="125">
        <v>5041</v>
      </c>
      <c r="AN93" s="125">
        <v>48</v>
      </c>
      <c r="AO93" s="125">
        <v>2</v>
      </c>
      <c r="AP93" s="125">
        <v>0</v>
      </c>
      <c r="AQ93" s="125">
        <v>0</v>
      </c>
      <c r="AR93" s="125">
        <v>1937</v>
      </c>
      <c r="AS93" s="125" t="s">
        <v>370</v>
      </c>
      <c r="AT93" s="125">
        <v>1105</v>
      </c>
      <c r="AU93" s="125">
        <v>1357</v>
      </c>
      <c r="AV93" s="125">
        <v>2116</v>
      </c>
      <c r="AW93" s="125">
        <v>7675</v>
      </c>
      <c r="AX93" s="126"/>
      <c r="AY93" s="126"/>
      <c r="AZ93" s="126">
        <v>0</v>
      </c>
      <c r="BA93" s="126"/>
      <c r="BB93" s="125">
        <v>1221</v>
      </c>
      <c r="BC93" s="125"/>
      <c r="BD93" s="125">
        <v>49544</v>
      </c>
      <c r="BE93" s="125">
        <v>114219</v>
      </c>
      <c r="BF93" s="125">
        <v>265</v>
      </c>
      <c r="BG93" s="125">
        <v>771</v>
      </c>
      <c r="BH93" s="125">
        <v>976</v>
      </c>
      <c r="BI93" s="125">
        <v>4513</v>
      </c>
      <c r="BJ93" s="125">
        <v>76</v>
      </c>
      <c r="BK93" s="125">
        <v>2697</v>
      </c>
      <c r="BL93" s="125"/>
      <c r="BM93" s="125">
        <v>652</v>
      </c>
      <c r="BN93" s="125">
        <v>77</v>
      </c>
      <c r="BO93" s="125">
        <v>0</v>
      </c>
      <c r="BP93" s="125">
        <v>9192</v>
      </c>
      <c r="BQ93" s="125">
        <v>15137</v>
      </c>
      <c r="BR93" s="125">
        <v>19</v>
      </c>
      <c r="BS93" s="125">
        <v>194</v>
      </c>
      <c r="BT93" s="125">
        <v>278</v>
      </c>
      <c r="BU93" s="125"/>
      <c r="BV93" s="125">
        <v>8</v>
      </c>
      <c r="BW93" s="125">
        <v>244</v>
      </c>
      <c r="BX93" s="125"/>
      <c r="BY93" s="125">
        <v>678</v>
      </c>
      <c r="BZ93" s="125">
        <v>1</v>
      </c>
      <c r="CA93" s="125">
        <v>0</v>
      </c>
      <c r="CB93" s="125">
        <v>12327</v>
      </c>
      <c r="CC93" s="125">
        <v>60561</v>
      </c>
      <c r="CD93" s="125">
        <v>69773</v>
      </c>
      <c r="CE93" s="125">
        <v>13671</v>
      </c>
      <c r="CF93" s="125">
        <v>0</v>
      </c>
      <c r="CG93" s="125">
        <v>0</v>
      </c>
      <c r="CH93" s="125">
        <v>25</v>
      </c>
      <c r="CI93" s="125">
        <v>128</v>
      </c>
      <c r="CJ93" s="125">
        <v>187</v>
      </c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 t="s">
        <v>370</v>
      </c>
      <c r="CZ93" s="125" t="s">
        <v>370</v>
      </c>
      <c r="DA93" s="125" t="s">
        <v>370</v>
      </c>
      <c r="DB93" s="125">
        <v>0</v>
      </c>
      <c r="DC93" s="125">
        <v>0</v>
      </c>
      <c r="DD93" s="125">
        <v>0</v>
      </c>
      <c r="DE93">
        <f t="shared" si="19"/>
        <v>533905</v>
      </c>
      <c r="DG93" s="1">
        <f t="shared" si="33"/>
        <v>356436</v>
      </c>
      <c r="DH93" s="1">
        <f t="shared" si="20"/>
        <v>178144</v>
      </c>
      <c r="DI93" s="127">
        <f t="shared" si="21"/>
        <v>534580</v>
      </c>
      <c r="DK93" s="1">
        <f t="shared" si="22"/>
        <v>60990</v>
      </c>
      <c r="DL93" s="1">
        <f t="shared" si="23"/>
        <v>90255</v>
      </c>
      <c r="DM93" s="1">
        <f t="shared" si="24"/>
        <v>13522</v>
      </c>
      <c r="DN93" s="1">
        <f t="shared" si="25"/>
        <v>12955</v>
      </c>
      <c r="DO93" s="1">
        <f t="shared" si="26"/>
        <v>276562</v>
      </c>
      <c r="DP93" s="1">
        <f t="shared" si="27"/>
        <v>60353</v>
      </c>
      <c r="DQ93" s="1">
        <f t="shared" si="34"/>
        <v>0</v>
      </c>
      <c r="DR93" s="1">
        <f t="shared" si="28"/>
        <v>12185</v>
      </c>
      <c r="DS93" s="1">
        <f t="shared" si="29"/>
        <v>0</v>
      </c>
      <c r="DT93" s="1">
        <f t="shared" si="30"/>
        <v>7726</v>
      </c>
      <c r="DU93" s="1"/>
      <c r="DV93" s="1"/>
      <c r="DW93" s="1"/>
      <c r="DX93" s="1">
        <f t="shared" si="35"/>
        <v>534548</v>
      </c>
      <c r="DZ93" s="1">
        <f t="shared" si="36"/>
        <v>0</v>
      </c>
      <c r="EA93" s="1">
        <f t="shared" si="31"/>
        <v>0</v>
      </c>
      <c r="EC93" s="1">
        <f t="shared" si="37"/>
        <v>534548</v>
      </c>
      <c r="ED93" s="1">
        <f t="shared" si="32"/>
        <v>643</v>
      </c>
      <c r="EE93" s="1"/>
    </row>
    <row r="94" spans="1:135" x14ac:dyDescent="0.25">
      <c r="A94" s="124">
        <v>35065</v>
      </c>
      <c r="B94" s="125">
        <v>0</v>
      </c>
      <c r="C94" s="125">
        <v>0</v>
      </c>
      <c r="D94" s="125">
        <v>0</v>
      </c>
      <c r="E94" s="125" t="s">
        <v>370</v>
      </c>
      <c r="F94" s="125" t="s">
        <v>370</v>
      </c>
      <c r="G94" s="125">
        <v>0</v>
      </c>
      <c r="H94" s="125">
        <v>0</v>
      </c>
      <c r="I94" s="125">
        <v>0</v>
      </c>
      <c r="J94" s="125">
        <v>0</v>
      </c>
      <c r="K94" s="125"/>
      <c r="L94" s="125">
        <v>34545</v>
      </c>
      <c r="M94" s="125">
        <v>3362</v>
      </c>
      <c r="N94" s="125"/>
      <c r="O94" s="125">
        <v>6539</v>
      </c>
      <c r="P94" s="125">
        <v>3244</v>
      </c>
      <c r="Q94" s="125">
        <v>1613</v>
      </c>
      <c r="R94" s="125">
        <v>5599</v>
      </c>
      <c r="S94" s="125">
        <v>13522</v>
      </c>
      <c r="T94" s="125"/>
      <c r="U94" s="125"/>
      <c r="V94" s="125">
        <v>6088</v>
      </c>
      <c r="W94" s="125">
        <v>0</v>
      </c>
      <c r="X94" s="125">
        <v>840</v>
      </c>
      <c r="Y94" s="125">
        <v>34</v>
      </c>
      <c r="Z94" s="126"/>
      <c r="AA94" s="125">
        <v>26</v>
      </c>
      <c r="AB94" s="125">
        <v>0</v>
      </c>
      <c r="AC94" s="125">
        <v>10</v>
      </c>
      <c r="AD94" s="125">
        <v>29</v>
      </c>
      <c r="AE94" s="125">
        <v>22</v>
      </c>
      <c r="AF94" s="125">
        <v>55</v>
      </c>
      <c r="AG94" s="125"/>
      <c r="AH94" s="125"/>
      <c r="AI94" s="125">
        <v>32</v>
      </c>
      <c r="AJ94" s="125">
        <v>0</v>
      </c>
      <c r="AK94" s="125">
        <v>78307</v>
      </c>
      <c r="AL94" s="125">
        <v>3580</v>
      </c>
      <c r="AM94" s="125">
        <v>5192</v>
      </c>
      <c r="AN94" s="125">
        <v>55</v>
      </c>
      <c r="AO94" s="125">
        <v>3</v>
      </c>
      <c r="AP94" s="125">
        <v>0</v>
      </c>
      <c r="AQ94" s="125">
        <v>0</v>
      </c>
      <c r="AR94" s="125">
        <v>1890</v>
      </c>
      <c r="AS94" s="125" t="s">
        <v>370</v>
      </c>
      <c r="AT94" s="125">
        <v>1122</v>
      </c>
      <c r="AU94" s="125">
        <v>1370</v>
      </c>
      <c r="AV94" s="125">
        <v>2139</v>
      </c>
      <c r="AW94" s="125">
        <v>7705</v>
      </c>
      <c r="AX94" s="126"/>
      <c r="AY94" s="126"/>
      <c r="AZ94" s="126">
        <v>0</v>
      </c>
      <c r="BA94" s="126"/>
      <c r="BB94" s="125">
        <v>1221</v>
      </c>
      <c r="BC94" s="125"/>
      <c r="BD94" s="125">
        <v>49446</v>
      </c>
      <c r="BE94" s="125">
        <v>114154</v>
      </c>
      <c r="BF94" s="125">
        <v>273</v>
      </c>
      <c r="BG94" s="125">
        <v>778</v>
      </c>
      <c r="BH94" s="125">
        <v>971</v>
      </c>
      <c r="BI94" s="125">
        <v>4513</v>
      </c>
      <c r="BJ94" s="125">
        <v>71</v>
      </c>
      <c r="BK94" s="125">
        <v>2697</v>
      </c>
      <c r="BL94" s="125"/>
      <c r="BM94" s="125">
        <v>632</v>
      </c>
      <c r="BN94" s="125">
        <v>73</v>
      </c>
      <c r="BO94" s="125">
        <v>0</v>
      </c>
      <c r="BP94" s="125">
        <v>8914</v>
      </c>
      <c r="BQ94" s="125">
        <v>14645</v>
      </c>
      <c r="BR94" s="125">
        <v>21</v>
      </c>
      <c r="BS94" s="125">
        <v>193</v>
      </c>
      <c r="BT94" s="125">
        <v>274</v>
      </c>
      <c r="BU94" s="125"/>
      <c r="BV94" s="125">
        <v>6</v>
      </c>
      <c r="BW94" s="125">
        <v>243</v>
      </c>
      <c r="BX94" s="125"/>
      <c r="BY94" s="125">
        <v>647</v>
      </c>
      <c r="BZ94" s="125">
        <v>1</v>
      </c>
      <c r="CA94" s="125">
        <v>0</v>
      </c>
      <c r="CB94" s="125">
        <v>12162</v>
      </c>
      <c r="CC94" s="125">
        <v>60912</v>
      </c>
      <c r="CD94" s="125">
        <v>70846</v>
      </c>
      <c r="CE94" s="125">
        <v>13619</v>
      </c>
      <c r="CF94" s="125">
        <v>0</v>
      </c>
      <c r="CG94" s="125">
        <v>0</v>
      </c>
      <c r="CH94" s="125">
        <v>23</v>
      </c>
      <c r="CI94" s="125">
        <v>131</v>
      </c>
      <c r="CJ94" s="125">
        <v>191</v>
      </c>
      <c r="CK94" s="125"/>
      <c r="CL94" s="125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 t="s">
        <v>370</v>
      </c>
      <c r="CZ94" s="125" t="s">
        <v>370</v>
      </c>
      <c r="DA94" s="125" t="s">
        <v>370</v>
      </c>
      <c r="DB94" s="125">
        <v>0</v>
      </c>
      <c r="DC94" s="125">
        <v>0</v>
      </c>
      <c r="DD94" s="125">
        <v>0</v>
      </c>
      <c r="DE94">
        <f t="shared" si="19"/>
        <v>534580</v>
      </c>
      <c r="DG94" s="1">
        <f t="shared" si="33"/>
        <v>357117</v>
      </c>
      <c r="DH94" s="1">
        <f t="shared" si="20"/>
        <v>178414</v>
      </c>
      <c r="DI94" s="127">
        <f t="shared" si="21"/>
        <v>535531</v>
      </c>
      <c r="DK94" s="1">
        <f t="shared" si="22"/>
        <v>60629</v>
      </c>
      <c r="DL94" s="1">
        <f t="shared" si="23"/>
        <v>90677</v>
      </c>
      <c r="DM94" s="1">
        <f t="shared" si="24"/>
        <v>13514</v>
      </c>
      <c r="DN94" s="1">
        <f t="shared" si="25"/>
        <v>13143</v>
      </c>
      <c r="DO94" s="1">
        <f t="shared" si="26"/>
        <v>277440</v>
      </c>
      <c r="DP94" s="1">
        <f t="shared" si="27"/>
        <v>59963</v>
      </c>
      <c r="DQ94" s="1">
        <f t="shared" si="34"/>
        <v>0</v>
      </c>
      <c r="DR94" s="1">
        <f t="shared" si="28"/>
        <v>12380</v>
      </c>
      <c r="DS94" s="1">
        <f t="shared" si="29"/>
        <v>0</v>
      </c>
      <c r="DT94" s="1">
        <f t="shared" si="30"/>
        <v>7844</v>
      </c>
      <c r="DU94" s="1"/>
      <c r="DV94" s="1"/>
      <c r="DW94" s="1"/>
      <c r="DX94" s="1">
        <f t="shared" si="35"/>
        <v>535590</v>
      </c>
      <c r="DZ94" s="1">
        <f t="shared" si="36"/>
        <v>0</v>
      </c>
      <c r="EA94" s="1">
        <f t="shared" si="31"/>
        <v>0</v>
      </c>
      <c r="EC94" s="1">
        <f t="shared" si="37"/>
        <v>535590</v>
      </c>
      <c r="ED94" s="1">
        <f t="shared" si="32"/>
        <v>1010</v>
      </c>
      <c r="EE94" s="1"/>
    </row>
    <row r="95" spans="1:135" x14ac:dyDescent="0.25">
      <c r="A95" s="124">
        <v>35096</v>
      </c>
      <c r="B95" s="125">
        <v>0</v>
      </c>
      <c r="C95" s="125">
        <v>0</v>
      </c>
      <c r="D95" s="125">
        <v>0</v>
      </c>
      <c r="E95" s="125" t="s">
        <v>370</v>
      </c>
      <c r="F95" s="125" t="s">
        <v>370</v>
      </c>
      <c r="G95" s="125">
        <v>0</v>
      </c>
      <c r="H95" s="125">
        <v>0</v>
      </c>
      <c r="I95" s="125">
        <v>0</v>
      </c>
      <c r="J95" s="125">
        <v>0</v>
      </c>
      <c r="K95" s="125"/>
      <c r="L95" s="125">
        <v>34443</v>
      </c>
      <c r="M95" s="125">
        <v>3334</v>
      </c>
      <c r="N95" s="125"/>
      <c r="O95" s="125">
        <v>6378</v>
      </c>
      <c r="P95" s="125">
        <v>3284</v>
      </c>
      <c r="Q95" s="125">
        <v>1646</v>
      </c>
      <c r="R95" s="125">
        <v>5633</v>
      </c>
      <c r="S95" s="125">
        <v>13514</v>
      </c>
      <c r="T95" s="125"/>
      <c r="U95" s="125"/>
      <c r="V95" s="125">
        <v>5911</v>
      </c>
      <c r="W95" s="125">
        <v>0</v>
      </c>
      <c r="X95" s="125">
        <v>836</v>
      </c>
      <c r="Y95" s="125">
        <v>32</v>
      </c>
      <c r="Z95" s="126"/>
      <c r="AA95" s="125">
        <v>24</v>
      </c>
      <c r="AB95" s="125">
        <v>0</v>
      </c>
      <c r="AC95" s="125">
        <v>10</v>
      </c>
      <c r="AD95" s="125">
        <v>28</v>
      </c>
      <c r="AE95" s="125">
        <v>22</v>
      </c>
      <c r="AF95" s="125">
        <v>54</v>
      </c>
      <c r="AG95" s="125"/>
      <c r="AH95" s="125"/>
      <c r="AI95" s="125">
        <v>30</v>
      </c>
      <c r="AJ95" s="125">
        <v>0</v>
      </c>
      <c r="AK95" s="125">
        <v>78794</v>
      </c>
      <c r="AL95" s="125">
        <v>3558</v>
      </c>
      <c r="AM95" s="125">
        <v>5282</v>
      </c>
      <c r="AN95" s="125">
        <v>49</v>
      </c>
      <c r="AO95" s="125">
        <v>3</v>
      </c>
      <c r="AP95" s="125">
        <v>0</v>
      </c>
      <c r="AQ95" s="125">
        <v>0</v>
      </c>
      <c r="AR95" s="125">
        <v>1857</v>
      </c>
      <c r="AS95" s="125" t="s">
        <v>370</v>
      </c>
      <c r="AT95" s="125">
        <v>1156</v>
      </c>
      <c r="AU95" s="125">
        <v>1386</v>
      </c>
      <c r="AV95" s="125">
        <v>2135</v>
      </c>
      <c r="AW95" s="125">
        <v>7804</v>
      </c>
      <c r="AX95" s="126"/>
      <c r="AY95" s="126"/>
      <c r="AZ95" s="126">
        <v>0</v>
      </c>
      <c r="BA95" s="126"/>
      <c r="BB95" s="125">
        <v>1211</v>
      </c>
      <c r="BC95" s="125"/>
      <c r="BD95" s="125">
        <v>49222</v>
      </c>
      <c r="BE95" s="125">
        <v>113716</v>
      </c>
      <c r="BF95" s="125">
        <v>276</v>
      </c>
      <c r="BG95" s="125">
        <v>842</v>
      </c>
      <c r="BH95" s="125">
        <v>1023</v>
      </c>
      <c r="BI95" s="125">
        <v>4597</v>
      </c>
      <c r="BJ95" s="125">
        <v>83</v>
      </c>
      <c r="BK95" s="125">
        <v>2725</v>
      </c>
      <c r="BL95" s="125"/>
      <c r="BM95" s="125">
        <v>573</v>
      </c>
      <c r="BN95" s="125">
        <v>70</v>
      </c>
      <c r="BO95" s="125">
        <v>0</v>
      </c>
      <c r="BP95" s="125">
        <v>8636</v>
      </c>
      <c r="BQ95" s="125">
        <v>14130</v>
      </c>
      <c r="BR95" s="125">
        <v>23</v>
      </c>
      <c r="BS95" s="125">
        <v>180</v>
      </c>
      <c r="BT95" s="125">
        <v>267</v>
      </c>
      <c r="BU95" s="125"/>
      <c r="BV95" s="125">
        <v>4</v>
      </c>
      <c r="BW95" s="125">
        <v>246</v>
      </c>
      <c r="BX95" s="125"/>
      <c r="BY95" s="125">
        <v>618</v>
      </c>
      <c r="BZ95" s="125">
        <v>1</v>
      </c>
      <c r="CA95" s="125">
        <v>0</v>
      </c>
      <c r="CB95" s="125">
        <v>12361</v>
      </c>
      <c r="CC95" s="125">
        <v>61310</v>
      </c>
      <c r="CD95" s="125">
        <v>72095</v>
      </c>
      <c r="CE95" s="125">
        <v>13772</v>
      </c>
      <c r="CF95" s="125">
        <v>0</v>
      </c>
      <c r="CG95" s="125">
        <v>0</v>
      </c>
      <c r="CH95" s="125">
        <v>19</v>
      </c>
      <c r="CI95" s="125">
        <v>132</v>
      </c>
      <c r="CJ95" s="125">
        <v>196</v>
      </c>
      <c r="CK95" s="125"/>
      <c r="CL95" s="125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 t="s">
        <v>370</v>
      </c>
      <c r="CZ95" s="125" t="s">
        <v>370</v>
      </c>
      <c r="DA95" s="125" t="s">
        <v>370</v>
      </c>
      <c r="DB95" s="125">
        <v>0</v>
      </c>
      <c r="DC95" s="125">
        <v>0</v>
      </c>
      <c r="DD95" s="125">
        <v>0</v>
      </c>
      <c r="DE95">
        <f t="shared" si="19"/>
        <v>535531</v>
      </c>
      <c r="DG95" s="1">
        <f t="shared" si="33"/>
        <v>357800</v>
      </c>
      <c r="DH95" s="1">
        <f t="shared" si="20"/>
        <v>179020</v>
      </c>
      <c r="DI95" s="127">
        <f t="shared" si="21"/>
        <v>536820</v>
      </c>
      <c r="DK95" s="1">
        <f t="shared" si="22"/>
        <v>60573</v>
      </c>
      <c r="DL95" s="1">
        <f t="shared" si="23"/>
        <v>91128</v>
      </c>
      <c r="DM95" s="1">
        <f t="shared" si="24"/>
        <v>13500</v>
      </c>
      <c r="DN95" s="1">
        <f t="shared" si="25"/>
        <v>13279</v>
      </c>
      <c r="DO95" s="1">
        <f t="shared" si="26"/>
        <v>278420</v>
      </c>
      <c r="DP95" s="1">
        <f t="shared" si="27"/>
        <v>59453</v>
      </c>
      <c r="DQ95" s="1">
        <f t="shared" si="34"/>
        <v>0</v>
      </c>
      <c r="DR95" s="1">
        <f t="shared" si="28"/>
        <v>12448</v>
      </c>
      <c r="DS95" s="1">
        <f t="shared" si="29"/>
        <v>0</v>
      </c>
      <c r="DT95" s="1">
        <f t="shared" si="30"/>
        <v>7854</v>
      </c>
      <c r="DU95" s="1"/>
      <c r="DV95" s="1"/>
      <c r="DW95" s="1"/>
      <c r="DX95" s="1">
        <f t="shared" si="35"/>
        <v>536655</v>
      </c>
      <c r="DZ95" s="1">
        <f t="shared" si="36"/>
        <v>0</v>
      </c>
      <c r="EA95" s="1">
        <f t="shared" si="31"/>
        <v>0</v>
      </c>
      <c r="EC95" s="1">
        <f t="shared" si="37"/>
        <v>536655</v>
      </c>
      <c r="ED95" s="1">
        <f t="shared" si="32"/>
        <v>1124</v>
      </c>
      <c r="EE95" s="1"/>
    </row>
    <row r="96" spans="1:135" x14ac:dyDescent="0.25">
      <c r="A96" s="124">
        <v>35125</v>
      </c>
      <c r="B96" s="125">
        <v>0</v>
      </c>
      <c r="C96" s="125">
        <v>0</v>
      </c>
      <c r="D96" s="125">
        <v>0</v>
      </c>
      <c r="E96" s="125" t="s">
        <v>370</v>
      </c>
      <c r="F96" s="125" t="s">
        <v>370</v>
      </c>
      <c r="G96" s="125">
        <v>0</v>
      </c>
      <c r="H96" s="125">
        <v>0</v>
      </c>
      <c r="I96" s="125">
        <v>0</v>
      </c>
      <c r="J96" s="125">
        <v>0</v>
      </c>
      <c r="K96" s="125"/>
      <c r="L96" s="125">
        <v>34414</v>
      </c>
      <c r="M96" s="125">
        <v>3325</v>
      </c>
      <c r="N96" s="125"/>
      <c r="O96" s="125">
        <v>6215</v>
      </c>
      <c r="P96" s="125">
        <v>3413</v>
      </c>
      <c r="Q96" s="125">
        <v>1674</v>
      </c>
      <c r="R96" s="125">
        <v>5822</v>
      </c>
      <c r="S96" s="125">
        <v>13500</v>
      </c>
      <c r="T96" s="125"/>
      <c r="U96" s="125"/>
      <c r="V96" s="125">
        <v>5710</v>
      </c>
      <c r="W96" s="125">
        <v>0</v>
      </c>
      <c r="X96" s="125">
        <v>833</v>
      </c>
      <c r="Y96" s="125">
        <v>32</v>
      </c>
      <c r="Z96" s="126"/>
      <c r="AA96" s="125">
        <v>25</v>
      </c>
      <c r="AB96" s="125">
        <v>0</v>
      </c>
      <c r="AC96" s="125">
        <v>11</v>
      </c>
      <c r="AD96" s="125">
        <v>27</v>
      </c>
      <c r="AE96" s="125">
        <v>20</v>
      </c>
      <c r="AF96" s="125">
        <v>53</v>
      </c>
      <c r="AG96" s="125"/>
      <c r="AH96" s="125"/>
      <c r="AI96" s="125">
        <v>28</v>
      </c>
      <c r="AJ96" s="125">
        <v>0</v>
      </c>
      <c r="AK96" s="125">
        <v>79283</v>
      </c>
      <c r="AL96" s="125">
        <v>3538</v>
      </c>
      <c r="AM96" s="125">
        <v>5343</v>
      </c>
      <c r="AN96" s="125">
        <v>48</v>
      </c>
      <c r="AO96" s="125">
        <v>3</v>
      </c>
      <c r="AP96" s="125">
        <v>0</v>
      </c>
      <c r="AQ96" s="125">
        <v>0</v>
      </c>
      <c r="AR96" s="125">
        <v>1855</v>
      </c>
      <c r="AS96" s="125" t="s">
        <v>370</v>
      </c>
      <c r="AT96" s="125">
        <v>1201</v>
      </c>
      <c r="AU96" s="125">
        <v>1394</v>
      </c>
      <c r="AV96" s="125">
        <v>2158</v>
      </c>
      <c r="AW96" s="125">
        <v>7880</v>
      </c>
      <c r="AX96" s="126"/>
      <c r="AY96" s="126"/>
      <c r="AZ96" s="126">
        <v>0</v>
      </c>
      <c r="BA96" s="126"/>
      <c r="BB96" s="125">
        <v>1215</v>
      </c>
      <c r="BC96" s="125"/>
      <c r="BD96" s="125">
        <v>49080</v>
      </c>
      <c r="BE96" s="125">
        <v>113371</v>
      </c>
      <c r="BF96" s="125">
        <v>271</v>
      </c>
      <c r="BG96" s="125">
        <v>867</v>
      </c>
      <c r="BH96" s="125">
        <v>1043</v>
      </c>
      <c r="BI96" s="125">
        <v>4650</v>
      </c>
      <c r="BJ96" s="125">
        <v>80</v>
      </c>
      <c r="BK96" s="125">
        <v>2691</v>
      </c>
      <c r="BL96" s="125"/>
      <c r="BM96" s="125">
        <v>580</v>
      </c>
      <c r="BN96" s="125">
        <v>71</v>
      </c>
      <c r="BO96" s="125">
        <v>0</v>
      </c>
      <c r="BP96" s="125">
        <v>8377</v>
      </c>
      <c r="BQ96" s="125">
        <v>13597</v>
      </c>
      <c r="BR96" s="125">
        <v>24</v>
      </c>
      <c r="BS96" s="125">
        <v>174</v>
      </c>
      <c r="BT96" s="125">
        <v>264</v>
      </c>
      <c r="BU96" s="125"/>
      <c r="BV96" s="125">
        <v>5</v>
      </c>
      <c r="BW96" s="125">
        <v>242</v>
      </c>
      <c r="BX96" s="125"/>
      <c r="BY96" s="125">
        <v>600</v>
      </c>
      <c r="BZ96" s="125">
        <v>1</v>
      </c>
      <c r="CA96" s="125">
        <v>0</v>
      </c>
      <c r="CB96" s="125">
        <v>12429</v>
      </c>
      <c r="CC96" s="125">
        <v>61813</v>
      </c>
      <c r="CD96" s="125">
        <v>73392</v>
      </c>
      <c r="CE96" s="125">
        <v>13821</v>
      </c>
      <c r="CF96" s="125">
        <v>0</v>
      </c>
      <c r="CG96" s="125">
        <v>0</v>
      </c>
      <c r="CH96" s="125">
        <v>19</v>
      </c>
      <c r="CI96" s="125">
        <v>131</v>
      </c>
      <c r="CJ96" s="125">
        <v>207</v>
      </c>
      <c r="CK96" s="125"/>
      <c r="CL96" s="125"/>
      <c r="CM96" s="125"/>
      <c r="CN96" s="125"/>
      <c r="CO96" s="125"/>
      <c r="CP96" s="125"/>
      <c r="CQ96" s="125"/>
      <c r="CR96" s="125"/>
      <c r="CS96" s="125"/>
      <c r="CT96" s="125"/>
      <c r="CU96" s="125"/>
      <c r="CV96" s="125"/>
      <c r="CW96" s="125"/>
      <c r="CX96" s="125"/>
      <c r="CY96" s="125" t="s">
        <v>370</v>
      </c>
      <c r="CZ96" s="125" t="s">
        <v>370</v>
      </c>
      <c r="DA96" s="125" t="s">
        <v>370</v>
      </c>
      <c r="DB96" s="125">
        <v>0</v>
      </c>
      <c r="DC96" s="125">
        <v>0</v>
      </c>
      <c r="DD96" s="125">
        <v>0</v>
      </c>
      <c r="DE96">
        <f t="shared" si="19"/>
        <v>536820</v>
      </c>
      <c r="DG96" s="1">
        <f t="shared" si="33"/>
        <v>356775</v>
      </c>
      <c r="DH96" s="1">
        <f t="shared" si="20"/>
        <v>179969</v>
      </c>
      <c r="DI96" s="127">
        <f t="shared" si="21"/>
        <v>536744</v>
      </c>
      <c r="DK96" s="1">
        <f t="shared" si="22"/>
        <v>60649</v>
      </c>
      <c r="DL96" s="1">
        <f t="shared" si="23"/>
        <v>91668</v>
      </c>
      <c r="DM96" s="1">
        <f t="shared" si="24"/>
        <v>13573</v>
      </c>
      <c r="DN96" s="1">
        <f t="shared" si="25"/>
        <v>13512</v>
      </c>
      <c r="DO96" s="1">
        <f t="shared" si="26"/>
        <v>277983</v>
      </c>
      <c r="DP96" s="1">
        <f t="shared" si="27"/>
        <v>59078</v>
      </c>
      <c r="DQ96" s="1">
        <f t="shared" si="34"/>
        <v>0</v>
      </c>
      <c r="DR96" s="1">
        <f t="shared" si="28"/>
        <v>12543</v>
      </c>
      <c r="DS96" s="1">
        <f t="shared" si="29"/>
        <v>0</v>
      </c>
      <c r="DT96" s="1">
        <f t="shared" si="30"/>
        <v>7901</v>
      </c>
      <c r="DU96" s="1"/>
      <c r="DV96" s="1"/>
      <c r="DW96" s="1"/>
      <c r="DX96" s="1">
        <f t="shared" si="35"/>
        <v>536907</v>
      </c>
      <c r="DZ96" s="1">
        <f t="shared" si="36"/>
        <v>0</v>
      </c>
      <c r="EA96" s="1">
        <f t="shared" si="31"/>
        <v>0</v>
      </c>
      <c r="EC96" s="1">
        <f t="shared" si="37"/>
        <v>536907</v>
      </c>
      <c r="ED96" s="1">
        <f t="shared" si="32"/>
        <v>87</v>
      </c>
      <c r="EE96" s="1"/>
    </row>
    <row r="97" spans="1:135" x14ac:dyDescent="0.25">
      <c r="A97" s="124">
        <v>35156</v>
      </c>
      <c r="B97" s="125">
        <v>0</v>
      </c>
      <c r="C97" s="125">
        <v>0</v>
      </c>
      <c r="D97" s="125">
        <v>0</v>
      </c>
      <c r="E97" s="125" t="s">
        <v>370</v>
      </c>
      <c r="F97" s="125" t="s">
        <v>370</v>
      </c>
      <c r="G97" s="125">
        <v>0</v>
      </c>
      <c r="H97" s="125">
        <v>0</v>
      </c>
      <c r="I97" s="125">
        <v>0</v>
      </c>
      <c r="J97" s="125">
        <v>0</v>
      </c>
      <c r="K97" s="125"/>
      <c r="L97" s="125">
        <v>34392</v>
      </c>
      <c r="M97" s="125">
        <v>3318</v>
      </c>
      <c r="N97" s="125"/>
      <c r="O97" s="125">
        <v>6026</v>
      </c>
      <c r="P97" s="125">
        <v>3650</v>
      </c>
      <c r="Q97" s="125">
        <v>1681</v>
      </c>
      <c r="R97" s="125">
        <v>6076</v>
      </c>
      <c r="S97" s="125">
        <v>13573</v>
      </c>
      <c r="T97" s="125"/>
      <c r="U97" s="125"/>
      <c r="V97" s="125">
        <v>5506</v>
      </c>
      <c r="W97" s="125">
        <v>0</v>
      </c>
      <c r="X97" s="125">
        <v>829</v>
      </c>
      <c r="Y97" s="125">
        <v>33</v>
      </c>
      <c r="Z97" s="126"/>
      <c r="AA97" s="125">
        <v>22</v>
      </c>
      <c r="AB97" s="125">
        <v>0</v>
      </c>
      <c r="AC97" s="125">
        <v>10</v>
      </c>
      <c r="AD97" s="125">
        <v>26</v>
      </c>
      <c r="AE97" s="125">
        <v>20</v>
      </c>
      <c r="AF97" s="125">
        <v>55</v>
      </c>
      <c r="AG97" s="125"/>
      <c r="AH97" s="125"/>
      <c r="AI97" s="125">
        <v>27</v>
      </c>
      <c r="AJ97" s="125">
        <v>0</v>
      </c>
      <c r="AK97" s="125">
        <v>79784</v>
      </c>
      <c r="AL97" s="125">
        <v>3552</v>
      </c>
      <c r="AM97" s="125">
        <v>5503</v>
      </c>
      <c r="AN97" s="125">
        <v>48</v>
      </c>
      <c r="AO97" s="125">
        <v>5</v>
      </c>
      <c r="AP97" s="125">
        <v>0</v>
      </c>
      <c r="AQ97" s="125">
        <v>0</v>
      </c>
      <c r="AR97" s="125">
        <v>1871</v>
      </c>
      <c r="AS97" s="125" t="s">
        <v>370</v>
      </c>
      <c r="AT97" s="125">
        <v>1229</v>
      </c>
      <c r="AU97" s="125">
        <v>1417</v>
      </c>
      <c r="AV97" s="125">
        <v>2171</v>
      </c>
      <c r="AW97" s="125">
        <v>7949</v>
      </c>
      <c r="AX97" s="126"/>
      <c r="AY97" s="126"/>
      <c r="AZ97" s="126">
        <v>0</v>
      </c>
      <c r="BA97" s="126"/>
      <c r="BB97" s="125">
        <v>1196</v>
      </c>
      <c r="BC97" s="125"/>
      <c r="BD97" s="125">
        <v>48330</v>
      </c>
      <c r="BE97" s="125">
        <v>112147</v>
      </c>
      <c r="BF97" s="125">
        <v>273</v>
      </c>
      <c r="BG97" s="125">
        <v>855</v>
      </c>
      <c r="BH97" s="125">
        <v>1018</v>
      </c>
      <c r="BI97" s="125">
        <v>4659</v>
      </c>
      <c r="BJ97" s="125">
        <v>82</v>
      </c>
      <c r="BK97" s="125">
        <v>2726</v>
      </c>
      <c r="BL97" s="125"/>
      <c r="BM97" s="125">
        <v>581</v>
      </c>
      <c r="BN97" s="125">
        <v>71</v>
      </c>
      <c r="BO97" s="125">
        <v>0</v>
      </c>
      <c r="BP97" s="125">
        <v>8407</v>
      </c>
      <c r="BQ97" s="125">
        <v>13467</v>
      </c>
      <c r="BR97" s="125">
        <v>21</v>
      </c>
      <c r="BS97" s="125">
        <v>175</v>
      </c>
      <c r="BT97" s="125">
        <v>263</v>
      </c>
      <c r="BU97" s="125"/>
      <c r="BV97" s="125">
        <v>6</v>
      </c>
      <c r="BW97" s="125">
        <v>243</v>
      </c>
      <c r="BX97" s="125"/>
      <c r="BY97" s="125">
        <v>576</v>
      </c>
      <c r="BZ97" s="125">
        <v>1</v>
      </c>
      <c r="CA97" s="125">
        <v>0</v>
      </c>
      <c r="CB97" s="125">
        <v>12521</v>
      </c>
      <c r="CC97" s="125">
        <v>61642</v>
      </c>
      <c r="CD97" s="125">
        <v>74610</v>
      </c>
      <c r="CE97" s="125">
        <v>13736</v>
      </c>
      <c r="CF97" s="125">
        <v>0</v>
      </c>
      <c r="CG97" s="125">
        <v>0</v>
      </c>
      <c r="CH97" s="125">
        <v>22</v>
      </c>
      <c r="CI97" s="125">
        <v>127</v>
      </c>
      <c r="CJ97" s="125">
        <v>216</v>
      </c>
      <c r="CK97" s="125"/>
      <c r="CL97" s="125"/>
      <c r="CM97" s="125"/>
      <c r="CN97" s="125"/>
      <c r="CO97" s="125"/>
      <c r="CP97" s="125"/>
      <c r="CQ97" s="125"/>
      <c r="CR97" s="125"/>
      <c r="CS97" s="125"/>
      <c r="CT97" s="125"/>
      <c r="CU97" s="125"/>
      <c r="CV97" s="125"/>
      <c r="CW97" s="125"/>
      <c r="CX97" s="125"/>
      <c r="CY97" s="125" t="s">
        <v>370</v>
      </c>
      <c r="CZ97" s="125" t="s">
        <v>370</v>
      </c>
      <c r="DA97" s="125" t="s">
        <v>370</v>
      </c>
      <c r="DB97" s="125">
        <v>0</v>
      </c>
      <c r="DC97" s="125">
        <v>0</v>
      </c>
      <c r="DD97" s="125">
        <v>0</v>
      </c>
      <c r="DE97">
        <f t="shared" si="19"/>
        <v>536744</v>
      </c>
      <c r="DG97" s="1">
        <f t="shared" si="33"/>
        <v>356608</v>
      </c>
      <c r="DH97" s="1">
        <f t="shared" si="20"/>
        <v>180823</v>
      </c>
      <c r="DI97" s="127">
        <f t="shared" si="21"/>
        <v>537431</v>
      </c>
      <c r="DK97" s="1">
        <f t="shared" si="22"/>
        <v>60755</v>
      </c>
      <c r="DL97" s="1">
        <f t="shared" si="23"/>
        <v>92235</v>
      </c>
      <c r="DM97" s="1">
        <f t="shared" si="24"/>
        <v>13599</v>
      </c>
      <c r="DN97" s="1">
        <f t="shared" si="25"/>
        <v>13735</v>
      </c>
      <c r="DO97" s="1">
        <f t="shared" si="26"/>
        <v>277984</v>
      </c>
      <c r="DP97" s="1">
        <f t="shared" si="27"/>
        <v>58348</v>
      </c>
      <c r="DQ97" s="1">
        <f t="shared" si="34"/>
        <v>0</v>
      </c>
      <c r="DR97" s="1">
        <f t="shared" si="28"/>
        <v>12648</v>
      </c>
      <c r="DS97" s="1">
        <f t="shared" si="29"/>
        <v>0</v>
      </c>
      <c r="DT97" s="1">
        <f t="shared" si="30"/>
        <v>7987</v>
      </c>
      <c r="DU97" s="1"/>
      <c r="DV97" s="1"/>
      <c r="DW97" s="1"/>
      <c r="DX97" s="1">
        <f t="shared" si="35"/>
        <v>537291</v>
      </c>
      <c r="DZ97" s="1">
        <f t="shared" si="36"/>
        <v>0</v>
      </c>
      <c r="EA97" s="1">
        <f t="shared" si="31"/>
        <v>0</v>
      </c>
      <c r="EC97" s="1">
        <f t="shared" si="37"/>
        <v>537291</v>
      </c>
      <c r="ED97" s="1">
        <f t="shared" si="32"/>
        <v>547</v>
      </c>
      <c r="EE97" s="1"/>
    </row>
    <row r="98" spans="1:135" x14ac:dyDescent="0.25">
      <c r="A98" s="124">
        <v>35186</v>
      </c>
      <c r="B98" s="125">
        <v>0</v>
      </c>
      <c r="C98" s="125">
        <v>0</v>
      </c>
      <c r="D98" s="125">
        <v>0</v>
      </c>
      <c r="E98" s="125" t="s">
        <v>370</v>
      </c>
      <c r="F98" s="125" t="s">
        <v>370</v>
      </c>
      <c r="G98" s="125">
        <v>0</v>
      </c>
      <c r="H98" s="125">
        <v>0</v>
      </c>
      <c r="I98" s="125">
        <v>0</v>
      </c>
      <c r="J98" s="125">
        <v>0</v>
      </c>
      <c r="K98" s="125"/>
      <c r="L98" s="125">
        <v>34383</v>
      </c>
      <c r="M98" s="125">
        <v>3322</v>
      </c>
      <c r="N98" s="125"/>
      <c r="O98" s="125">
        <v>5823</v>
      </c>
      <c r="P98" s="125">
        <v>3865</v>
      </c>
      <c r="Q98" s="125">
        <v>1759</v>
      </c>
      <c r="R98" s="125">
        <v>6371</v>
      </c>
      <c r="S98" s="125">
        <v>13599</v>
      </c>
      <c r="T98" s="125"/>
      <c r="U98" s="125"/>
      <c r="V98" s="125">
        <v>5232</v>
      </c>
      <c r="W98" s="125">
        <v>0</v>
      </c>
      <c r="X98" s="125">
        <v>829</v>
      </c>
      <c r="Y98" s="125">
        <v>34</v>
      </c>
      <c r="Z98" s="126"/>
      <c r="AA98" s="125">
        <v>26</v>
      </c>
      <c r="AB98" s="125">
        <v>0</v>
      </c>
      <c r="AC98" s="125">
        <v>11</v>
      </c>
      <c r="AD98" s="125">
        <v>28</v>
      </c>
      <c r="AE98" s="125">
        <v>20</v>
      </c>
      <c r="AF98" s="125">
        <v>52</v>
      </c>
      <c r="AG98" s="125"/>
      <c r="AH98" s="125"/>
      <c r="AI98" s="125">
        <v>25</v>
      </c>
      <c r="AJ98" s="125">
        <v>0</v>
      </c>
      <c r="AK98" s="125">
        <v>80158</v>
      </c>
      <c r="AL98" s="125">
        <v>3552</v>
      </c>
      <c r="AM98" s="125">
        <v>5612</v>
      </c>
      <c r="AN98" s="125">
        <v>45</v>
      </c>
      <c r="AO98" s="125">
        <v>6</v>
      </c>
      <c r="AP98" s="125">
        <v>0</v>
      </c>
      <c r="AQ98" s="125">
        <v>0</v>
      </c>
      <c r="AR98" s="125">
        <v>1909</v>
      </c>
      <c r="AS98" s="125" t="s">
        <v>370</v>
      </c>
      <c r="AT98" s="125">
        <v>1281</v>
      </c>
      <c r="AU98" s="125">
        <v>1446</v>
      </c>
      <c r="AV98" s="125">
        <v>2196</v>
      </c>
      <c r="AW98" s="125">
        <v>8065</v>
      </c>
      <c r="AX98" s="126"/>
      <c r="AY98" s="126"/>
      <c r="AZ98" s="126">
        <v>0</v>
      </c>
      <c r="BA98" s="126"/>
      <c r="BB98" s="125">
        <v>1174</v>
      </c>
      <c r="BC98" s="125"/>
      <c r="BD98" s="125">
        <v>47721</v>
      </c>
      <c r="BE98" s="125">
        <v>110917</v>
      </c>
      <c r="BF98" s="125">
        <v>269</v>
      </c>
      <c r="BG98" s="125">
        <v>829</v>
      </c>
      <c r="BH98" s="125">
        <v>1009</v>
      </c>
      <c r="BI98" s="125">
        <v>4706</v>
      </c>
      <c r="BJ98" s="125">
        <v>84</v>
      </c>
      <c r="BK98" s="125">
        <v>2772</v>
      </c>
      <c r="BL98" s="125"/>
      <c r="BM98" s="125">
        <v>558</v>
      </c>
      <c r="BN98" s="125">
        <v>67</v>
      </c>
      <c r="BO98" s="125">
        <v>0</v>
      </c>
      <c r="BP98" s="125">
        <v>8700</v>
      </c>
      <c r="BQ98" s="125">
        <v>13640</v>
      </c>
      <c r="BR98" s="125">
        <v>21</v>
      </c>
      <c r="BS98" s="125">
        <v>181</v>
      </c>
      <c r="BT98" s="125">
        <v>242</v>
      </c>
      <c r="BU98" s="125"/>
      <c r="BV98" s="125">
        <v>6</v>
      </c>
      <c r="BW98" s="125">
        <v>240</v>
      </c>
      <c r="BX98" s="125"/>
      <c r="BY98" s="125">
        <v>540</v>
      </c>
      <c r="BZ98" s="125">
        <v>1</v>
      </c>
      <c r="CA98" s="125">
        <v>0</v>
      </c>
      <c r="CB98" s="125">
        <v>12626</v>
      </c>
      <c r="CC98" s="125">
        <v>61924</v>
      </c>
      <c r="CD98" s="125">
        <v>75490</v>
      </c>
      <c r="CE98" s="125">
        <v>13709</v>
      </c>
      <c r="CF98" s="125">
        <v>0</v>
      </c>
      <c r="CG98" s="125">
        <v>0</v>
      </c>
      <c r="CH98" s="125">
        <v>22</v>
      </c>
      <c r="CI98" s="125">
        <v>123</v>
      </c>
      <c r="CJ98" s="125">
        <v>211</v>
      </c>
      <c r="CK98" s="125"/>
      <c r="CL98" s="125"/>
      <c r="CM98" s="125"/>
      <c r="CN98" s="125"/>
      <c r="CO98" s="125"/>
      <c r="CP98" s="125"/>
      <c r="CQ98" s="125"/>
      <c r="CR98" s="125"/>
      <c r="CS98" s="125"/>
      <c r="CT98" s="125"/>
      <c r="CU98" s="125"/>
      <c r="CV98" s="125"/>
      <c r="CW98" s="125"/>
      <c r="CX98" s="125"/>
      <c r="CY98" s="125" t="s">
        <v>370</v>
      </c>
      <c r="CZ98" s="125" t="s">
        <v>370</v>
      </c>
      <c r="DA98" s="125" t="s">
        <v>370</v>
      </c>
      <c r="DB98" s="125">
        <v>0</v>
      </c>
      <c r="DC98" s="125">
        <v>0</v>
      </c>
      <c r="DD98" s="125">
        <v>0</v>
      </c>
      <c r="DE98">
        <f t="shared" si="19"/>
        <v>537431</v>
      </c>
      <c r="DG98" s="1">
        <f t="shared" si="33"/>
        <v>356512</v>
      </c>
      <c r="DH98" s="1">
        <f t="shared" si="20"/>
        <v>181995</v>
      </c>
      <c r="DI98" s="127">
        <f t="shared" si="21"/>
        <v>538507</v>
      </c>
      <c r="DK98" s="1">
        <f t="shared" si="22"/>
        <v>60968</v>
      </c>
      <c r="DL98" s="1">
        <f t="shared" si="23"/>
        <v>92734</v>
      </c>
      <c r="DM98" s="1">
        <f t="shared" si="24"/>
        <v>13642</v>
      </c>
      <c r="DN98" s="1">
        <f t="shared" si="25"/>
        <v>13961</v>
      </c>
      <c r="DO98" s="1">
        <f t="shared" si="26"/>
        <v>277869</v>
      </c>
      <c r="DP98" s="1">
        <f t="shared" si="27"/>
        <v>57989</v>
      </c>
      <c r="DQ98" s="1">
        <f t="shared" si="34"/>
        <v>0</v>
      </c>
      <c r="DR98" s="1">
        <f t="shared" si="28"/>
        <v>12745</v>
      </c>
      <c r="DS98" s="1">
        <f t="shared" si="29"/>
        <v>0</v>
      </c>
      <c r="DT98" s="1">
        <f t="shared" si="30"/>
        <v>8008</v>
      </c>
      <c r="DU98" s="1"/>
      <c r="DV98" s="1"/>
      <c r="DW98" s="1"/>
      <c r="DX98" s="1">
        <f t="shared" si="35"/>
        <v>537916</v>
      </c>
      <c r="DZ98" s="1">
        <f t="shared" si="36"/>
        <v>0</v>
      </c>
      <c r="EA98" s="1">
        <f t="shared" si="31"/>
        <v>0</v>
      </c>
      <c r="EC98" s="1">
        <f t="shared" si="37"/>
        <v>537916</v>
      </c>
      <c r="ED98" s="1">
        <f t="shared" si="32"/>
        <v>485</v>
      </c>
      <c r="EE98" s="1"/>
    </row>
    <row r="99" spans="1:135" x14ac:dyDescent="0.25">
      <c r="A99" s="124">
        <v>35217</v>
      </c>
      <c r="B99" s="125">
        <v>0</v>
      </c>
      <c r="C99" s="125">
        <v>0</v>
      </c>
      <c r="D99" s="125">
        <v>0</v>
      </c>
      <c r="E99" s="125" t="s">
        <v>370</v>
      </c>
      <c r="F99" s="125" t="s">
        <v>370</v>
      </c>
      <c r="G99" s="125">
        <v>0</v>
      </c>
      <c r="H99" s="125">
        <v>0</v>
      </c>
      <c r="I99" s="125">
        <v>0</v>
      </c>
      <c r="J99" s="125">
        <v>0</v>
      </c>
      <c r="K99" s="125"/>
      <c r="L99" s="125">
        <v>34430</v>
      </c>
      <c r="M99" s="125">
        <v>3284</v>
      </c>
      <c r="N99" s="125"/>
      <c r="O99" s="125">
        <v>5677</v>
      </c>
      <c r="P99" s="125">
        <v>4082</v>
      </c>
      <c r="Q99" s="125">
        <v>1856</v>
      </c>
      <c r="R99" s="125">
        <v>6628</v>
      </c>
      <c r="S99" s="125">
        <v>13642</v>
      </c>
      <c r="T99" s="125"/>
      <c r="U99" s="125"/>
      <c r="V99" s="125">
        <v>5011</v>
      </c>
      <c r="W99" s="125">
        <v>0</v>
      </c>
      <c r="X99" s="125">
        <v>831</v>
      </c>
      <c r="Y99" s="125">
        <v>33</v>
      </c>
      <c r="Z99" s="126"/>
      <c r="AA99" s="125">
        <v>24</v>
      </c>
      <c r="AB99" s="125">
        <v>0</v>
      </c>
      <c r="AC99" s="125">
        <v>10</v>
      </c>
      <c r="AD99" s="125">
        <v>28</v>
      </c>
      <c r="AE99" s="125">
        <v>23</v>
      </c>
      <c r="AF99" s="125">
        <v>58</v>
      </c>
      <c r="AG99" s="125"/>
      <c r="AH99" s="125"/>
      <c r="AI99" s="125">
        <v>23</v>
      </c>
      <c r="AJ99" s="125">
        <v>0</v>
      </c>
      <c r="AK99" s="125">
        <v>80705</v>
      </c>
      <c r="AL99" s="125">
        <v>3548</v>
      </c>
      <c r="AM99" s="125">
        <v>5726</v>
      </c>
      <c r="AN99" s="125">
        <v>52</v>
      </c>
      <c r="AO99" s="125">
        <v>8</v>
      </c>
      <c r="AP99" s="125">
        <v>0</v>
      </c>
      <c r="AQ99" s="125">
        <v>0</v>
      </c>
      <c r="AR99" s="125">
        <v>1978</v>
      </c>
      <c r="AS99" s="125" t="s">
        <v>370</v>
      </c>
      <c r="AT99" s="125">
        <v>1322</v>
      </c>
      <c r="AU99" s="125">
        <v>1469</v>
      </c>
      <c r="AV99" s="125">
        <v>2212</v>
      </c>
      <c r="AW99" s="125">
        <v>8169</v>
      </c>
      <c r="AX99" s="126"/>
      <c r="AY99" s="126"/>
      <c r="AZ99" s="126">
        <v>0</v>
      </c>
      <c r="BA99" s="126"/>
      <c r="BB99" s="125">
        <v>1166</v>
      </c>
      <c r="BC99" s="125"/>
      <c r="BD99" s="125">
        <v>47225</v>
      </c>
      <c r="BE99" s="125">
        <v>109679</v>
      </c>
      <c r="BF99" s="125">
        <v>265</v>
      </c>
      <c r="BG99" s="125">
        <v>797</v>
      </c>
      <c r="BH99" s="125">
        <v>982</v>
      </c>
      <c r="BI99" s="125">
        <v>4734</v>
      </c>
      <c r="BJ99" s="125">
        <v>84</v>
      </c>
      <c r="BK99" s="125">
        <v>2772</v>
      </c>
      <c r="BL99" s="125"/>
      <c r="BM99" s="125">
        <v>586</v>
      </c>
      <c r="BN99" s="125">
        <v>66</v>
      </c>
      <c r="BO99" s="125">
        <v>0</v>
      </c>
      <c r="BP99" s="125">
        <v>9080</v>
      </c>
      <c r="BQ99" s="125">
        <v>14062</v>
      </c>
      <c r="BR99" s="125">
        <v>20</v>
      </c>
      <c r="BS99" s="125">
        <v>202</v>
      </c>
      <c r="BT99" s="125">
        <v>263</v>
      </c>
      <c r="BU99" s="125"/>
      <c r="BV99" s="125">
        <v>10</v>
      </c>
      <c r="BW99" s="125">
        <v>237</v>
      </c>
      <c r="BX99" s="125"/>
      <c r="BY99" s="125">
        <v>533</v>
      </c>
      <c r="BZ99" s="125">
        <v>1</v>
      </c>
      <c r="CA99" s="125">
        <v>0</v>
      </c>
      <c r="CB99" s="125">
        <v>12722</v>
      </c>
      <c r="CC99" s="125">
        <v>62022</v>
      </c>
      <c r="CD99" s="125">
        <v>76108</v>
      </c>
      <c r="CE99" s="125">
        <v>13696</v>
      </c>
      <c r="CF99" s="125">
        <v>0</v>
      </c>
      <c r="CG99" s="125">
        <v>0</v>
      </c>
      <c r="CH99" s="125">
        <v>23</v>
      </c>
      <c r="CI99" s="125">
        <v>125</v>
      </c>
      <c r="CJ99" s="125">
        <v>218</v>
      </c>
      <c r="CK99" s="125"/>
      <c r="CL99" s="125"/>
      <c r="CM99" s="125"/>
      <c r="CN99" s="125"/>
      <c r="CO99" s="125"/>
      <c r="CP99" s="125"/>
      <c r="CQ99" s="125"/>
      <c r="CR99" s="125"/>
      <c r="CS99" s="125"/>
      <c r="CT99" s="125"/>
      <c r="CU99" s="125"/>
      <c r="CV99" s="125"/>
      <c r="CW99" s="125"/>
      <c r="CX99" s="125"/>
      <c r="CY99" s="125" t="s">
        <v>370</v>
      </c>
      <c r="CZ99" s="125" t="s">
        <v>370</v>
      </c>
      <c r="DA99" s="125" t="s">
        <v>370</v>
      </c>
      <c r="DB99" s="125">
        <v>0</v>
      </c>
      <c r="DC99" s="125">
        <v>0</v>
      </c>
      <c r="DD99" s="125">
        <v>0</v>
      </c>
      <c r="DE99">
        <f t="shared" si="19"/>
        <v>538507</v>
      </c>
      <c r="DG99" s="1">
        <f t="shared" si="33"/>
        <v>354132</v>
      </c>
      <c r="DH99" s="1">
        <f t="shared" si="20"/>
        <v>182388</v>
      </c>
      <c r="DI99" s="127">
        <f t="shared" si="21"/>
        <v>536520</v>
      </c>
      <c r="DK99" s="1">
        <f t="shared" si="22"/>
        <v>60918</v>
      </c>
      <c r="DL99" s="1">
        <f t="shared" si="23"/>
        <v>93424</v>
      </c>
      <c r="DM99" s="1">
        <f t="shared" si="24"/>
        <v>13669</v>
      </c>
      <c r="DN99" s="1">
        <f t="shared" si="25"/>
        <v>14054</v>
      </c>
      <c r="DO99" s="1">
        <f t="shared" si="26"/>
        <v>276138</v>
      </c>
      <c r="DP99" s="1">
        <f t="shared" si="27"/>
        <v>57890</v>
      </c>
      <c r="DQ99" s="1">
        <f t="shared" si="34"/>
        <v>0</v>
      </c>
      <c r="DR99" s="1">
        <f t="shared" si="28"/>
        <v>12658</v>
      </c>
      <c r="DS99" s="1">
        <f t="shared" si="29"/>
        <v>0</v>
      </c>
      <c r="DT99" s="1">
        <f t="shared" si="30"/>
        <v>8059</v>
      </c>
      <c r="DU99" s="1"/>
      <c r="DV99" s="1"/>
      <c r="DW99" s="1"/>
      <c r="DX99" s="1">
        <f t="shared" si="35"/>
        <v>536810</v>
      </c>
      <c r="DZ99" s="1">
        <f t="shared" si="36"/>
        <v>0</v>
      </c>
      <c r="EA99" s="1">
        <f t="shared" si="31"/>
        <v>0</v>
      </c>
      <c r="EC99" s="1">
        <f t="shared" si="37"/>
        <v>536810</v>
      </c>
      <c r="ED99" s="1">
        <f t="shared" si="32"/>
        <v>-1697</v>
      </c>
      <c r="EE99" s="1"/>
    </row>
    <row r="100" spans="1:135" x14ac:dyDescent="0.25">
      <c r="A100" s="124">
        <v>35247</v>
      </c>
      <c r="B100" s="125">
        <v>0</v>
      </c>
      <c r="C100" s="125">
        <v>0</v>
      </c>
      <c r="D100" s="125">
        <v>0</v>
      </c>
      <c r="E100" s="125" t="s">
        <v>370</v>
      </c>
      <c r="F100" s="125" t="s">
        <v>370</v>
      </c>
      <c r="G100" s="125">
        <v>0</v>
      </c>
      <c r="H100" s="125">
        <v>0</v>
      </c>
      <c r="I100" s="125">
        <v>0</v>
      </c>
      <c r="J100" s="125">
        <v>0</v>
      </c>
      <c r="K100" s="125"/>
      <c r="L100" s="125">
        <v>34419</v>
      </c>
      <c r="M100" s="125">
        <v>3280</v>
      </c>
      <c r="N100" s="125"/>
      <c r="O100" s="125">
        <v>5526</v>
      </c>
      <c r="P100" s="125">
        <v>4152</v>
      </c>
      <c r="Q100" s="125">
        <v>1927</v>
      </c>
      <c r="R100" s="125">
        <v>6771</v>
      </c>
      <c r="S100" s="125">
        <v>13669</v>
      </c>
      <c r="T100" s="125"/>
      <c r="U100" s="125"/>
      <c r="V100" s="125">
        <v>4843</v>
      </c>
      <c r="W100" s="125">
        <v>0</v>
      </c>
      <c r="X100" s="125">
        <v>826</v>
      </c>
      <c r="Y100" s="125">
        <v>35</v>
      </c>
      <c r="Z100" s="126"/>
      <c r="AA100" s="125">
        <v>23</v>
      </c>
      <c r="AB100" s="125">
        <v>0</v>
      </c>
      <c r="AC100" s="125">
        <v>13</v>
      </c>
      <c r="AD100" s="125">
        <v>27</v>
      </c>
      <c r="AE100" s="125">
        <v>24</v>
      </c>
      <c r="AF100" s="125">
        <v>58</v>
      </c>
      <c r="AG100" s="125"/>
      <c r="AH100" s="125"/>
      <c r="AI100" s="125">
        <v>21</v>
      </c>
      <c r="AJ100" s="125">
        <v>0</v>
      </c>
      <c r="AK100" s="125">
        <v>81044</v>
      </c>
      <c r="AL100" s="125">
        <v>3551</v>
      </c>
      <c r="AM100" s="125">
        <v>5786</v>
      </c>
      <c r="AN100" s="125">
        <v>54</v>
      </c>
      <c r="AO100" s="125">
        <v>3</v>
      </c>
      <c r="AP100" s="125">
        <v>0</v>
      </c>
      <c r="AQ100" s="125">
        <v>0</v>
      </c>
      <c r="AR100" s="125">
        <v>1931</v>
      </c>
      <c r="AS100" s="125" t="s">
        <v>370</v>
      </c>
      <c r="AT100" s="125">
        <v>1345</v>
      </c>
      <c r="AU100" s="125">
        <v>1475</v>
      </c>
      <c r="AV100" s="125">
        <v>2243</v>
      </c>
      <c r="AW100" s="125">
        <v>8207</v>
      </c>
      <c r="AX100" s="126"/>
      <c r="AY100" s="126"/>
      <c r="AZ100" s="126">
        <v>0</v>
      </c>
      <c r="BA100" s="126"/>
      <c r="BB100" s="125">
        <v>1135</v>
      </c>
      <c r="BC100" s="125"/>
      <c r="BD100" s="125">
        <v>46413</v>
      </c>
      <c r="BE100" s="125">
        <v>107690</v>
      </c>
      <c r="BF100" s="125">
        <v>262</v>
      </c>
      <c r="BG100" s="125">
        <v>749</v>
      </c>
      <c r="BH100" s="125">
        <v>918</v>
      </c>
      <c r="BI100" s="125">
        <v>4764</v>
      </c>
      <c r="BJ100" s="125">
        <v>85</v>
      </c>
      <c r="BK100" s="125">
        <v>2792</v>
      </c>
      <c r="BL100" s="125"/>
      <c r="BM100" s="125">
        <v>549</v>
      </c>
      <c r="BN100" s="125">
        <v>68</v>
      </c>
      <c r="BO100" s="125">
        <v>0</v>
      </c>
      <c r="BP100" s="125">
        <v>9362</v>
      </c>
      <c r="BQ100" s="125">
        <v>14279</v>
      </c>
      <c r="BR100" s="125">
        <v>18</v>
      </c>
      <c r="BS100" s="125">
        <v>204</v>
      </c>
      <c r="BT100" s="125">
        <v>260</v>
      </c>
      <c r="BU100" s="125"/>
      <c r="BV100" s="125">
        <v>10</v>
      </c>
      <c r="BW100" s="125">
        <v>241</v>
      </c>
      <c r="BX100" s="125"/>
      <c r="BY100" s="125">
        <v>521</v>
      </c>
      <c r="BZ100" s="125">
        <v>1</v>
      </c>
      <c r="CA100" s="125">
        <v>0</v>
      </c>
      <c r="CB100" s="125">
        <v>12636</v>
      </c>
      <c r="CC100" s="125">
        <v>61730</v>
      </c>
      <c r="CD100" s="125">
        <v>76548</v>
      </c>
      <c r="CE100" s="125">
        <v>13665</v>
      </c>
      <c r="CF100" s="125">
        <v>0</v>
      </c>
      <c r="CG100" s="125">
        <v>0</v>
      </c>
      <c r="CH100" s="125">
        <v>22</v>
      </c>
      <c r="CI100" s="125">
        <v>124</v>
      </c>
      <c r="CJ100" s="125">
        <v>221</v>
      </c>
      <c r="CK100" s="125"/>
      <c r="CL100" s="125"/>
      <c r="CM100" s="125"/>
      <c r="CN100" s="125"/>
      <c r="CO100" s="125"/>
      <c r="CP100" s="125"/>
      <c r="CQ100" s="125"/>
      <c r="CR100" s="125"/>
      <c r="CS100" s="125"/>
      <c r="CT100" s="125"/>
      <c r="CU100" s="125"/>
      <c r="CV100" s="125"/>
      <c r="CW100" s="125"/>
      <c r="CX100" s="125"/>
      <c r="CY100" s="125" t="s">
        <v>370</v>
      </c>
      <c r="CZ100" s="125" t="s">
        <v>370</v>
      </c>
      <c r="DA100" s="125" t="s">
        <v>370</v>
      </c>
      <c r="DB100" s="125">
        <v>0</v>
      </c>
      <c r="DC100" s="125">
        <v>0</v>
      </c>
      <c r="DD100" s="125">
        <v>0</v>
      </c>
      <c r="DE100">
        <f t="shared" si="19"/>
        <v>536520</v>
      </c>
      <c r="DG100" s="1">
        <f t="shared" si="33"/>
        <v>353516</v>
      </c>
      <c r="DH100" s="1">
        <f t="shared" si="20"/>
        <v>183335</v>
      </c>
      <c r="DI100" s="127">
        <f t="shared" si="21"/>
        <v>536851</v>
      </c>
      <c r="DK100" s="1">
        <f t="shared" si="22"/>
        <v>61063</v>
      </c>
      <c r="DL100" s="1">
        <f t="shared" si="23"/>
        <v>93747</v>
      </c>
      <c r="DM100" s="1">
        <f t="shared" si="24"/>
        <v>13740</v>
      </c>
      <c r="DN100" s="1">
        <f t="shared" si="25"/>
        <v>14290</v>
      </c>
      <c r="DO100" s="1">
        <f t="shared" si="26"/>
        <v>275569</v>
      </c>
      <c r="DP100" s="1">
        <f t="shared" si="27"/>
        <v>57277</v>
      </c>
      <c r="DQ100" s="1">
        <f t="shared" si="34"/>
        <v>0</v>
      </c>
      <c r="DR100" s="1">
        <f t="shared" si="28"/>
        <v>12786</v>
      </c>
      <c r="DS100" s="1">
        <f t="shared" si="29"/>
        <v>0</v>
      </c>
      <c r="DT100" s="1">
        <f t="shared" si="30"/>
        <v>8114</v>
      </c>
      <c r="DU100" s="1"/>
      <c r="DV100" s="1"/>
      <c r="DW100" s="1"/>
      <c r="DX100" s="1">
        <f t="shared" si="35"/>
        <v>536586</v>
      </c>
      <c r="DZ100" s="1">
        <f t="shared" si="36"/>
        <v>0</v>
      </c>
      <c r="EA100" s="1">
        <f t="shared" si="31"/>
        <v>0</v>
      </c>
      <c r="EC100" s="1">
        <f t="shared" si="37"/>
        <v>536586</v>
      </c>
      <c r="ED100" s="1">
        <f t="shared" si="32"/>
        <v>66</v>
      </c>
      <c r="EE100" s="1"/>
    </row>
    <row r="101" spans="1:135" x14ac:dyDescent="0.25">
      <c r="A101" s="124">
        <v>35278</v>
      </c>
      <c r="B101" s="125">
        <v>0</v>
      </c>
      <c r="C101" s="125">
        <v>0</v>
      </c>
      <c r="D101" s="125">
        <v>0</v>
      </c>
      <c r="E101" s="125" t="s">
        <v>370</v>
      </c>
      <c r="F101" s="125" t="s">
        <v>370</v>
      </c>
      <c r="G101" s="125">
        <v>0</v>
      </c>
      <c r="H101" s="125">
        <v>0</v>
      </c>
      <c r="I101" s="125">
        <v>0</v>
      </c>
      <c r="J101" s="125">
        <v>0</v>
      </c>
      <c r="K101" s="125"/>
      <c r="L101" s="125">
        <v>34462</v>
      </c>
      <c r="M101" s="125">
        <v>3264</v>
      </c>
      <c r="N101" s="125"/>
      <c r="O101" s="125">
        <v>5385</v>
      </c>
      <c r="P101" s="125">
        <v>4301</v>
      </c>
      <c r="Q101" s="125">
        <v>1984</v>
      </c>
      <c r="R101" s="125">
        <v>7033</v>
      </c>
      <c r="S101" s="125">
        <v>13740</v>
      </c>
      <c r="T101" s="125"/>
      <c r="U101" s="125"/>
      <c r="V101" s="125">
        <v>4634</v>
      </c>
      <c r="W101" s="125">
        <v>0</v>
      </c>
      <c r="X101" s="125">
        <v>811</v>
      </c>
      <c r="Y101" s="125">
        <v>33</v>
      </c>
      <c r="Z101" s="126"/>
      <c r="AA101" s="125">
        <v>25</v>
      </c>
      <c r="AB101" s="125">
        <v>0</v>
      </c>
      <c r="AC101" s="125">
        <v>14</v>
      </c>
      <c r="AD101" s="125">
        <v>28</v>
      </c>
      <c r="AE101" s="125">
        <v>25</v>
      </c>
      <c r="AF101" s="125">
        <v>59</v>
      </c>
      <c r="AG101" s="125"/>
      <c r="AH101" s="125"/>
      <c r="AI101" s="125">
        <v>20</v>
      </c>
      <c r="AJ101" s="125">
        <v>0</v>
      </c>
      <c r="AK101" s="125">
        <v>81474</v>
      </c>
      <c r="AL101" s="125">
        <v>3586</v>
      </c>
      <c r="AM101" s="125">
        <v>5964</v>
      </c>
      <c r="AN101" s="125">
        <v>47</v>
      </c>
      <c r="AO101" s="125">
        <v>3</v>
      </c>
      <c r="AP101" s="125">
        <v>0</v>
      </c>
      <c r="AQ101" s="125">
        <v>0</v>
      </c>
      <c r="AR101" s="125">
        <v>1918</v>
      </c>
      <c r="AS101" s="125" t="s">
        <v>370</v>
      </c>
      <c r="AT101" s="125">
        <v>1363</v>
      </c>
      <c r="AU101" s="125">
        <v>1484</v>
      </c>
      <c r="AV101" s="125">
        <v>2306</v>
      </c>
      <c r="AW101" s="125">
        <v>8264</v>
      </c>
      <c r="AX101" s="126"/>
      <c r="AY101" s="126"/>
      <c r="AZ101" s="126">
        <v>0</v>
      </c>
      <c r="BA101" s="126"/>
      <c r="BB101" s="125">
        <v>1108</v>
      </c>
      <c r="BC101" s="125"/>
      <c r="BD101" s="125">
        <v>45911</v>
      </c>
      <c r="BE101" s="125">
        <v>106498</v>
      </c>
      <c r="BF101" s="125">
        <v>260</v>
      </c>
      <c r="BG101" s="125">
        <v>740</v>
      </c>
      <c r="BH101" s="125">
        <v>879</v>
      </c>
      <c r="BI101" s="125">
        <v>4781</v>
      </c>
      <c r="BJ101" s="125">
        <v>85</v>
      </c>
      <c r="BK101" s="125">
        <v>2834</v>
      </c>
      <c r="BL101" s="125"/>
      <c r="BM101" s="125">
        <v>574</v>
      </c>
      <c r="BN101" s="125">
        <v>66</v>
      </c>
      <c r="BO101" s="125">
        <v>0</v>
      </c>
      <c r="BP101" s="125">
        <v>9621</v>
      </c>
      <c r="BQ101" s="125">
        <v>14449</v>
      </c>
      <c r="BR101" s="125">
        <v>17</v>
      </c>
      <c r="BS101" s="125">
        <v>201</v>
      </c>
      <c r="BT101" s="125">
        <v>261</v>
      </c>
      <c r="BU101" s="125"/>
      <c r="BV101" s="125">
        <v>8</v>
      </c>
      <c r="BW101" s="125">
        <v>239</v>
      </c>
      <c r="BX101" s="125"/>
      <c r="BY101" s="125">
        <v>485</v>
      </c>
      <c r="BZ101" s="125">
        <v>1</v>
      </c>
      <c r="CA101" s="125">
        <v>0</v>
      </c>
      <c r="CB101" s="125">
        <v>12760</v>
      </c>
      <c r="CC101" s="125">
        <v>61555</v>
      </c>
      <c r="CD101" s="125">
        <v>76919</v>
      </c>
      <c r="CE101" s="125">
        <v>13995</v>
      </c>
      <c r="CF101" s="125">
        <v>0</v>
      </c>
      <c r="CG101" s="125">
        <v>0</v>
      </c>
      <c r="CH101" s="125">
        <v>26</v>
      </c>
      <c r="CI101" s="125">
        <v>123</v>
      </c>
      <c r="CJ101" s="125">
        <v>228</v>
      </c>
      <c r="CK101" s="125"/>
      <c r="CL101" s="125"/>
      <c r="CM101" s="125"/>
      <c r="CN101" s="125"/>
      <c r="CO101" s="125"/>
      <c r="CP101" s="125"/>
      <c r="CQ101" s="125"/>
      <c r="CR101" s="125"/>
      <c r="CS101" s="125"/>
      <c r="CT101" s="125"/>
      <c r="CU101" s="125"/>
      <c r="CV101" s="125"/>
      <c r="CW101" s="125"/>
      <c r="CX101" s="125"/>
      <c r="CY101" s="125" t="s">
        <v>370</v>
      </c>
      <c r="CZ101" s="125" t="s">
        <v>370</v>
      </c>
      <c r="DA101" s="125" t="s">
        <v>370</v>
      </c>
      <c r="DB101" s="125">
        <v>0</v>
      </c>
      <c r="DC101" s="125">
        <v>0</v>
      </c>
      <c r="DD101" s="125">
        <v>0</v>
      </c>
      <c r="DE101">
        <f t="shared" si="19"/>
        <v>536851</v>
      </c>
      <c r="DG101" s="1">
        <f t="shared" si="33"/>
        <v>352421</v>
      </c>
      <c r="DH101" s="1">
        <f t="shared" si="20"/>
        <v>183940</v>
      </c>
      <c r="DI101" s="127">
        <f t="shared" si="21"/>
        <v>536361</v>
      </c>
      <c r="DK101" s="1">
        <f t="shared" si="22"/>
        <v>61189</v>
      </c>
      <c r="DL101" s="1">
        <f t="shared" si="23"/>
        <v>94242</v>
      </c>
      <c r="DM101" s="1">
        <f t="shared" si="24"/>
        <v>13743</v>
      </c>
      <c r="DN101" s="1">
        <f t="shared" si="25"/>
        <v>14474</v>
      </c>
      <c r="DO101" s="1">
        <f t="shared" si="26"/>
        <v>274716</v>
      </c>
      <c r="DP101" s="1">
        <f t="shared" si="27"/>
        <v>57047</v>
      </c>
      <c r="DQ101" s="1">
        <f t="shared" si="34"/>
        <v>0</v>
      </c>
      <c r="DR101" s="1">
        <f t="shared" si="28"/>
        <v>12858</v>
      </c>
      <c r="DS101" s="1">
        <f t="shared" si="29"/>
        <v>0</v>
      </c>
      <c r="DT101" s="1">
        <f t="shared" si="30"/>
        <v>8191</v>
      </c>
      <c r="DU101" s="1"/>
      <c r="DV101" s="1"/>
      <c r="DW101" s="1"/>
      <c r="DX101" s="1">
        <f t="shared" si="35"/>
        <v>536460</v>
      </c>
      <c r="DZ101" s="1">
        <f t="shared" si="36"/>
        <v>0</v>
      </c>
      <c r="EA101" s="1">
        <f t="shared" si="31"/>
        <v>0</v>
      </c>
      <c r="EC101" s="1">
        <f t="shared" si="37"/>
        <v>536460</v>
      </c>
      <c r="ED101" s="1">
        <f t="shared" si="32"/>
        <v>-391</v>
      </c>
      <c r="EE101" s="1"/>
    </row>
    <row r="102" spans="1:135" x14ac:dyDescent="0.25">
      <c r="A102" s="124">
        <v>35309</v>
      </c>
      <c r="B102" s="125">
        <v>0</v>
      </c>
      <c r="C102" s="125">
        <v>0</v>
      </c>
      <c r="D102" s="125">
        <v>0</v>
      </c>
      <c r="E102" s="125" t="s">
        <v>370</v>
      </c>
      <c r="F102" s="125" t="s">
        <v>370</v>
      </c>
      <c r="G102" s="125">
        <v>0</v>
      </c>
      <c r="H102" s="125">
        <v>0</v>
      </c>
      <c r="I102" s="125">
        <v>0</v>
      </c>
      <c r="J102" s="125">
        <v>0</v>
      </c>
      <c r="K102" s="125"/>
      <c r="L102" s="125">
        <v>34464</v>
      </c>
      <c r="M102" s="125">
        <v>3281</v>
      </c>
      <c r="N102" s="125"/>
      <c r="O102" s="125">
        <v>5198</v>
      </c>
      <c r="P102" s="125">
        <v>4461</v>
      </c>
      <c r="Q102" s="125">
        <v>2051</v>
      </c>
      <c r="R102" s="125">
        <v>7350</v>
      </c>
      <c r="S102" s="125">
        <v>13743</v>
      </c>
      <c r="T102" s="125"/>
      <c r="U102" s="125"/>
      <c r="V102" s="125">
        <v>4384</v>
      </c>
      <c r="W102" s="125">
        <v>0</v>
      </c>
      <c r="X102" s="125">
        <v>806</v>
      </c>
      <c r="Y102" s="125">
        <v>33</v>
      </c>
      <c r="Z102" s="126"/>
      <c r="AA102" s="125">
        <v>28</v>
      </c>
      <c r="AB102" s="125">
        <v>0</v>
      </c>
      <c r="AC102" s="125">
        <v>14</v>
      </c>
      <c r="AD102" s="125">
        <v>29</v>
      </c>
      <c r="AE102" s="125">
        <v>25</v>
      </c>
      <c r="AF102" s="125">
        <v>58</v>
      </c>
      <c r="AG102" s="125"/>
      <c r="AH102" s="125"/>
      <c r="AI102" s="125">
        <v>21</v>
      </c>
      <c r="AJ102" s="125">
        <v>0</v>
      </c>
      <c r="AK102" s="125">
        <v>81727</v>
      </c>
      <c r="AL102" s="125">
        <v>3573</v>
      </c>
      <c r="AM102" s="125">
        <v>6095</v>
      </c>
      <c r="AN102" s="125">
        <v>41</v>
      </c>
      <c r="AO102" s="125">
        <v>4</v>
      </c>
      <c r="AP102" s="125">
        <v>0</v>
      </c>
      <c r="AQ102" s="125">
        <v>0</v>
      </c>
      <c r="AR102" s="125">
        <v>1877</v>
      </c>
      <c r="AS102" s="125" t="s">
        <v>370</v>
      </c>
      <c r="AT102" s="125">
        <v>1397</v>
      </c>
      <c r="AU102" s="125">
        <v>1519</v>
      </c>
      <c r="AV102" s="125">
        <v>2337</v>
      </c>
      <c r="AW102" s="125">
        <v>8317</v>
      </c>
      <c r="AX102" s="126"/>
      <c r="AY102" s="126"/>
      <c r="AZ102" s="126">
        <v>0</v>
      </c>
      <c r="BA102" s="126"/>
      <c r="BB102" s="125">
        <v>1107</v>
      </c>
      <c r="BC102" s="125"/>
      <c r="BD102" s="125">
        <v>45300</v>
      </c>
      <c r="BE102" s="125">
        <v>105101</v>
      </c>
      <c r="BF102" s="125">
        <v>267</v>
      </c>
      <c r="BG102" s="125">
        <v>692</v>
      </c>
      <c r="BH102" s="125">
        <v>839</v>
      </c>
      <c r="BI102" s="125">
        <v>4817</v>
      </c>
      <c r="BJ102" s="125">
        <v>73</v>
      </c>
      <c r="BK102" s="125">
        <v>2872</v>
      </c>
      <c r="BL102" s="125"/>
      <c r="BM102" s="125">
        <v>564</v>
      </c>
      <c r="BN102" s="125">
        <v>65</v>
      </c>
      <c r="BO102" s="125">
        <v>0</v>
      </c>
      <c r="BP102" s="125">
        <v>9898</v>
      </c>
      <c r="BQ102" s="125">
        <v>14806</v>
      </c>
      <c r="BR102" s="125">
        <v>17</v>
      </c>
      <c r="BS102" s="125">
        <v>202</v>
      </c>
      <c r="BT102" s="125">
        <v>267</v>
      </c>
      <c r="BU102" s="125"/>
      <c r="BV102" s="125">
        <v>6</v>
      </c>
      <c r="BW102" s="125">
        <v>235</v>
      </c>
      <c r="BX102" s="125"/>
      <c r="BY102" s="125">
        <v>455</v>
      </c>
      <c r="BZ102" s="125">
        <v>1</v>
      </c>
      <c r="CA102" s="125">
        <v>0</v>
      </c>
      <c r="CB102" s="125">
        <v>12829</v>
      </c>
      <c r="CC102" s="125">
        <v>61379</v>
      </c>
      <c r="CD102" s="125">
        <v>77281</v>
      </c>
      <c r="CE102" s="125">
        <v>14085</v>
      </c>
      <c r="CF102" s="125">
        <v>0</v>
      </c>
      <c r="CG102" s="125">
        <v>0</v>
      </c>
      <c r="CH102" s="125">
        <v>29</v>
      </c>
      <c r="CI102" s="125">
        <v>118</v>
      </c>
      <c r="CJ102" s="125">
        <v>223</v>
      </c>
      <c r="CK102" s="125"/>
      <c r="CL102" s="125"/>
      <c r="CM102" s="125"/>
      <c r="CN102" s="125"/>
      <c r="CO102" s="125"/>
      <c r="CP102" s="125"/>
      <c r="CQ102" s="125"/>
      <c r="CR102" s="125"/>
      <c r="CS102" s="125"/>
      <c r="CT102" s="125"/>
      <c r="CU102" s="125"/>
      <c r="CV102" s="125"/>
      <c r="CW102" s="125"/>
      <c r="CX102" s="125"/>
      <c r="CY102" s="125" t="s">
        <v>370</v>
      </c>
      <c r="CZ102" s="125" t="s">
        <v>370</v>
      </c>
      <c r="DA102" s="125" t="s">
        <v>370</v>
      </c>
      <c r="DB102" s="125">
        <v>0</v>
      </c>
      <c r="DC102" s="125">
        <v>0</v>
      </c>
      <c r="DD102" s="125">
        <v>0</v>
      </c>
      <c r="DE102">
        <f t="shared" si="19"/>
        <v>536361</v>
      </c>
      <c r="DG102" s="1">
        <f t="shared" si="33"/>
        <v>349315</v>
      </c>
      <c r="DH102" s="1">
        <f t="shared" si="20"/>
        <v>184194</v>
      </c>
      <c r="DI102" s="127">
        <f t="shared" si="21"/>
        <v>533509</v>
      </c>
      <c r="DK102" s="1">
        <f t="shared" si="22"/>
        <v>61134</v>
      </c>
      <c r="DL102" s="1">
        <f t="shared" si="23"/>
        <v>94534</v>
      </c>
      <c r="DM102" s="1">
        <f t="shared" si="24"/>
        <v>13739</v>
      </c>
      <c r="DN102" s="1">
        <f t="shared" si="25"/>
        <v>14540</v>
      </c>
      <c r="DO102" s="1">
        <f t="shared" si="26"/>
        <v>272609</v>
      </c>
      <c r="DP102" s="1">
        <f t="shared" si="27"/>
        <v>56656</v>
      </c>
      <c r="DQ102" s="1">
        <f t="shared" si="34"/>
        <v>0</v>
      </c>
      <c r="DR102" s="1">
        <f t="shared" si="28"/>
        <v>12599</v>
      </c>
      <c r="DS102" s="1">
        <f t="shared" si="29"/>
        <v>0</v>
      </c>
      <c r="DT102" s="1">
        <f t="shared" si="30"/>
        <v>8203</v>
      </c>
      <c r="DU102" s="1"/>
      <c r="DV102" s="1"/>
      <c r="DW102" s="1"/>
      <c r="DX102" s="1">
        <f t="shared" si="35"/>
        <v>534014</v>
      </c>
      <c r="DZ102" s="1">
        <f t="shared" si="36"/>
        <v>0</v>
      </c>
      <c r="EA102" s="1">
        <f t="shared" si="31"/>
        <v>0</v>
      </c>
      <c r="EC102" s="1">
        <f t="shared" si="37"/>
        <v>534014</v>
      </c>
      <c r="ED102" s="1">
        <f t="shared" si="32"/>
        <v>-2347</v>
      </c>
      <c r="EE102" s="1"/>
    </row>
    <row r="103" spans="1:135" x14ac:dyDescent="0.25">
      <c r="A103" s="124">
        <v>35339</v>
      </c>
      <c r="B103" s="125">
        <v>0</v>
      </c>
      <c r="C103" s="125">
        <v>0</v>
      </c>
      <c r="D103" s="125">
        <v>0</v>
      </c>
      <c r="E103" s="125" t="s">
        <v>370</v>
      </c>
      <c r="F103" s="125" t="s">
        <v>370</v>
      </c>
      <c r="G103" s="125">
        <v>0</v>
      </c>
      <c r="H103" s="125">
        <v>0</v>
      </c>
      <c r="I103" s="125">
        <v>0</v>
      </c>
      <c r="J103" s="125">
        <v>0</v>
      </c>
      <c r="K103" s="125"/>
      <c r="L103" s="125">
        <v>34419</v>
      </c>
      <c r="M103" s="125">
        <v>3287</v>
      </c>
      <c r="N103" s="125"/>
      <c r="O103" s="125">
        <v>5044</v>
      </c>
      <c r="P103" s="125">
        <v>4655</v>
      </c>
      <c r="Q103" s="125">
        <v>1968</v>
      </c>
      <c r="R103" s="125">
        <v>7541</v>
      </c>
      <c r="S103" s="125">
        <v>13739</v>
      </c>
      <c r="T103" s="125"/>
      <c r="U103" s="125"/>
      <c r="V103" s="125">
        <v>4220</v>
      </c>
      <c r="W103" s="125">
        <v>0</v>
      </c>
      <c r="X103" s="125">
        <v>799</v>
      </c>
      <c r="Y103" s="125">
        <v>33</v>
      </c>
      <c r="Z103" s="126"/>
      <c r="AA103" s="125">
        <v>29</v>
      </c>
      <c r="AB103" s="125">
        <v>0</v>
      </c>
      <c r="AC103" s="125">
        <v>14</v>
      </c>
      <c r="AD103" s="125">
        <v>31</v>
      </c>
      <c r="AE103" s="125">
        <v>28</v>
      </c>
      <c r="AF103" s="125">
        <v>56</v>
      </c>
      <c r="AG103" s="125"/>
      <c r="AH103" s="125"/>
      <c r="AI103" s="125">
        <v>22</v>
      </c>
      <c r="AJ103" s="125">
        <v>0</v>
      </c>
      <c r="AK103" s="125">
        <v>82031</v>
      </c>
      <c r="AL103" s="125">
        <v>3565</v>
      </c>
      <c r="AM103" s="125">
        <v>6141</v>
      </c>
      <c r="AN103" s="125">
        <v>41</v>
      </c>
      <c r="AO103" s="125">
        <v>3</v>
      </c>
      <c r="AP103" s="125">
        <v>0</v>
      </c>
      <c r="AQ103" s="125">
        <v>0</v>
      </c>
      <c r="AR103" s="125">
        <v>1829</v>
      </c>
      <c r="AS103" s="125" t="s">
        <v>370</v>
      </c>
      <c r="AT103" s="125">
        <v>1436</v>
      </c>
      <c r="AU103" s="125">
        <v>1502</v>
      </c>
      <c r="AV103" s="125">
        <v>2350</v>
      </c>
      <c r="AW103" s="125">
        <v>8340</v>
      </c>
      <c r="AX103" s="126"/>
      <c r="AY103" s="126"/>
      <c r="AZ103" s="126">
        <v>0</v>
      </c>
      <c r="BA103" s="126"/>
      <c r="BB103" s="125">
        <v>1071</v>
      </c>
      <c r="BC103" s="125"/>
      <c r="BD103" s="125">
        <v>44299</v>
      </c>
      <c r="BE103" s="125">
        <v>103132</v>
      </c>
      <c r="BF103" s="125">
        <v>273</v>
      </c>
      <c r="BG103" s="125">
        <v>668</v>
      </c>
      <c r="BH103" s="125">
        <v>793</v>
      </c>
      <c r="BI103" s="125">
        <v>4845</v>
      </c>
      <c r="BJ103" s="125">
        <v>69</v>
      </c>
      <c r="BK103" s="125">
        <v>2853</v>
      </c>
      <c r="BL103" s="125"/>
      <c r="BM103" s="125">
        <v>531</v>
      </c>
      <c r="BN103" s="125">
        <v>65</v>
      </c>
      <c r="BO103" s="125">
        <v>0</v>
      </c>
      <c r="BP103" s="125">
        <v>10226</v>
      </c>
      <c r="BQ103" s="125">
        <v>15299</v>
      </c>
      <c r="BR103" s="125">
        <v>16</v>
      </c>
      <c r="BS103" s="125">
        <v>180</v>
      </c>
      <c r="BT103" s="125">
        <v>238</v>
      </c>
      <c r="BU103" s="125"/>
      <c r="BV103" s="125">
        <v>5</v>
      </c>
      <c r="BW103" s="125">
        <v>232</v>
      </c>
      <c r="BX103" s="125"/>
      <c r="BY103" s="125">
        <v>428</v>
      </c>
      <c r="BZ103" s="125">
        <v>1</v>
      </c>
      <c r="CA103" s="125">
        <v>0</v>
      </c>
      <c r="CB103" s="125">
        <v>12571</v>
      </c>
      <c r="CC103" s="125">
        <v>60999</v>
      </c>
      <c r="CD103" s="125">
        <v>77169</v>
      </c>
      <c r="CE103" s="125">
        <v>14072</v>
      </c>
      <c r="CF103" s="125">
        <v>0</v>
      </c>
      <c r="CG103" s="125">
        <v>0</v>
      </c>
      <c r="CH103" s="125">
        <v>28</v>
      </c>
      <c r="CI103" s="125">
        <v>106</v>
      </c>
      <c r="CJ103" s="125">
        <v>217</v>
      </c>
      <c r="CK103" s="125"/>
      <c r="CL103" s="125"/>
      <c r="CM103" s="125"/>
      <c r="CN103" s="125"/>
      <c r="CO103" s="125"/>
      <c r="CP103" s="125"/>
      <c r="CQ103" s="125"/>
      <c r="CR103" s="125"/>
      <c r="CS103" s="125"/>
      <c r="CT103" s="125"/>
      <c r="CU103" s="125"/>
      <c r="CV103" s="125"/>
      <c r="CW103" s="125"/>
      <c r="CX103" s="125"/>
      <c r="CY103" s="125" t="s">
        <v>370</v>
      </c>
      <c r="CZ103" s="125" t="s">
        <v>370</v>
      </c>
      <c r="DA103" s="125" t="s">
        <v>370</v>
      </c>
      <c r="DB103" s="125">
        <v>0</v>
      </c>
      <c r="DC103" s="125">
        <v>0</v>
      </c>
      <c r="DD103" s="125">
        <v>0</v>
      </c>
      <c r="DE103">
        <f t="shared" si="19"/>
        <v>533509</v>
      </c>
      <c r="DG103" s="1">
        <f t="shared" si="33"/>
        <v>350560</v>
      </c>
      <c r="DH103" s="1">
        <f t="shared" si="20"/>
        <v>185116</v>
      </c>
      <c r="DI103" s="127">
        <f t="shared" si="21"/>
        <v>535676</v>
      </c>
      <c r="DK103" s="1">
        <f t="shared" si="22"/>
        <v>61152</v>
      </c>
      <c r="DL103" s="1">
        <f t="shared" si="23"/>
        <v>94781</v>
      </c>
      <c r="DM103" s="1">
        <f t="shared" si="24"/>
        <v>13869</v>
      </c>
      <c r="DN103" s="1">
        <f t="shared" si="25"/>
        <v>14762</v>
      </c>
      <c r="DO103" s="1">
        <f t="shared" si="26"/>
        <v>273816</v>
      </c>
      <c r="DP103" s="1">
        <f t="shared" si="27"/>
        <v>55904</v>
      </c>
      <c r="DQ103" s="1">
        <f t="shared" si="34"/>
        <v>0</v>
      </c>
      <c r="DR103" s="1">
        <f t="shared" si="28"/>
        <v>12693</v>
      </c>
      <c r="DS103" s="1">
        <f t="shared" si="29"/>
        <v>0</v>
      </c>
      <c r="DT103" s="1">
        <f t="shared" si="30"/>
        <v>8321</v>
      </c>
      <c r="DU103" s="1"/>
      <c r="DV103" s="1"/>
      <c r="DW103" s="1"/>
      <c r="DX103" s="1">
        <f t="shared" si="35"/>
        <v>535298</v>
      </c>
      <c r="DZ103" s="1">
        <f t="shared" si="36"/>
        <v>0</v>
      </c>
      <c r="EA103" s="1">
        <f t="shared" si="31"/>
        <v>0</v>
      </c>
      <c r="EC103" s="1">
        <f t="shared" si="37"/>
        <v>535298</v>
      </c>
      <c r="ED103" s="1">
        <f t="shared" si="32"/>
        <v>1789</v>
      </c>
      <c r="EE103" s="1"/>
    </row>
    <row r="104" spans="1:135" x14ac:dyDescent="0.25">
      <c r="A104" s="124">
        <v>35370</v>
      </c>
      <c r="B104" s="125">
        <v>0</v>
      </c>
      <c r="C104" s="125">
        <v>0</v>
      </c>
      <c r="D104" s="125">
        <v>0</v>
      </c>
      <c r="E104" s="125" t="s">
        <v>370</v>
      </c>
      <c r="F104" s="125" t="s">
        <v>370</v>
      </c>
      <c r="G104" s="125">
        <v>0</v>
      </c>
      <c r="H104" s="125">
        <v>0</v>
      </c>
      <c r="I104" s="125">
        <v>0</v>
      </c>
      <c r="J104" s="125">
        <v>0</v>
      </c>
      <c r="K104" s="125"/>
      <c r="L104" s="125">
        <v>34447</v>
      </c>
      <c r="M104" s="125">
        <v>3304</v>
      </c>
      <c r="N104" s="125"/>
      <c r="O104" s="125">
        <v>4956</v>
      </c>
      <c r="P104" s="125">
        <v>4769</v>
      </c>
      <c r="Q104" s="125">
        <v>1897</v>
      </c>
      <c r="R104" s="125">
        <v>7747</v>
      </c>
      <c r="S104" s="125">
        <v>13869</v>
      </c>
      <c r="T104" s="125"/>
      <c r="U104" s="125"/>
      <c r="V104" s="125">
        <v>4032</v>
      </c>
      <c r="W104" s="125">
        <v>0</v>
      </c>
      <c r="X104" s="125">
        <v>792</v>
      </c>
      <c r="Y104" s="125">
        <v>35</v>
      </c>
      <c r="Z104" s="126"/>
      <c r="AA104" s="125">
        <v>27</v>
      </c>
      <c r="AB104" s="125">
        <v>0</v>
      </c>
      <c r="AC104" s="125">
        <v>15</v>
      </c>
      <c r="AD104" s="125">
        <v>33</v>
      </c>
      <c r="AE104" s="125">
        <v>29</v>
      </c>
      <c r="AF104" s="125">
        <v>56</v>
      </c>
      <c r="AG104" s="125"/>
      <c r="AH104" s="125"/>
      <c r="AI104" s="125">
        <v>20</v>
      </c>
      <c r="AJ104" s="125">
        <v>0</v>
      </c>
      <c r="AK104" s="125">
        <v>82456</v>
      </c>
      <c r="AL104" s="125">
        <v>3594</v>
      </c>
      <c r="AM104" s="125">
        <v>6269</v>
      </c>
      <c r="AN104" s="125">
        <v>44</v>
      </c>
      <c r="AO104" s="125">
        <v>5</v>
      </c>
      <c r="AP104" s="125">
        <v>0</v>
      </c>
      <c r="AQ104" s="125">
        <v>0</v>
      </c>
      <c r="AR104" s="125">
        <v>1844</v>
      </c>
      <c r="AS104" s="125" t="s">
        <v>370</v>
      </c>
      <c r="AT104" s="125">
        <v>1469</v>
      </c>
      <c r="AU104" s="125">
        <v>1490</v>
      </c>
      <c r="AV104" s="125">
        <v>2403</v>
      </c>
      <c r="AW104" s="125">
        <v>8432</v>
      </c>
      <c r="AX104" s="126"/>
      <c r="AY104" s="126"/>
      <c r="AZ104" s="126">
        <v>0</v>
      </c>
      <c r="BA104" s="126"/>
      <c r="BB104" s="125">
        <v>1082</v>
      </c>
      <c r="BC104" s="125"/>
      <c r="BD104" s="125">
        <v>43767</v>
      </c>
      <c r="BE104" s="125">
        <v>101984</v>
      </c>
      <c r="BF104" s="125">
        <v>274</v>
      </c>
      <c r="BG104" s="125">
        <v>639</v>
      </c>
      <c r="BH104" s="125">
        <v>774</v>
      </c>
      <c r="BI104" s="125">
        <v>4988</v>
      </c>
      <c r="BJ104" s="125">
        <v>66</v>
      </c>
      <c r="BK104" s="125">
        <v>2830</v>
      </c>
      <c r="BL104" s="125"/>
      <c r="BM104" s="125">
        <v>545</v>
      </c>
      <c r="BN104" s="125">
        <v>68</v>
      </c>
      <c r="BO104" s="125">
        <v>0</v>
      </c>
      <c r="BP104" s="125">
        <v>10600</v>
      </c>
      <c r="BQ104" s="125">
        <v>15766</v>
      </c>
      <c r="BR104" s="125">
        <v>15</v>
      </c>
      <c r="BS104" s="125">
        <v>179</v>
      </c>
      <c r="BT104" s="125">
        <v>247</v>
      </c>
      <c r="BU104" s="125"/>
      <c r="BV104" s="125">
        <v>7</v>
      </c>
      <c r="BW104" s="125">
        <v>229</v>
      </c>
      <c r="BX104" s="125"/>
      <c r="BY104" s="125">
        <v>414</v>
      </c>
      <c r="BZ104" s="125">
        <v>1</v>
      </c>
      <c r="CA104" s="125">
        <v>0</v>
      </c>
      <c r="CB104" s="125">
        <v>12668</v>
      </c>
      <c r="CC104" s="125">
        <v>61423</v>
      </c>
      <c r="CD104" s="125">
        <v>78399</v>
      </c>
      <c r="CE104" s="125">
        <v>14346</v>
      </c>
      <c r="CF104" s="125">
        <v>0</v>
      </c>
      <c r="CG104" s="125">
        <v>0</v>
      </c>
      <c r="CH104" s="125">
        <v>25</v>
      </c>
      <c r="CI104" s="125">
        <v>98</v>
      </c>
      <c r="CJ104" s="125">
        <v>208</v>
      </c>
      <c r="CK104" s="125"/>
      <c r="CL104" s="125"/>
      <c r="CM104" s="125"/>
      <c r="CN104" s="125"/>
      <c r="CO104" s="125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 t="s">
        <v>370</v>
      </c>
      <c r="CZ104" s="125" t="s">
        <v>370</v>
      </c>
      <c r="DA104" s="125" t="s">
        <v>370</v>
      </c>
      <c r="DB104" s="125">
        <v>0</v>
      </c>
      <c r="DC104" s="125">
        <v>0</v>
      </c>
      <c r="DD104" s="125">
        <v>0</v>
      </c>
      <c r="DE104">
        <f t="shared" si="19"/>
        <v>535676</v>
      </c>
      <c r="DG104" s="1">
        <f t="shared" si="33"/>
        <v>346233</v>
      </c>
      <c r="DH104" s="1">
        <f t="shared" si="20"/>
        <v>185037</v>
      </c>
      <c r="DI104" s="127">
        <f t="shared" si="21"/>
        <v>531270</v>
      </c>
      <c r="DK104" s="1">
        <f t="shared" si="22"/>
        <v>61046</v>
      </c>
      <c r="DL104" s="1">
        <f t="shared" si="23"/>
        <v>95333</v>
      </c>
      <c r="DM104" s="1">
        <f t="shared" si="24"/>
        <v>13893</v>
      </c>
      <c r="DN104" s="1">
        <f t="shared" si="25"/>
        <v>14879</v>
      </c>
      <c r="DO104" s="1">
        <f t="shared" si="26"/>
        <v>270992</v>
      </c>
      <c r="DP104" s="1">
        <f t="shared" si="27"/>
        <v>55730</v>
      </c>
      <c r="DQ104" s="1">
        <f t="shared" si="34"/>
        <v>0</v>
      </c>
      <c r="DR104" s="1">
        <f t="shared" si="28"/>
        <v>12450</v>
      </c>
      <c r="DS104" s="1">
        <f t="shared" si="29"/>
        <v>0</v>
      </c>
      <c r="DT104" s="1">
        <f t="shared" si="30"/>
        <v>8346</v>
      </c>
      <c r="DU104" s="1"/>
      <c r="DV104" s="1"/>
      <c r="DW104" s="1"/>
      <c r="DX104" s="1">
        <f t="shared" si="35"/>
        <v>532669</v>
      </c>
      <c r="DZ104" s="1">
        <f t="shared" si="36"/>
        <v>0</v>
      </c>
      <c r="EA104" s="1">
        <f t="shared" si="31"/>
        <v>0</v>
      </c>
      <c r="EC104" s="1">
        <f t="shared" si="37"/>
        <v>532669</v>
      </c>
      <c r="ED104" s="1">
        <f t="shared" si="32"/>
        <v>-3007</v>
      </c>
      <c r="EE104" s="1"/>
    </row>
    <row r="105" spans="1:135" x14ac:dyDescent="0.25">
      <c r="A105" s="124">
        <v>35400</v>
      </c>
      <c r="B105" s="125">
        <v>0</v>
      </c>
      <c r="C105" s="125">
        <v>0</v>
      </c>
      <c r="D105" s="125">
        <v>0</v>
      </c>
      <c r="E105" s="125" t="s">
        <v>370</v>
      </c>
      <c r="F105" s="125" t="s">
        <v>370</v>
      </c>
      <c r="G105" s="125">
        <v>0</v>
      </c>
      <c r="H105" s="125">
        <v>0</v>
      </c>
      <c r="I105" s="125">
        <v>0</v>
      </c>
      <c r="J105" s="125">
        <v>0</v>
      </c>
      <c r="K105" s="125"/>
      <c r="L105" s="125">
        <v>34414</v>
      </c>
      <c r="M105" s="125">
        <v>3313</v>
      </c>
      <c r="N105" s="125"/>
      <c r="O105" s="125">
        <v>4856</v>
      </c>
      <c r="P105" s="125">
        <v>4841</v>
      </c>
      <c r="Q105" s="125">
        <v>1827</v>
      </c>
      <c r="R105" s="125">
        <v>7888</v>
      </c>
      <c r="S105" s="125">
        <v>13893</v>
      </c>
      <c r="T105" s="125"/>
      <c r="U105" s="125"/>
      <c r="V105" s="125">
        <v>3907</v>
      </c>
      <c r="W105" s="125">
        <v>0</v>
      </c>
      <c r="X105" s="125">
        <v>790</v>
      </c>
      <c r="Y105" s="125">
        <v>35</v>
      </c>
      <c r="Z105" s="126"/>
      <c r="AA105" s="125">
        <v>24</v>
      </c>
      <c r="AB105" s="125">
        <v>0</v>
      </c>
      <c r="AC105" s="125">
        <v>15</v>
      </c>
      <c r="AD105" s="125">
        <v>32</v>
      </c>
      <c r="AE105" s="125">
        <v>31</v>
      </c>
      <c r="AF105" s="125">
        <v>57</v>
      </c>
      <c r="AG105" s="125"/>
      <c r="AH105" s="125"/>
      <c r="AI105" s="125">
        <v>20</v>
      </c>
      <c r="AJ105" s="125">
        <v>0</v>
      </c>
      <c r="AK105" s="125">
        <v>82419</v>
      </c>
      <c r="AL105" s="125">
        <v>3568</v>
      </c>
      <c r="AM105" s="125">
        <v>6349</v>
      </c>
      <c r="AN105" s="125">
        <v>47</v>
      </c>
      <c r="AO105" s="125">
        <v>5</v>
      </c>
      <c r="AP105" s="125">
        <v>0</v>
      </c>
      <c r="AQ105" s="125">
        <v>0</v>
      </c>
      <c r="AR105" s="125">
        <v>1831</v>
      </c>
      <c r="AS105" s="125" t="s">
        <v>370</v>
      </c>
      <c r="AT105" s="125">
        <v>1468</v>
      </c>
      <c r="AU105" s="125">
        <v>1478</v>
      </c>
      <c r="AV105" s="125">
        <v>2407</v>
      </c>
      <c r="AW105" s="125">
        <v>8468</v>
      </c>
      <c r="AX105" s="126"/>
      <c r="AY105" s="126"/>
      <c r="AZ105" s="126">
        <v>0</v>
      </c>
      <c r="BA105" s="126"/>
      <c r="BB105" s="125">
        <v>1054</v>
      </c>
      <c r="BC105" s="125"/>
      <c r="BD105" s="125">
        <v>42514</v>
      </c>
      <c r="BE105" s="125">
        <v>99663</v>
      </c>
      <c r="BF105" s="125">
        <v>277</v>
      </c>
      <c r="BG105" s="125">
        <v>628</v>
      </c>
      <c r="BH105" s="125">
        <v>783</v>
      </c>
      <c r="BI105" s="125">
        <v>5039</v>
      </c>
      <c r="BJ105" s="125">
        <v>75</v>
      </c>
      <c r="BK105" s="125">
        <v>2796</v>
      </c>
      <c r="BL105" s="125"/>
      <c r="BM105" s="125">
        <v>577</v>
      </c>
      <c r="BN105" s="125">
        <v>66</v>
      </c>
      <c r="BO105" s="125">
        <v>0</v>
      </c>
      <c r="BP105" s="125">
        <v>10561</v>
      </c>
      <c r="BQ105" s="125">
        <v>15713</v>
      </c>
      <c r="BR105" s="125">
        <v>13</v>
      </c>
      <c r="BS105" s="125">
        <v>165</v>
      </c>
      <c r="BT105" s="125">
        <v>226</v>
      </c>
      <c r="BU105" s="125"/>
      <c r="BV105" s="125">
        <v>8</v>
      </c>
      <c r="BW105" s="125">
        <v>234</v>
      </c>
      <c r="BX105" s="125"/>
      <c r="BY105" s="125">
        <v>394</v>
      </c>
      <c r="BZ105" s="125">
        <v>1</v>
      </c>
      <c r="CA105" s="125">
        <v>0</v>
      </c>
      <c r="CB105" s="125">
        <v>12426</v>
      </c>
      <c r="CC105" s="125">
        <v>60749</v>
      </c>
      <c r="CD105" s="125">
        <v>78653</v>
      </c>
      <c r="CE105" s="125">
        <v>14335</v>
      </c>
      <c r="CF105" s="125">
        <v>0</v>
      </c>
      <c r="CG105" s="125">
        <v>0</v>
      </c>
      <c r="CH105" s="125">
        <v>24</v>
      </c>
      <c r="CI105" s="125">
        <v>99</v>
      </c>
      <c r="CJ105" s="125">
        <v>214</v>
      </c>
      <c r="CK105" s="125"/>
      <c r="CL105" s="125"/>
      <c r="CM105" s="125"/>
      <c r="CN105" s="125"/>
      <c r="CO105" s="125"/>
      <c r="CP105" s="125"/>
      <c r="CQ105" s="125"/>
      <c r="CR105" s="125"/>
      <c r="CS105" s="125"/>
      <c r="CT105" s="125"/>
      <c r="CU105" s="125"/>
      <c r="CV105" s="125"/>
      <c r="CW105" s="125"/>
      <c r="CX105" s="125"/>
      <c r="CY105" s="125" t="s">
        <v>370</v>
      </c>
      <c r="CZ105" s="125" t="s">
        <v>370</v>
      </c>
      <c r="DA105" s="125" t="s">
        <v>370</v>
      </c>
      <c r="DB105" s="125">
        <v>0</v>
      </c>
      <c r="DC105" s="125">
        <v>0</v>
      </c>
      <c r="DD105" s="125">
        <v>0</v>
      </c>
      <c r="DE105">
        <f t="shared" si="19"/>
        <v>531270</v>
      </c>
      <c r="DG105" s="1">
        <f t="shared" si="33"/>
        <v>343956</v>
      </c>
      <c r="DH105" s="1">
        <f t="shared" si="20"/>
        <v>184816</v>
      </c>
      <c r="DI105" s="127">
        <f t="shared" si="21"/>
        <v>528772</v>
      </c>
      <c r="DK105" s="1">
        <f t="shared" si="22"/>
        <v>60649</v>
      </c>
      <c r="DL105" s="1">
        <f t="shared" si="23"/>
        <v>95219</v>
      </c>
      <c r="DM105" s="1">
        <f t="shared" si="24"/>
        <v>13955</v>
      </c>
      <c r="DN105" s="1">
        <f t="shared" si="25"/>
        <v>14975</v>
      </c>
      <c r="DO105" s="1">
        <f t="shared" si="26"/>
        <v>269659</v>
      </c>
      <c r="DP105" s="1">
        <f t="shared" si="27"/>
        <v>54445</v>
      </c>
      <c r="DQ105" s="1">
        <f t="shared" si="34"/>
        <v>0</v>
      </c>
      <c r="DR105" s="1">
        <f t="shared" si="28"/>
        <v>12162</v>
      </c>
      <c r="DS105" s="1">
        <f t="shared" si="29"/>
        <v>0</v>
      </c>
      <c r="DT105" s="1">
        <f t="shared" si="30"/>
        <v>8425</v>
      </c>
      <c r="DU105" s="1"/>
      <c r="DV105" s="1"/>
      <c r="DW105" s="1"/>
      <c r="DX105" s="1">
        <f t="shared" si="35"/>
        <v>529489</v>
      </c>
      <c r="DZ105" s="1">
        <f t="shared" si="36"/>
        <v>0</v>
      </c>
      <c r="EA105" s="1">
        <f t="shared" si="31"/>
        <v>0</v>
      </c>
      <c r="EC105" s="1">
        <f t="shared" si="37"/>
        <v>529489</v>
      </c>
      <c r="ED105" s="1">
        <f t="shared" si="32"/>
        <v>-1781</v>
      </c>
      <c r="EE105" s="1"/>
    </row>
    <row r="106" spans="1:135" x14ac:dyDescent="0.25">
      <c r="A106" s="124">
        <v>35431</v>
      </c>
      <c r="B106" s="125">
        <v>0</v>
      </c>
      <c r="C106" s="125">
        <v>0</v>
      </c>
      <c r="D106" s="125">
        <v>0</v>
      </c>
      <c r="E106" s="125" t="s">
        <v>370</v>
      </c>
      <c r="F106" s="125" t="s">
        <v>370</v>
      </c>
      <c r="G106" s="125">
        <v>0</v>
      </c>
      <c r="H106" s="125">
        <v>0</v>
      </c>
      <c r="I106" s="125">
        <v>0</v>
      </c>
      <c r="J106" s="125">
        <v>0</v>
      </c>
      <c r="K106" s="125"/>
      <c r="L106" s="125">
        <v>34284</v>
      </c>
      <c r="M106" s="125">
        <v>3272</v>
      </c>
      <c r="N106" s="125"/>
      <c r="O106" s="125">
        <v>4741</v>
      </c>
      <c r="P106" s="125">
        <v>4901</v>
      </c>
      <c r="Q106" s="125">
        <v>1756</v>
      </c>
      <c r="R106" s="125">
        <v>7943</v>
      </c>
      <c r="S106" s="125">
        <v>13955</v>
      </c>
      <c r="T106" s="125"/>
      <c r="U106" s="125"/>
      <c r="V106" s="125">
        <v>3752</v>
      </c>
      <c r="W106" s="125">
        <v>0</v>
      </c>
      <c r="X106" s="125">
        <v>783</v>
      </c>
      <c r="Y106" s="125">
        <v>34</v>
      </c>
      <c r="Z106" s="126"/>
      <c r="AA106" s="125">
        <v>25</v>
      </c>
      <c r="AB106" s="125">
        <v>0</v>
      </c>
      <c r="AC106" s="125">
        <v>15</v>
      </c>
      <c r="AD106" s="125">
        <v>31</v>
      </c>
      <c r="AE106" s="125">
        <v>30</v>
      </c>
      <c r="AF106" s="125">
        <v>57</v>
      </c>
      <c r="AG106" s="125"/>
      <c r="AH106" s="125"/>
      <c r="AI106" s="125">
        <v>21</v>
      </c>
      <c r="AJ106" s="125">
        <v>0</v>
      </c>
      <c r="AK106" s="125">
        <v>82531</v>
      </c>
      <c r="AL106" s="125">
        <v>3566</v>
      </c>
      <c r="AM106" s="125">
        <v>6429</v>
      </c>
      <c r="AN106" s="125">
        <v>46</v>
      </c>
      <c r="AO106" s="125">
        <v>5</v>
      </c>
      <c r="AP106" s="125">
        <v>0</v>
      </c>
      <c r="AQ106" s="125">
        <v>0</v>
      </c>
      <c r="AR106" s="125">
        <v>1774</v>
      </c>
      <c r="AS106" s="125" t="s">
        <v>370</v>
      </c>
      <c r="AT106" s="125">
        <v>1469</v>
      </c>
      <c r="AU106" s="125">
        <v>1488</v>
      </c>
      <c r="AV106" s="125">
        <v>2407</v>
      </c>
      <c r="AW106" s="125">
        <v>8484</v>
      </c>
      <c r="AX106" s="126"/>
      <c r="AY106" s="126"/>
      <c r="AZ106" s="126">
        <v>0</v>
      </c>
      <c r="BA106" s="126"/>
      <c r="BB106" s="125">
        <v>1017</v>
      </c>
      <c r="BC106" s="125"/>
      <c r="BD106" s="125">
        <v>41712</v>
      </c>
      <c r="BE106" s="125">
        <v>98203</v>
      </c>
      <c r="BF106" s="125">
        <v>280</v>
      </c>
      <c r="BG106" s="125">
        <v>653</v>
      </c>
      <c r="BH106" s="125">
        <v>788</v>
      </c>
      <c r="BI106" s="125">
        <v>5103</v>
      </c>
      <c r="BJ106" s="125">
        <v>73</v>
      </c>
      <c r="BK106" s="125">
        <v>2818</v>
      </c>
      <c r="BL106" s="125"/>
      <c r="BM106" s="125">
        <v>670</v>
      </c>
      <c r="BN106" s="125">
        <v>62</v>
      </c>
      <c r="BO106" s="125">
        <v>0</v>
      </c>
      <c r="BP106" s="125">
        <v>10520</v>
      </c>
      <c r="BQ106" s="125">
        <v>15559</v>
      </c>
      <c r="BR106" s="125">
        <v>13</v>
      </c>
      <c r="BS106" s="125">
        <v>155</v>
      </c>
      <c r="BT106" s="125">
        <v>218</v>
      </c>
      <c r="BU106" s="125"/>
      <c r="BV106" s="125">
        <v>9</v>
      </c>
      <c r="BW106" s="125">
        <v>224</v>
      </c>
      <c r="BX106" s="125"/>
      <c r="BY106" s="125">
        <v>388</v>
      </c>
      <c r="BZ106" s="125">
        <v>1</v>
      </c>
      <c r="CA106" s="125">
        <v>0</v>
      </c>
      <c r="CB106" s="125">
        <v>12136</v>
      </c>
      <c r="CC106" s="125">
        <v>60407</v>
      </c>
      <c r="CD106" s="125">
        <v>79148</v>
      </c>
      <c r="CE106" s="125">
        <v>14476</v>
      </c>
      <c r="CF106" s="125">
        <v>0</v>
      </c>
      <c r="CG106" s="125">
        <v>0</v>
      </c>
      <c r="CH106" s="125">
        <v>26</v>
      </c>
      <c r="CI106" s="125">
        <v>100</v>
      </c>
      <c r="CJ106" s="125">
        <v>214</v>
      </c>
      <c r="CK106" s="125"/>
      <c r="CL106" s="125"/>
      <c r="CM106" s="125"/>
      <c r="CN106" s="125"/>
      <c r="CO106" s="125"/>
      <c r="CP106" s="125"/>
      <c r="CQ106" s="125"/>
      <c r="CR106" s="125"/>
      <c r="CS106" s="125"/>
      <c r="CT106" s="125"/>
      <c r="CU106" s="125"/>
      <c r="CV106" s="125"/>
      <c r="CW106" s="125"/>
      <c r="CX106" s="125"/>
      <c r="CY106" s="125" t="s">
        <v>370</v>
      </c>
      <c r="CZ106" s="125" t="s">
        <v>370</v>
      </c>
      <c r="DA106" s="125" t="s">
        <v>370</v>
      </c>
      <c r="DB106" s="125">
        <v>0</v>
      </c>
      <c r="DC106" s="125">
        <v>0</v>
      </c>
      <c r="DD106" s="125">
        <v>0</v>
      </c>
      <c r="DE106">
        <f t="shared" si="19"/>
        <v>528772</v>
      </c>
      <c r="DG106" s="1">
        <f t="shared" si="33"/>
        <v>344790</v>
      </c>
      <c r="DH106" s="1">
        <f t="shared" si="20"/>
        <v>184727</v>
      </c>
      <c r="DI106" s="127">
        <f t="shared" si="21"/>
        <v>529517</v>
      </c>
      <c r="DK106" s="1">
        <f t="shared" si="22"/>
        <v>60287</v>
      </c>
      <c r="DL106" s="1">
        <f t="shared" si="23"/>
        <v>95237</v>
      </c>
      <c r="DM106" s="1">
        <f t="shared" si="24"/>
        <v>13956</v>
      </c>
      <c r="DN106" s="1">
        <f t="shared" si="25"/>
        <v>15151</v>
      </c>
      <c r="DO106" s="1">
        <f t="shared" si="26"/>
        <v>270403</v>
      </c>
      <c r="DP106" s="1">
        <f t="shared" si="27"/>
        <v>53710</v>
      </c>
      <c r="DQ106" s="1">
        <f t="shared" si="34"/>
        <v>0</v>
      </c>
      <c r="DR106" s="1">
        <f t="shared" si="28"/>
        <v>12404</v>
      </c>
      <c r="DS106" s="1">
        <f t="shared" si="29"/>
        <v>0</v>
      </c>
      <c r="DT106" s="1">
        <f t="shared" si="30"/>
        <v>8543</v>
      </c>
      <c r="DU106" s="1"/>
      <c r="DV106" s="1"/>
      <c r="DW106" s="1"/>
      <c r="DX106" s="1">
        <f t="shared" si="35"/>
        <v>529691</v>
      </c>
      <c r="DZ106" s="1">
        <f t="shared" si="36"/>
        <v>0</v>
      </c>
      <c r="EA106" s="1">
        <f t="shared" si="31"/>
        <v>0</v>
      </c>
      <c r="EC106" s="1">
        <f t="shared" si="37"/>
        <v>529691</v>
      </c>
      <c r="ED106" s="1">
        <f t="shared" si="32"/>
        <v>919</v>
      </c>
      <c r="EE106" s="1"/>
    </row>
    <row r="107" spans="1:135" x14ac:dyDescent="0.25">
      <c r="A107" s="124">
        <v>35462</v>
      </c>
      <c r="B107" s="125">
        <v>0</v>
      </c>
      <c r="C107" s="125">
        <v>0</v>
      </c>
      <c r="D107" s="125">
        <v>0</v>
      </c>
      <c r="E107" s="125" t="s">
        <v>370</v>
      </c>
      <c r="F107" s="125" t="s">
        <v>370</v>
      </c>
      <c r="G107" s="125">
        <v>0</v>
      </c>
      <c r="H107" s="125">
        <v>0</v>
      </c>
      <c r="I107" s="125">
        <v>0</v>
      </c>
      <c r="J107" s="125">
        <v>0</v>
      </c>
      <c r="K107" s="125"/>
      <c r="L107" s="125">
        <v>34171</v>
      </c>
      <c r="M107" s="125">
        <v>3223</v>
      </c>
      <c r="N107" s="125"/>
      <c r="O107" s="125">
        <v>4617</v>
      </c>
      <c r="P107" s="125">
        <v>4956</v>
      </c>
      <c r="Q107" s="125">
        <v>1711</v>
      </c>
      <c r="R107" s="125">
        <v>8036</v>
      </c>
      <c r="S107" s="125">
        <v>13956</v>
      </c>
      <c r="T107" s="125"/>
      <c r="U107" s="125"/>
      <c r="V107" s="125">
        <v>3573</v>
      </c>
      <c r="W107" s="125">
        <v>0</v>
      </c>
      <c r="X107" s="125">
        <v>778</v>
      </c>
      <c r="Y107" s="125">
        <v>35</v>
      </c>
      <c r="Z107" s="126"/>
      <c r="AA107" s="125">
        <v>24</v>
      </c>
      <c r="AB107" s="125">
        <v>0</v>
      </c>
      <c r="AC107" s="125">
        <v>16</v>
      </c>
      <c r="AD107" s="125">
        <v>30</v>
      </c>
      <c r="AE107" s="125">
        <v>27</v>
      </c>
      <c r="AF107" s="125">
        <v>57</v>
      </c>
      <c r="AG107" s="125"/>
      <c r="AH107" s="125"/>
      <c r="AI107" s="125">
        <v>20</v>
      </c>
      <c r="AJ107" s="125">
        <v>0</v>
      </c>
      <c r="AK107" s="125">
        <v>82644</v>
      </c>
      <c r="AL107" s="125">
        <v>3538</v>
      </c>
      <c r="AM107" s="125">
        <v>6558</v>
      </c>
      <c r="AN107" s="125">
        <v>47</v>
      </c>
      <c r="AO107" s="125">
        <v>4</v>
      </c>
      <c r="AP107" s="125">
        <v>0</v>
      </c>
      <c r="AQ107" s="125">
        <v>0</v>
      </c>
      <c r="AR107" s="125">
        <v>1787</v>
      </c>
      <c r="AS107" s="125" t="s">
        <v>370</v>
      </c>
      <c r="AT107" s="125">
        <v>1493</v>
      </c>
      <c r="AU107" s="125">
        <v>1492</v>
      </c>
      <c r="AV107" s="125">
        <v>2418</v>
      </c>
      <c r="AW107" s="125">
        <v>8532</v>
      </c>
      <c r="AX107" s="126"/>
      <c r="AY107" s="126"/>
      <c r="AZ107" s="126">
        <v>0</v>
      </c>
      <c r="BA107" s="126"/>
      <c r="BB107" s="125">
        <v>984</v>
      </c>
      <c r="BC107" s="125"/>
      <c r="BD107" s="125">
        <v>41411</v>
      </c>
      <c r="BE107" s="125">
        <v>97355</v>
      </c>
      <c r="BF107" s="125">
        <v>285</v>
      </c>
      <c r="BG107" s="125">
        <v>656</v>
      </c>
      <c r="BH107" s="125">
        <v>775</v>
      </c>
      <c r="BI107" s="125">
        <v>5151</v>
      </c>
      <c r="BJ107" s="125">
        <v>69</v>
      </c>
      <c r="BK107" s="125">
        <v>2879</v>
      </c>
      <c r="BL107" s="125"/>
      <c r="BM107" s="125">
        <v>692</v>
      </c>
      <c r="BN107" s="125">
        <v>59</v>
      </c>
      <c r="BO107" s="125">
        <v>0</v>
      </c>
      <c r="BP107" s="125">
        <v>10528</v>
      </c>
      <c r="BQ107" s="125">
        <v>15501</v>
      </c>
      <c r="BR107" s="125">
        <v>14</v>
      </c>
      <c r="BS107" s="125">
        <v>153</v>
      </c>
      <c r="BT107" s="125">
        <v>212</v>
      </c>
      <c r="BU107" s="125"/>
      <c r="BV107" s="125">
        <v>6</v>
      </c>
      <c r="BW107" s="125">
        <v>228</v>
      </c>
      <c r="BX107" s="125"/>
      <c r="BY107" s="125">
        <v>372</v>
      </c>
      <c r="BZ107" s="125">
        <v>1</v>
      </c>
      <c r="CA107" s="125">
        <v>0</v>
      </c>
      <c r="CB107" s="125">
        <v>12376</v>
      </c>
      <c r="CC107" s="125">
        <v>60821</v>
      </c>
      <c r="CD107" s="125">
        <v>80103</v>
      </c>
      <c r="CE107" s="125">
        <v>14794</v>
      </c>
      <c r="CF107" s="125">
        <v>0</v>
      </c>
      <c r="CG107" s="125">
        <v>0</v>
      </c>
      <c r="CH107" s="125">
        <v>28</v>
      </c>
      <c r="CI107" s="125">
        <v>101</v>
      </c>
      <c r="CJ107" s="125">
        <v>220</v>
      </c>
      <c r="CK107" s="125"/>
      <c r="CL107" s="125"/>
      <c r="CM107" s="125"/>
      <c r="CN107" s="125"/>
      <c r="CO107" s="125"/>
      <c r="CP107" s="125"/>
      <c r="CQ107" s="125"/>
      <c r="CR107" s="125"/>
      <c r="CS107" s="125"/>
      <c r="CT107" s="125"/>
      <c r="CU107" s="125"/>
      <c r="CV107" s="125"/>
      <c r="CW107" s="125"/>
      <c r="CX107" s="125"/>
      <c r="CY107" s="125" t="s">
        <v>370</v>
      </c>
      <c r="CZ107" s="125" t="s">
        <v>370</v>
      </c>
      <c r="DA107" s="125" t="s">
        <v>370</v>
      </c>
      <c r="DB107" s="125">
        <v>0</v>
      </c>
      <c r="DC107" s="125">
        <v>0</v>
      </c>
      <c r="DD107" s="125">
        <v>0</v>
      </c>
      <c r="DE107">
        <f t="shared" si="19"/>
        <v>529517</v>
      </c>
      <c r="DG107" s="1">
        <f t="shared" si="33"/>
        <v>342604</v>
      </c>
      <c r="DH107" s="1">
        <f t="shared" si="20"/>
        <v>184581</v>
      </c>
      <c r="DI107" s="127">
        <f t="shared" si="21"/>
        <v>527185</v>
      </c>
      <c r="DK107" s="1">
        <f t="shared" si="22"/>
        <v>60074</v>
      </c>
      <c r="DL107" s="1">
        <f t="shared" si="23"/>
        <v>95333</v>
      </c>
      <c r="DM107" s="1">
        <f t="shared" si="24"/>
        <v>13883</v>
      </c>
      <c r="DN107" s="1">
        <f t="shared" si="25"/>
        <v>15303</v>
      </c>
      <c r="DO107" s="1">
        <f t="shared" si="26"/>
        <v>268909</v>
      </c>
      <c r="DP107" s="1">
        <f t="shared" si="27"/>
        <v>53440</v>
      </c>
      <c r="DQ107" s="1">
        <f t="shared" si="34"/>
        <v>0</v>
      </c>
      <c r="DR107" s="1">
        <f t="shared" si="28"/>
        <v>12457</v>
      </c>
      <c r="DS107" s="1">
        <f t="shared" si="29"/>
        <v>0</v>
      </c>
      <c r="DT107" s="1">
        <f t="shared" si="30"/>
        <v>8545</v>
      </c>
      <c r="DU107" s="1"/>
      <c r="DV107" s="1"/>
      <c r="DW107" s="1"/>
      <c r="DX107" s="1">
        <f t="shared" si="35"/>
        <v>527944</v>
      </c>
      <c r="DZ107" s="1">
        <f t="shared" si="36"/>
        <v>0</v>
      </c>
      <c r="EA107" s="1">
        <f t="shared" si="31"/>
        <v>0</v>
      </c>
      <c r="EC107" s="1">
        <f t="shared" si="37"/>
        <v>527944</v>
      </c>
      <c r="ED107" s="1">
        <f t="shared" si="32"/>
        <v>-1573</v>
      </c>
      <c r="EE107" s="1"/>
    </row>
    <row r="108" spans="1:135" x14ac:dyDescent="0.25">
      <c r="A108" s="124">
        <v>35490</v>
      </c>
      <c r="B108" s="125">
        <v>0</v>
      </c>
      <c r="C108" s="125">
        <v>0</v>
      </c>
      <c r="D108" s="125">
        <v>0</v>
      </c>
      <c r="E108" s="125" t="s">
        <v>370</v>
      </c>
      <c r="F108" s="125" t="s">
        <v>370</v>
      </c>
      <c r="G108" s="125">
        <v>0</v>
      </c>
      <c r="H108" s="125">
        <v>0</v>
      </c>
      <c r="I108" s="125">
        <v>0</v>
      </c>
      <c r="J108" s="125">
        <v>0</v>
      </c>
      <c r="K108" s="125"/>
      <c r="L108" s="125">
        <v>34058</v>
      </c>
      <c r="M108" s="125">
        <v>3205</v>
      </c>
      <c r="N108" s="125"/>
      <c r="O108" s="125">
        <v>4529</v>
      </c>
      <c r="P108" s="125">
        <v>5033</v>
      </c>
      <c r="Q108" s="125">
        <v>1683</v>
      </c>
      <c r="R108" s="125">
        <v>8075</v>
      </c>
      <c r="S108" s="125">
        <v>13883</v>
      </c>
      <c r="T108" s="125"/>
      <c r="U108" s="125"/>
      <c r="V108" s="125">
        <v>3491</v>
      </c>
      <c r="W108" s="125">
        <v>0</v>
      </c>
      <c r="X108" s="125">
        <v>775</v>
      </c>
      <c r="Y108" s="125">
        <v>34</v>
      </c>
      <c r="Z108" s="126"/>
      <c r="AA108" s="125">
        <v>24</v>
      </c>
      <c r="AB108" s="125">
        <v>0</v>
      </c>
      <c r="AC108" s="125">
        <v>16</v>
      </c>
      <c r="AD108" s="125">
        <v>32</v>
      </c>
      <c r="AE108" s="125">
        <v>26</v>
      </c>
      <c r="AF108" s="125">
        <v>58</v>
      </c>
      <c r="AG108" s="125"/>
      <c r="AH108" s="125"/>
      <c r="AI108" s="125">
        <v>21</v>
      </c>
      <c r="AJ108" s="125">
        <v>0</v>
      </c>
      <c r="AK108" s="125">
        <v>82653</v>
      </c>
      <c r="AL108" s="125">
        <v>3526</v>
      </c>
      <c r="AM108" s="125">
        <v>6660</v>
      </c>
      <c r="AN108" s="125">
        <v>47</v>
      </c>
      <c r="AO108" s="125">
        <v>6</v>
      </c>
      <c r="AP108" s="125">
        <v>0</v>
      </c>
      <c r="AQ108" s="125">
        <v>0</v>
      </c>
      <c r="AR108" s="125">
        <v>1780</v>
      </c>
      <c r="AS108" s="125" t="s">
        <v>370</v>
      </c>
      <c r="AT108" s="125">
        <v>1499</v>
      </c>
      <c r="AU108" s="125">
        <v>1498</v>
      </c>
      <c r="AV108" s="125">
        <v>2425</v>
      </c>
      <c r="AW108" s="125">
        <v>8579</v>
      </c>
      <c r="AX108" s="126"/>
      <c r="AY108" s="126"/>
      <c r="AZ108" s="126">
        <v>0</v>
      </c>
      <c r="BA108" s="126"/>
      <c r="BB108" s="125">
        <v>965</v>
      </c>
      <c r="BC108" s="125"/>
      <c r="BD108" s="125">
        <v>40672</v>
      </c>
      <c r="BE108" s="125">
        <v>95677</v>
      </c>
      <c r="BF108" s="125">
        <v>282</v>
      </c>
      <c r="BG108" s="125">
        <v>748</v>
      </c>
      <c r="BH108" s="125">
        <v>885</v>
      </c>
      <c r="BI108" s="125">
        <v>5203</v>
      </c>
      <c r="BJ108" s="125">
        <v>65</v>
      </c>
      <c r="BK108" s="125">
        <v>2838</v>
      </c>
      <c r="BL108" s="125"/>
      <c r="BM108" s="125">
        <v>663</v>
      </c>
      <c r="BN108" s="125">
        <v>58</v>
      </c>
      <c r="BO108" s="125">
        <v>0</v>
      </c>
      <c r="BP108" s="125">
        <v>10450</v>
      </c>
      <c r="BQ108" s="125">
        <v>15384</v>
      </c>
      <c r="BR108" s="125">
        <v>13</v>
      </c>
      <c r="BS108" s="125">
        <v>160</v>
      </c>
      <c r="BT108" s="125">
        <v>207</v>
      </c>
      <c r="BU108" s="125"/>
      <c r="BV108" s="125">
        <v>5</v>
      </c>
      <c r="BW108" s="125">
        <v>222</v>
      </c>
      <c r="BX108" s="125"/>
      <c r="BY108" s="125">
        <v>346</v>
      </c>
      <c r="BZ108" s="125">
        <v>2</v>
      </c>
      <c r="CA108" s="125">
        <v>0</v>
      </c>
      <c r="CB108" s="125">
        <v>12418</v>
      </c>
      <c r="CC108" s="125">
        <v>60644</v>
      </c>
      <c r="CD108" s="125">
        <v>80395</v>
      </c>
      <c r="CE108" s="125">
        <v>14915</v>
      </c>
      <c r="CF108" s="125">
        <v>0</v>
      </c>
      <c r="CG108" s="125">
        <v>0</v>
      </c>
      <c r="CH108" s="125">
        <v>39</v>
      </c>
      <c r="CI108" s="125">
        <v>98</v>
      </c>
      <c r="CJ108" s="125">
        <v>215</v>
      </c>
      <c r="CK108" s="125"/>
      <c r="CL108" s="125"/>
      <c r="CM108" s="125"/>
      <c r="CN108" s="125"/>
      <c r="CO108" s="125"/>
      <c r="CP108" s="125"/>
      <c r="CQ108" s="125"/>
      <c r="CR108" s="125"/>
      <c r="CS108" s="125"/>
      <c r="CT108" s="125"/>
      <c r="CU108" s="125"/>
      <c r="CV108" s="125"/>
      <c r="CW108" s="125"/>
      <c r="CX108" s="125"/>
      <c r="CY108" s="125" t="s">
        <v>370</v>
      </c>
      <c r="CZ108" s="125" t="s">
        <v>370</v>
      </c>
      <c r="DA108" s="125" t="s">
        <v>370</v>
      </c>
      <c r="DB108" s="125">
        <v>0</v>
      </c>
      <c r="DC108" s="125">
        <v>0</v>
      </c>
      <c r="DD108" s="125">
        <v>0</v>
      </c>
      <c r="DE108">
        <f t="shared" si="19"/>
        <v>527185</v>
      </c>
      <c r="DG108" s="1">
        <f t="shared" si="33"/>
        <v>340221</v>
      </c>
      <c r="DH108" s="1">
        <f t="shared" si="20"/>
        <v>184988</v>
      </c>
      <c r="DI108" s="127">
        <f t="shared" si="21"/>
        <v>525209</v>
      </c>
      <c r="DK108" s="1">
        <f t="shared" si="22"/>
        <v>60119</v>
      </c>
      <c r="DL108" s="1">
        <f t="shared" si="23"/>
        <v>95321</v>
      </c>
      <c r="DM108" s="1">
        <f t="shared" si="24"/>
        <v>13839</v>
      </c>
      <c r="DN108" s="1">
        <f t="shared" si="25"/>
        <v>15491</v>
      </c>
      <c r="DO108" s="1">
        <f t="shared" si="26"/>
        <v>267106</v>
      </c>
      <c r="DP108" s="1">
        <f t="shared" si="27"/>
        <v>52693</v>
      </c>
      <c r="DQ108" s="1">
        <f t="shared" si="34"/>
        <v>0</v>
      </c>
      <c r="DR108" s="1">
        <f t="shared" si="28"/>
        <v>12528</v>
      </c>
      <c r="DS108" s="1">
        <f t="shared" si="29"/>
        <v>0</v>
      </c>
      <c r="DT108" s="1">
        <f t="shared" si="30"/>
        <v>8594</v>
      </c>
      <c r="DU108" s="1"/>
      <c r="DV108" s="1"/>
      <c r="DW108" s="1"/>
      <c r="DX108" s="1">
        <f t="shared" si="35"/>
        <v>525691</v>
      </c>
      <c r="DZ108" s="1">
        <f t="shared" si="36"/>
        <v>0</v>
      </c>
      <c r="EA108" s="1">
        <f t="shared" si="31"/>
        <v>0</v>
      </c>
      <c r="EC108" s="1">
        <f t="shared" si="37"/>
        <v>525691</v>
      </c>
      <c r="ED108" s="1">
        <f t="shared" si="32"/>
        <v>-1494</v>
      </c>
      <c r="EE108" s="1"/>
    </row>
    <row r="109" spans="1:135" x14ac:dyDescent="0.25">
      <c r="A109" s="124">
        <v>35521</v>
      </c>
      <c r="B109" s="125">
        <v>0</v>
      </c>
      <c r="C109" s="125">
        <v>0</v>
      </c>
      <c r="D109" s="125">
        <v>0</v>
      </c>
      <c r="E109" s="125" t="s">
        <v>370</v>
      </c>
      <c r="F109" s="125" t="s">
        <v>370</v>
      </c>
      <c r="G109" s="125">
        <v>0</v>
      </c>
      <c r="H109" s="125">
        <v>0</v>
      </c>
      <c r="I109" s="125">
        <v>0</v>
      </c>
      <c r="J109" s="125">
        <v>0</v>
      </c>
      <c r="K109" s="125"/>
      <c r="L109" s="125">
        <v>34025</v>
      </c>
      <c r="M109" s="125">
        <v>3200</v>
      </c>
      <c r="N109" s="125"/>
      <c r="O109" s="125">
        <v>4451</v>
      </c>
      <c r="P109" s="125">
        <v>5154</v>
      </c>
      <c r="Q109" s="125">
        <v>1633</v>
      </c>
      <c r="R109" s="125">
        <v>8252</v>
      </c>
      <c r="S109" s="125">
        <v>13839</v>
      </c>
      <c r="T109" s="125"/>
      <c r="U109" s="125"/>
      <c r="V109" s="125">
        <v>3404</v>
      </c>
      <c r="W109" s="125">
        <v>0</v>
      </c>
      <c r="X109" s="125">
        <v>772</v>
      </c>
      <c r="Y109" s="125">
        <v>36</v>
      </c>
      <c r="Z109" s="126"/>
      <c r="AA109" s="125">
        <v>27</v>
      </c>
      <c r="AB109" s="125">
        <v>0</v>
      </c>
      <c r="AC109" s="125">
        <v>16</v>
      </c>
      <c r="AD109" s="125">
        <v>33</v>
      </c>
      <c r="AE109" s="125">
        <v>27</v>
      </c>
      <c r="AF109" s="125">
        <v>64</v>
      </c>
      <c r="AG109" s="125"/>
      <c r="AH109" s="125"/>
      <c r="AI109" s="125">
        <v>21</v>
      </c>
      <c r="AJ109" s="125">
        <v>0</v>
      </c>
      <c r="AK109" s="125">
        <v>82846</v>
      </c>
      <c r="AL109" s="125">
        <v>3557</v>
      </c>
      <c r="AM109" s="125">
        <v>6785</v>
      </c>
      <c r="AN109" s="125">
        <v>38</v>
      </c>
      <c r="AO109" s="125">
        <v>7</v>
      </c>
      <c r="AP109" s="125">
        <v>0</v>
      </c>
      <c r="AQ109" s="125">
        <v>0</v>
      </c>
      <c r="AR109" s="125">
        <v>1786</v>
      </c>
      <c r="AS109" s="125" t="s">
        <v>370</v>
      </c>
      <c r="AT109" s="125">
        <v>1527</v>
      </c>
      <c r="AU109" s="125">
        <v>1499</v>
      </c>
      <c r="AV109" s="125">
        <v>2408</v>
      </c>
      <c r="AW109" s="125">
        <v>8635</v>
      </c>
      <c r="AX109" s="126"/>
      <c r="AY109" s="126"/>
      <c r="AZ109" s="126">
        <v>0</v>
      </c>
      <c r="BA109" s="126"/>
      <c r="BB109" s="125">
        <v>946</v>
      </c>
      <c r="BC109" s="125"/>
      <c r="BD109" s="125">
        <v>39669</v>
      </c>
      <c r="BE109" s="125">
        <v>93722</v>
      </c>
      <c r="BF109" s="125">
        <v>282</v>
      </c>
      <c r="BG109" s="125">
        <v>840</v>
      </c>
      <c r="BH109" s="125">
        <v>997</v>
      </c>
      <c r="BI109" s="125">
        <v>5245</v>
      </c>
      <c r="BJ109" s="125">
        <v>70</v>
      </c>
      <c r="BK109" s="125">
        <v>2842</v>
      </c>
      <c r="BL109" s="125"/>
      <c r="BM109" s="125">
        <v>611</v>
      </c>
      <c r="BN109" s="125">
        <v>56</v>
      </c>
      <c r="BO109" s="125">
        <v>0</v>
      </c>
      <c r="BP109" s="125">
        <v>10664</v>
      </c>
      <c r="BQ109" s="125">
        <v>15387</v>
      </c>
      <c r="BR109" s="125">
        <v>16</v>
      </c>
      <c r="BS109" s="125">
        <v>209</v>
      </c>
      <c r="BT109" s="125">
        <v>231</v>
      </c>
      <c r="BU109" s="125"/>
      <c r="BV109" s="125">
        <v>6</v>
      </c>
      <c r="BW109" s="125">
        <v>225</v>
      </c>
      <c r="BX109" s="125"/>
      <c r="BY109" s="125">
        <v>340</v>
      </c>
      <c r="BZ109" s="125">
        <v>1</v>
      </c>
      <c r="CA109" s="125">
        <v>0</v>
      </c>
      <c r="CB109" s="125">
        <v>12483</v>
      </c>
      <c r="CC109" s="125">
        <v>60501</v>
      </c>
      <c r="CD109" s="125">
        <v>80475</v>
      </c>
      <c r="CE109" s="125">
        <v>14984</v>
      </c>
      <c r="CF109" s="125">
        <v>0</v>
      </c>
      <c r="CG109" s="125">
        <v>0</v>
      </c>
      <c r="CH109" s="125">
        <v>45</v>
      </c>
      <c r="CI109" s="125">
        <v>98</v>
      </c>
      <c r="CJ109" s="125">
        <v>222</v>
      </c>
      <c r="CK109" s="125"/>
      <c r="CL109" s="125"/>
      <c r="CM109" s="125"/>
      <c r="CN109" s="125"/>
      <c r="CO109" s="125"/>
      <c r="CP109" s="125"/>
      <c r="CQ109" s="125"/>
      <c r="CR109" s="125"/>
      <c r="CS109" s="125"/>
      <c r="CT109" s="125"/>
      <c r="CU109" s="125"/>
      <c r="CV109" s="125"/>
      <c r="CW109" s="125"/>
      <c r="CX109" s="125"/>
      <c r="CY109" s="125" t="s">
        <v>370</v>
      </c>
      <c r="CZ109" s="125" t="s">
        <v>370</v>
      </c>
      <c r="DA109" s="125" t="s">
        <v>370</v>
      </c>
      <c r="DB109" s="125">
        <v>0</v>
      </c>
      <c r="DC109" s="125">
        <v>0</v>
      </c>
      <c r="DD109" s="125">
        <v>0</v>
      </c>
      <c r="DE109">
        <f t="shared" si="19"/>
        <v>525209</v>
      </c>
      <c r="DG109" s="1">
        <f t="shared" si="33"/>
        <v>338462</v>
      </c>
      <c r="DH109" s="1">
        <f t="shared" si="20"/>
        <v>185438</v>
      </c>
      <c r="DI109" s="127">
        <f t="shared" si="21"/>
        <v>523900</v>
      </c>
      <c r="DK109" s="1">
        <f t="shared" si="22"/>
        <v>60050</v>
      </c>
      <c r="DL109" s="1">
        <f t="shared" si="23"/>
        <v>95539</v>
      </c>
      <c r="DM109" s="1">
        <f t="shared" si="24"/>
        <v>13845</v>
      </c>
      <c r="DN109" s="1">
        <f t="shared" si="25"/>
        <v>15605</v>
      </c>
      <c r="DO109" s="1">
        <f t="shared" si="26"/>
        <v>265844</v>
      </c>
      <c r="DP109" s="1">
        <f t="shared" si="27"/>
        <v>51993</v>
      </c>
      <c r="DQ109" s="1">
        <f t="shared" si="34"/>
        <v>0</v>
      </c>
      <c r="DR109" s="1">
        <f t="shared" si="28"/>
        <v>12642</v>
      </c>
      <c r="DS109" s="1">
        <f t="shared" si="29"/>
        <v>0</v>
      </c>
      <c r="DT109" s="1">
        <f t="shared" si="30"/>
        <v>8660</v>
      </c>
      <c r="DU109" s="1"/>
      <c r="DV109" s="1"/>
      <c r="DW109" s="1"/>
      <c r="DX109" s="1">
        <f t="shared" si="35"/>
        <v>524178</v>
      </c>
      <c r="DZ109" s="1">
        <f t="shared" si="36"/>
        <v>0</v>
      </c>
      <c r="EA109" s="1">
        <f t="shared" si="31"/>
        <v>0</v>
      </c>
      <c r="EC109" s="1">
        <f t="shared" si="37"/>
        <v>524178</v>
      </c>
      <c r="ED109" s="1">
        <f t="shared" si="32"/>
        <v>-1031</v>
      </c>
      <c r="EE109" s="1"/>
    </row>
    <row r="110" spans="1:135" x14ac:dyDescent="0.25">
      <c r="A110" s="124">
        <v>35551</v>
      </c>
      <c r="B110" s="125">
        <v>0</v>
      </c>
      <c r="C110" s="125">
        <v>0</v>
      </c>
      <c r="D110" s="125">
        <v>0</v>
      </c>
      <c r="E110" s="125" t="s">
        <v>370</v>
      </c>
      <c r="F110" s="125" t="s">
        <v>370</v>
      </c>
      <c r="G110" s="125">
        <v>0</v>
      </c>
      <c r="H110" s="125">
        <v>0</v>
      </c>
      <c r="I110" s="125">
        <v>0</v>
      </c>
      <c r="J110" s="125">
        <v>0</v>
      </c>
      <c r="K110" s="125"/>
      <c r="L110" s="125">
        <v>33997</v>
      </c>
      <c r="M110" s="125">
        <v>3207</v>
      </c>
      <c r="N110" s="125"/>
      <c r="O110" s="125">
        <v>4341</v>
      </c>
      <c r="P110" s="125">
        <v>5288</v>
      </c>
      <c r="Q110" s="125">
        <v>1591</v>
      </c>
      <c r="R110" s="125">
        <v>8334</v>
      </c>
      <c r="S110" s="125">
        <v>13845</v>
      </c>
      <c r="T110" s="125"/>
      <c r="U110" s="125"/>
      <c r="V110" s="125">
        <v>3292</v>
      </c>
      <c r="W110" s="125">
        <v>0</v>
      </c>
      <c r="X110" s="125">
        <v>768</v>
      </c>
      <c r="Y110" s="125">
        <v>35</v>
      </c>
      <c r="Z110" s="126"/>
      <c r="AA110" s="125">
        <v>26</v>
      </c>
      <c r="AB110" s="125">
        <v>0</v>
      </c>
      <c r="AC110" s="125">
        <v>16</v>
      </c>
      <c r="AD110" s="125">
        <v>30</v>
      </c>
      <c r="AE110" s="125">
        <v>28</v>
      </c>
      <c r="AF110" s="125">
        <v>61</v>
      </c>
      <c r="AG110" s="125"/>
      <c r="AH110" s="125"/>
      <c r="AI110" s="125">
        <v>18</v>
      </c>
      <c r="AJ110" s="125">
        <v>0</v>
      </c>
      <c r="AK110" s="125">
        <v>83109</v>
      </c>
      <c r="AL110" s="125">
        <v>3555</v>
      </c>
      <c r="AM110" s="125">
        <v>6854</v>
      </c>
      <c r="AN110" s="125">
        <v>45</v>
      </c>
      <c r="AO110" s="125">
        <v>9</v>
      </c>
      <c r="AP110" s="125">
        <v>0</v>
      </c>
      <c r="AQ110" s="125">
        <v>0</v>
      </c>
      <c r="AR110" s="125">
        <v>1838</v>
      </c>
      <c r="AS110" s="125" t="s">
        <v>370</v>
      </c>
      <c r="AT110" s="125">
        <v>1566</v>
      </c>
      <c r="AU110" s="125">
        <v>1512</v>
      </c>
      <c r="AV110" s="125">
        <v>2425</v>
      </c>
      <c r="AW110" s="125">
        <v>8681</v>
      </c>
      <c r="AX110" s="126"/>
      <c r="AY110" s="126"/>
      <c r="AZ110" s="126">
        <v>0</v>
      </c>
      <c r="BA110" s="126"/>
      <c r="BB110" s="125">
        <v>967</v>
      </c>
      <c r="BC110" s="125"/>
      <c r="BD110" s="125">
        <v>38651</v>
      </c>
      <c r="BE110" s="125">
        <v>91670</v>
      </c>
      <c r="BF110" s="125">
        <v>286</v>
      </c>
      <c r="BG110" s="125">
        <v>903</v>
      </c>
      <c r="BH110" s="125">
        <v>1078</v>
      </c>
      <c r="BI110" s="125">
        <v>5304</v>
      </c>
      <c r="BJ110" s="125">
        <v>77</v>
      </c>
      <c r="BK110" s="125">
        <v>2851</v>
      </c>
      <c r="BL110" s="125"/>
      <c r="BM110" s="125">
        <v>542</v>
      </c>
      <c r="BN110" s="125">
        <v>55</v>
      </c>
      <c r="BO110" s="125">
        <v>0</v>
      </c>
      <c r="BP110" s="125">
        <v>10974</v>
      </c>
      <c r="BQ110" s="125">
        <v>15623</v>
      </c>
      <c r="BR110" s="125">
        <v>15</v>
      </c>
      <c r="BS110" s="125">
        <v>246</v>
      </c>
      <c r="BT110" s="125">
        <v>240</v>
      </c>
      <c r="BU110" s="125"/>
      <c r="BV110" s="125">
        <v>6</v>
      </c>
      <c r="BW110" s="125">
        <v>219</v>
      </c>
      <c r="BX110" s="125"/>
      <c r="BY110" s="125">
        <v>321</v>
      </c>
      <c r="BZ110" s="125">
        <v>1</v>
      </c>
      <c r="CA110" s="125">
        <v>0</v>
      </c>
      <c r="CB110" s="125">
        <v>12589</v>
      </c>
      <c r="CC110" s="125">
        <v>60228</v>
      </c>
      <c r="CD110" s="125">
        <v>81015</v>
      </c>
      <c r="CE110" s="125">
        <v>15187</v>
      </c>
      <c r="CF110" s="125">
        <v>0</v>
      </c>
      <c r="CG110" s="125">
        <v>0</v>
      </c>
      <c r="CH110" s="125">
        <v>53</v>
      </c>
      <c r="CI110" s="125">
        <v>94</v>
      </c>
      <c r="CJ110" s="125">
        <v>234</v>
      </c>
      <c r="CK110" s="125"/>
      <c r="CL110" s="125"/>
      <c r="CM110" s="125"/>
      <c r="CN110" s="125"/>
      <c r="CO110" s="125"/>
      <c r="CP110" s="125"/>
      <c r="CQ110" s="125"/>
      <c r="CR110" s="125"/>
      <c r="CS110" s="125"/>
      <c r="CT110" s="125"/>
      <c r="CU110" s="125"/>
      <c r="CV110" s="125"/>
      <c r="CW110" s="125"/>
      <c r="CX110" s="125"/>
      <c r="CY110" s="125" t="s">
        <v>370</v>
      </c>
      <c r="CZ110" s="125" t="s">
        <v>370</v>
      </c>
      <c r="DA110" s="125" t="s">
        <v>370</v>
      </c>
      <c r="DB110" s="125">
        <v>0</v>
      </c>
      <c r="DC110" s="125">
        <v>0</v>
      </c>
      <c r="DD110" s="125">
        <v>0</v>
      </c>
      <c r="DE110">
        <f t="shared" si="19"/>
        <v>523900</v>
      </c>
      <c r="DG110" s="1">
        <f t="shared" si="33"/>
        <v>336630</v>
      </c>
      <c r="DH110" s="1">
        <f t="shared" si="20"/>
        <v>185450</v>
      </c>
      <c r="DI110" s="127">
        <f t="shared" si="21"/>
        <v>522080</v>
      </c>
      <c r="DK110" s="1">
        <f t="shared" si="22"/>
        <v>60042</v>
      </c>
      <c r="DL110" s="1">
        <f t="shared" si="23"/>
        <v>95938</v>
      </c>
      <c r="DM110" s="1">
        <f t="shared" si="24"/>
        <v>13787</v>
      </c>
      <c r="DN110" s="1">
        <f t="shared" si="25"/>
        <v>15601</v>
      </c>
      <c r="DO110" s="1">
        <f t="shared" si="26"/>
        <v>264412</v>
      </c>
      <c r="DP110" s="1">
        <f t="shared" si="27"/>
        <v>51316</v>
      </c>
      <c r="DQ110" s="1">
        <f t="shared" si="34"/>
        <v>0</v>
      </c>
      <c r="DR110" s="1">
        <f t="shared" si="28"/>
        <v>12616</v>
      </c>
      <c r="DS110" s="1">
        <f t="shared" si="29"/>
        <v>0</v>
      </c>
      <c r="DT110" s="1">
        <f t="shared" si="30"/>
        <v>8708</v>
      </c>
      <c r="DU110" s="1"/>
      <c r="DV110" s="1"/>
      <c r="DW110" s="1"/>
      <c r="DX110" s="1">
        <f t="shared" si="35"/>
        <v>522420</v>
      </c>
      <c r="DZ110" s="1">
        <f t="shared" si="36"/>
        <v>0</v>
      </c>
      <c r="EA110" s="1">
        <f t="shared" si="31"/>
        <v>0</v>
      </c>
      <c r="EC110" s="1">
        <f t="shared" si="37"/>
        <v>522420</v>
      </c>
      <c r="ED110" s="1">
        <f t="shared" si="32"/>
        <v>-1480</v>
      </c>
      <c r="EE110" s="1"/>
    </row>
    <row r="111" spans="1:135" x14ac:dyDescent="0.25">
      <c r="A111" s="124">
        <v>35582</v>
      </c>
      <c r="B111" s="125">
        <v>0</v>
      </c>
      <c r="C111" s="125">
        <v>0</v>
      </c>
      <c r="D111" s="125">
        <v>0</v>
      </c>
      <c r="E111" s="125" t="s">
        <v>370</v>
      </c>
      <c r="F111" s="125" t="s">
        <v>370</v>
      </c>
      <c r="G111" s="125">
        <v>0</v>
      </c>
      <c r="H111" s="125">
        <v>0</v>
      </c>
      <c r="I111" s="125">
        <v>0</v>
      </c>
      <c r="J111" s="125">
        <v>0</v>
      </c>
      <c r="K111" s="125"/>
      <c r="L111" s="125">
        <v>33943</v>
      </c>
      <c r="M111" s="125">
        <v>3218</v>
      </c>
      <c r="N111" s="125"/>
      <c r="O111" s="125">
        <v>4285</v>
      </c>
      <c r="P111" s="125">
        <v>5389</v>
      </c>
      <c r="Q111" s="125">
        <v>1560</v>
      </c>
      <c r="R111" s="125">
        <v>8461</v>
      </c>
      <c r="S111" s="125">
        <v>13787</v>
      </c>
      <c r="T111" s="125"/>
      <c r="U111" s="125"/>
      <c r="V111" s="125">
        <v>3186</v>
      </c>
      <c r="W111" s="125">
        <v>0</v>
      </c>
      <c r="X111" s="125">
        <v>765</v>
      </c>
      <c r="Y111" s="125">
        <v>33</v>
      </c>
      <c r="Z111" s="126"/>
      <c r="AA111" s="125">
        <v>26</v>
      </c>
      <c r="AB111" s="125">
        <v>0</v>
      </c>
      <c r="AC111" s="125">
        <v>15</v>
      </c>
      <c r="AD111" s="125">
        <v>33</v>
      </c>
      <c r="AE111" s="125">
        <v>28</v>
      </c>
      <c r="AF111" s="125">
        <v>58</v>
      </c>
      <c r="AG111" s="125"/>
      <c r="AH111" s="125"/>
      <c r="AI111" s="125">
        <v>20</v>
      </c>
      <c r="AJ111" s="125">
        <v>0</v>
      </c>
      <c r="AK111" s="125">
        <v>83100</v>
      </c>
      <c r="AL111" s="125">
        <v>3571</v>
      </c>
      <c r="AM111" s="125">
        <v>6841</v>
      </c>
      <c r="AN111" s="125">
        <v>50</v>
      </c>
      <c r="AO111" s="125">
        <v>10</v>
      </c>
      <c r="AP111" s="125">
        <v>0</v>
      </c>
      <c r="AQ111" s="125">
        <v>0</v>
      </c>
      <c r="AR111" s="125">
        <v>1856</v>
      </c>
      <c r="AS111" s="125" t="s">
        <v>370</v>
      </c>
      <c r="AT111" s="125">
        <v>1586</v>
      </c>
      <c r="AU111" s="125">
        <v>1501</v>
      </c>
      <c r="AV111" s="125">
        <v>2462</v>
      </c>
      <c r="AW111" s="125">
        <v>8692</v>
      </c>
      <c r="AX111" s="126"/>
      <c r="AY111" s="126"/>
      <c r="AZ111" s="126">
        <v>0</v>
      </c>
      <c r="BA111" s="126"/>
      <c r="BB111" s="125">
        <v>974</v>
      </c>
      <c r="BC111" s="125"/>
      <c r="BD111" s="125">
        <v>37807</v>
      </c>
      <c r="BE111" s="125">
        <v>89953</v>
      </c>
      <c r="BF111" s="125">
        <v>293</v>
      </c>
      <c r="BG111" s="125">
        <v>896</v>
      </c>
      <c r="BH111" s="125">
        <v>1091</v>
      </c>
      <c r="BI111" s="125">
        <v>5346</v>
      </c>
      <c r="BJ111" s="125">
        <v>72</v>
      </c>
      <c r="BK111" s="125">
        <v>2853</v>
      </c>
      <c r="BL111" s="125"/>
      <c r="BM111" s="125">
        <v>572</v>
      </c>
      <c r="BN111" s="125">
        <v>55</v>
      </c>
      <c r="BO111" s="125">
        <v>0</v>
      </c>
      <c r="BP111" s="125">
        <v>11323</v>
      </c>
      <c r="BQ111" s="125">
        <v>15912</v>
      </c>
      <c r="BR111" s="125">
        <v>14</v>
      </c>
      <c r="BS111" s="125">
        <v>296</v>
      </c>
      <c r="BT111" s="125">
        <v>301</v>
      </c>
      <c r="BU111" s="125"/>
      <c r="BV111" s="125">
        <v>8</v>
      </c>
      <c r="BW111" s="125">
        <v>216</v>
      </c>
      <c r="BX111" s="125"/>
      <c r="BY111" s="125">
        <v>306</v>
      </c>
      <c r="BZ111" s="125">
        <v>0</v>
      </c>
      <c r="CA111" s="125">
        <v>0</v>
      </c>
      <c r="CB111" s="125">
        <v>12562</v>
      </c>
      <c r="CC111" s="125">
        <v>59902</v>
      </c>
      <c r="CD111" s="125">
        <v>81254</v>
      </c>
      <c r="CE111" s="125">
        <v>15222</v>
      </c>
      <c r="CF111" s="125">
        <v>0</v>
      </c>
      <c r="CG111" s="125">
        <v>0</v>
      </c>
      <c r="CH111" s="125">
        <v>54</v>
      </c>
      <c r="CI111" s="125">
        <v>91</v>
      </c>
      <c r="CJ111" s="125">
        <v>231</v>
      </c>
      <c r="CK111" s="125"/>
      <c r="CL111" s="125"/>
      <c r="CM111" s="125"/>
      <c r="CN111" s="125"/>
      <c r="CO111" s="125"/>
      <c r="CP111" s="125"/>
      <c r="CQ111" s="125"/>
      <c r="CR111" s="125"/>
      <c r="CS111" s="125"/>
      <c r="CT111" s="125"/>
      <c r="CU111" s="125"/>
      <c r="CV111" s="125"/>
      <c r="CW111" s="125"/>
      <c r="CX111" s="125"/>
      <c r="CY111" s="125" t="s">
        <v>370</v>
      </c>
      <c r="CZ111" s="125" t="s">
        <v>370</v>
      </c>
      <c r="DA111" s="125" t="s">
        <v>370</v>
      </c>
      <c r="DB111" s="125">
        <v>0</v>
      </c>
      <c r="DC111" s="125">
        <v>0</v>
      </c>
      <c r="DD111" s="125">
        <v>0</v>
      </c>
      <c r="DE111">
        <f t="shared" si="19"/>
        <v>522080</v>
      </c>
      <c r="DG111" s="1">
        <f t="shared" si="33"/>
        <v>332339</v>
      </c>
      <c r="DH111" s="1">
        <f t="shared" si="20"/>
        <v>184933</v>
      </c>
      <c r="DI111" s="127">
        <f t="shared" si="21"/>
        <v>517272</v>
      </c>
      <c r="DK111" s="1">
        <f t="shared" si="22"/>
        <v>59747</v>
      </c>
      <c r="DL111" s="1">
        <f t="shared" si="23"/>
        <v>96020</v>
      </c>
      <c r="DM111" s="1">
        <f t="shared" si="24"/>
        <v>13774</v>
      </c>
      <c r="DN111" s="1">
        <f t="shared" si="25"/>
        <v>15669</v>
      </c>
      <c r="DO111" s="1">
        <f t="shared" si="26"/>
        <v>261338</v>
      </c>
      <c r="DP111" s="1">
        <f t="shared" si="27"/>
        <v>50894</v>
      </c>
      <c r="DQ111" s="1">
        <f t="shared" si="34"/>
        <v>0</v>
      </c>
      <c r="DR111" s="1">
        <f t="shared" si="28"/>
        <v>12459</v>
      </c>
      <c r="DS111" s="1">
        <f t="shared" si="29"/>
        <v>0</v>
      </c>
      <c r="DT111" s="1">
        <f t="shared" si="30"/>
        <v>8674</v>
      </c>
      <c r="DU111" s="1"/>
      <c r="DV111" s="1"/>
      <c r="DW111" s="1"/>
      <c r="DX111" s="1">
        <f t="shared" si="35"/>
        <v>518575</v>
      </c>
      <c r="DZ111" s="1">
        <f t="shared" si="36"/>
        <v>0</v>
      </c>
      <c r="EA111" s="1">
        <f t="shared" si="31"/>
        <v>0</v>
      </c>
      <c r="EC111" s="1">
        <f t="shared" si="37"/>
        <v>518575</v>
      </c>
      <c r="ED111" s="1">
        <f t="shared" si="32"/>
        <v>-3505</v>
      </c>
      <c r="EE111" s="1"/>
    </row>
    <row r="112" spans="1:135" x14ac:dyDescent="0.25">
      <c r="A112" s="124">
        <v>35612</v>
      </c>
      <c r="B112" s="125">
        <v>0</v>
      </c>
      <c r="C112" s="125">
        <v>0</v>
      </c>
      <c r="D112" s="125">
        <v>0</v>
      </c>
      <c r="E112" s="125" t="s">
        <v>370</v>
      </c>
      <c r="F112" s="125" t="s">
        <v>370</v>
      </c>
      <c r="G112" s="125">
        <v>0</v>
      </c>
      <c r="H112" s="125">
        <v>0</v>
      </c>
      <c r="I112" s="125">
        <v>0</v>
      </c>
      <c r="J112" s="125">
        <v>0</v>
      </c>
      <c r="K112" s="125"/>
      <c r="L112" s="125">
        <v>33786</v>
      </c>
      <c r="M112" s="125">
        <v>3196</v>
      </c>
      <c r="N112" s="125"/>
      <c r="O112" s="125">
        <v>4121</v>
      </c>
      <c r="P112" s="125">
        <v>5469</v>
      </c>
      <c r="Q112" s="125">
        <v>1501</v>
      </c>
      <c r="R112" s="125">
        <v>8609</v>
      </c>
      <c r="S112" s="125">
        <v>13774</v>
      </c>
      <c r="T112" s="125"/>
      <c r="U112" s="125"/>
      <c r="V112" s="125">
        <v>3065</v>
      </c>
      <c r="W112" s="125">
        <v>0</v>
      </c>
      <c r="X112" s="125">
        <v>757</v>
      </c>
      <c r="Y112" s="125">
        <v>32</v>
      </c>
      <c r="Z112" s="126"/>
      <c r="AA112" s="125">
        <v>24</v>
      </c>
      <c r="AB112" s="125">
        <v>0</v>
      </c>
      <c r="AC112" s="125">
        <v>13</v>
      </c>
      <c r="AD112" s="125">
        <v>31</v>
      </c>
      <c r="AE112" s="125">
        <v>29</v>
      </c>
      <c r="AF112" s="125">
        <v>58</v>
      </c>
      <c r="AG112" s="125"/>
      <c r="AH112" s="125"/>
      <c r="AI112" s="125">
        <v>20</v>
      </c>
      <c r="AJ112" s="125">
        <v>0</v>
      </c>
      <c r="AK112" s="125">
        <v>82956</v>
      </c>
      <c r="AL112" s="125">
        <v>3556</v>
      </c>
      <c r="AM112" s="125">
        <v>6876</v>
      </c>
      <c r="AN112" s="125">
        <v>42</v>
      </c>
      <c r="AO112" s="125">
        <v>8</v>
      </c>
      <c r="AP112" s="125">
        <v>0</v>
      </c>
      <c r="AQ112" s="125">
        <v>0</v>
      </c>
      <c r="AR112" s="125">
        <v>1800</v>
      </c>
      <c r="AS112" s="125" t="s">
        <v>370</v>
      </c>
      <c r="AT112" s="125">
        <v>1596</v>
      </c>
      <c r="AU112" s="125">
        <v>1475</v>
      </c>
      <c r="AV112" s="125">
        <v>2468</v>
      </c>
      <c r="AW112" s="125">
        <v>8727</v>
      </c>
      <c r="AX112" s="126"/>
      <c r="AY112" s="126"/>
      <c r="AZ112" s="126">
        <v>0</v>
      </c>
      <c r="BA112" s="126"/>
      <c r="BB112" s="125">
        <v>944</v>
      </c>
      <c r="BC112" s="125"/>
      <c r="BD112" s="125">
        <v>36882</v>
      </c>
      <c r="BE112" s="125">
        <v>87822</v>
      </c>
      <c r="BF112" s="125">
        <v>290</v>
      </c>
      <c r="BG112" s="125">
        <v>893</v>
      </c>
      <c r="BH112" s="125">
        <v>1094</v>
      </c>
      <c r="BI112" s="125">
        <v>5326</v>
      </c>
      <c r="BJ112" s="125">
        <v>70</v>
      </c>
      <c r="BK112" s="125">
        <v>2835</v>
      </c>
      <c r="BL112" s="125"/>
      <c r="BM112" s="125">
        <v>426</v>
      </c>
      <c r="BN112" s="125">
        <v>53</v>
      </c>
      <c r="BO112" s="125">
        <v>0</v>
      </c>
      <c r="BP112" s="125">
        <v>11348</v>
      </c>
      <c r="BQ112" s="125">
        <v>15835</v>
      </c>
      <c r="BR112" s="125">
        <v>14</v>
      </c>
      <c r="BS112" s="125">
        <v>319</v>
      </c>
      <c r="BT112" s="125">
        <v>336</v>
      </c>
      <c r="BU112" s="125"/>
      <c r="BV112" s="125">
        <v>7</v>
      </c>
      <c r="BW112" s="125">
        <v>223</v>
      </c>
      <c r="BX112" s="125"/>
      <c r="BY112" s="125">
        <v>284</v>
      </c>
      <c r="BZ112" s="125">
        <v>3</v>
      </c>
      <c r="CA112" s="125">
        <v>0</v>
      </c>
      <c r="CB112" s="125">
        <v>12406</v>
      </c>
      <c r="CC112" s="125">
        <v>59288</v>
      </c>
      <c r="CD112" s="125">
        <v>80971</v>
      </c>
      <c r="CE112" s="125">
        <v>15228</v>
      </c>
      <c r="CF112" s="125">
        <v>0</v>
      </c>
      <c r="CG112" s="125">
        <v>0</v>
      </c>
      <c r="CH112" s="125">
        <v>53</v>
      </c>
      <c r="CI112" s="125">
        <v>94</v>
      </c>
      <c r="CJ112" s="125">
        <v>239</v>
      </c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 t="s">
        <v>370</v>
      </c>
      <c r="CZ112" s="125" t="s">
        <v>370</v>
      </c>
      <c r="DA112" s="125" t="s">
        <v>370</v>
      </c>
      <c r="DB112" s="125">
        <v>0</v>
      </c>
      <c r="DC112" s="125">
        <v>0</v>
      </c>
      <c r="DD112" s="125">
        <v>0</v>
      </c>
      <c r="DE112">
        <f t="shared" si="19"/>
        <v>517272</v>
      </c>
      <c r="DG112" s="1">
        <f t="shared" si="33"/>
        <v>330218</v>
      </c>
      <c r="DH112" s="1">
        <f t="shared" si="20"/>
        <v>184965</v>
      </c>
      <c r="DI112" s="127">
        <f t="shared" si="21"/>
        <v>515183</v>
      </c>
      <c r="DK112" s="1">
        <f t="shared" si="22"/>
        <v>59726</v>
      </c>
      <c r="DL112" s="1">
        <f t="shared" si="23"/>
        <v>95743</v>
      </c>
      <c r="DM112" s="1">
        <f t="shared" si="24"/>
        <v>13806</v>
      </c>
      <c r="DN112" s="1">
        <f t="shared" si="25"/>
        <v>15812</v>
      </c>
      <c r="DO112" s="1">
        <f t="shared" si="26"/>
        <v>259371</v>
      </c>
      <c r="DP112" s="1">
        <f t="shared" si="27"/>
        <v>49868</v>
      </c>
      <c r="DQ112" s="1">
        <f t="shared" si="34"/>
        <v>0</v>
      </c>
      <c r="DR112" s="1">
        <f t="shared" si="28"/>
        <v>12651</v>
      </c>
      <c r="DS112" s="1">
        <f t="shared" si="29"/>
        <v>0</v>
      </c>
      <c r="DT112" s="1">
        <f t="shared" si="30"/>
        <v>8751</v>
      </c>
      <c r="DU112" s="1"/>
      <c r="DV112" s="1"/>
      <c r="DW112" s="1"/>
      <c r="DX112" s="1">
        <f t="shared" si="35"/>
        <v>515728</v>
      </c>
      <c r="DZ112" s="1">
        <f t="shared" si="36"/>
        <v>0</v>
      </c>
      <c r="EA112" s="1">
        <f t="shared" si="31"/>
        <v>0</v>
      </c>
      <c r="EC112" s="1">
        <f t="shared" si="37"/>
        <v>515728</v>
      </c>
      <c r="ED112" s="1">
        <f t="shared" si="32"/>
        <v>-1544</v>
      </c>
      <c r="EE112" s="1"/>
    </row>
    <row r="113" spans="1:135" x14ac:dyDescent="0.25">
      <c r="A113" s="124">
        <v>35643</v>
      </c>
      <c r="B113" s="125">
        <v>0</v>
      </c>
      <c r="C113" s="125">
        <v>0</v>
      </c>
      <c r="D113" s="125">
        <v>0</v>
      </c>
      <c r="E113" s="125" t="s">
        <v>370</v>
      </c>
      <c r="F113" s="125" t="s">
        <v>370</v>
      </c>
      <c r="G113" s="125">
        <v>0</v>
      </c>
      <c r="H113" s="125">
        <v>0</v>
      </c>
      <c r="I113" s="125">
        <v>0</v>
      </c>
      <c r="J113" s="125">
        <v>0</v>
      </c>
      <c r="K113" s="125"/>
      <c r="L113" s="125">
        <v>33658</v>
      </c>
      <c r="M113" s="125">
        <v>3201</v>
      </c>
      <c r="N113" s="125"/>
      <c r="O113" s="125">
        <v>4095</v>
      </c>
      <c r="P113" s="125">
        <v>5581</v>
      </c>
      <c r="Q113" s="125">
        <v>1472</v>
      </c>
      <c r="R113" s="125">
        <v>8711</v>
      </c>
      <c r="S113" s="125">
        <v>13806</v>
      </c>
      <c r="T113" s="125"/>
      <c r="U113" s="125"/>
      <c r="V113" s="125">
        <v>3008</v>
      </c>
      <c r="W113" s="125">
        <v>0</v>
      </c>
      <c r="X113" s="125">
        <v>754</v>
      </c>
      <c r="Y113" s="125">
        <v>31</v>
      </c>
      <c r="Z113" s="126"/>
      <c r="AA113" s="125">
        <v>25</v>
      </c>
      <c r="AB113" s="125">
        <v>0</v>
      </c>
      <c r="AC113" s="125">
        <v>13</v>
      </c>
      <c r="AD113" s="125">
        <v>31</v>
      </c>
      <c r="AE113" s="125">
        <v>32</v>
      </c>
      <c r="AF113" s="125">
        <v>60</v>
      </c>
      <c r="AG113" s="125"/>
      <c r="AH113" s="125"/>
      <c r="AI113" s="125">
        <v>17</v>
      </c>
      <c r="AJ113" s="125">
        <v>0</v>
      </c>
      <c r="AK113" s="125">
        <v>82873</v>
      </c>
      <c r="AL113" s="125">
        <v>3515</v>
      </c>
      <c r="AM113" s="125">
        <v>6955</v>
      </c>
      <c r="AN113" s="125">
        <v>38</v>
      </c>
      <c r="AO113" s="125">
        <v>6</v>
      </c>
      <c r="AP113" s="125">
        <v>0</v>
      </c>
      <c r="AQ113" s="125">
        <v>0</v>
      </c>
      <c r="AR113" s="125">
        <v>1800</v>
      </c>
      <c r="AS113" s="125" t="s">
        <v>370</v>
      </c>
      <c r="AT113" s="125">
        <v>1613</v>
      </c>
      <c r="AU113" s="125">
        <v>1472</v>
      </c>
      <c r="AV113" s="125">
        <v>2497</v>
      </c>
      <c r="AW113" s="125">
        <v>8791</v>
      </c>
      <c r="AX113" s="126"/>
      <c r="AY113" s="126"/>
      <c r="AZ113" s="126">
        <v>0</v>
      </c>
      <c r="BA113" s="126"/>
      <c r="BB113" s="125">
        <v>910</v>
      </c>
      <c r="BC113" s="125"/>
      <c r="BD113" s="125">
        <v>36216</v>
      </c>
      <c r="BE113" s="125">
        <v>86316</v>
      </c>
      <c r="BF113" s="125">
        <v>296</v>
      </c>
      <c r="BG113" s="125">
        <v>915</v>
      </c>
      <c r="BH113" s="125">
        <v>1097</v>
      </c>
      <c r="BI113" s="125">
        <v>5353</v>
      </c>
      <c r="BJ113" s="125">
        <v>68</v>
      </c>
      <c r="BK113" s="125">
        <v>2879</v>
      </c>
      <c r="BL113" s="125"/>
      <c r="BM113" s="125">
        <v>422</v>
      </c>
      <c r="BN113" s="125">
        <v>53</v>
      </c>
      <c r="BO113" s="125">
        <v>0</v>
      </c>
      <c r="BP113" s="125">
        <v>11551</v>
      </c>
      <c r="BQ113" s="125">
        <v>15899</v>
      </c>
      <c r="BR113" s="125">
        <v>14</v>
      </c>
      <c r="BS113" s="125">
        <v>341</v>
      </c>
      <c r="BT113" s="125">
        <v>376</v>
      </c>
      <c r="BU113" s="125"/>
      <c r="BV113" s="125">
        <v>10</v>
      </c>
      <c r="BW113" s="125">
        <v>223</v>
      </c>
      <c r="BX113" s="125"/>
      <c r="BY113" s="125">
        <v>277</v>
      </c>
      <c r="BZ113" s="125">
        <v>3</v>
      </c>
      <c r="CA113" s="125">
        <v>0</v>
      </c>
      <c r="CB113" s="125">
        <v>12602</v>
      </c>
      <c r="CC113" s="125">
        <v>58756</v>
      </c>
      <c r="CD113" s="125">
        <v>80887</v>
      </c>
      <c r="CE113" s="125">
        <v>15283</v>
      </c>
      <c r="CF113" s="125">
        <v>0</v>
      </c>
      <c r="CG113" s="125">
        <v>0</v>
      </c>
      <c r="CH113" s="125">
        <v>49</v>
      </c>
      <c r="CI113" s="125">
        <v>95</v>
      </c>
      <c r="CJ113" s="125">
        <v>237</v>
      </c>
      <c r="CK113" s="125"/>
      <c r="CL113" s="125"/>
      <c r="CM113" s="125"/>
      <c r="CN113" s="125"/>
      <c r="CO113" s="125"/>
      <c r="CP113" s="125"/>
      <c r="CQ113" s="125"/>
      <c r="CR113" s="125"/>
      <c r="CS113" s="125"/>
      <c r="CT113" s="125"/>
      <c r="CU113" s="125"/>
      <c r="CV113" s="125"/>
      <c r="CW113" s="125"/>
      <c r="CX113" s="125"/>
      <c r="CY113" s="125" t="s">
        <v>370</v>
      </c>
      <c r="CZ113" s="125" t="s">
        <v>370</v>
      </c>
      <c r="DA113" s="125" t="s">
        <v>370</v>
      </c>
      <c r="DB113" s="125">
        <v>0</v>
      </c>
      <c r="DC113" s="125">
        <v>0</v>
      </c>
      <c r="DD113" s="125">
        <v>0</v>
      </c>
      <c r="DE113">
        <f t="shared" si="19"/>
        <v>515183</v>
      </c>
      <c r="DG113" s="1">
        <f t="shared" si="33"/>
        <v>325528</v>
      </c>
      <c r="DH113" s="1">
        <f t="shared" si="20"/>
        <v>184056</v>
      </c>
      <c r="DI113" s="127">
        <f t="shared" si="21"/>
        <v>509584</v>
      </c>
      <c r="DK113" s="1">
        <f t="shared" si="22"/>
        <v>59558</v>
      </c>
      <c r="DL113" s="1">
        <f t="shared" si="23"/>
        <v>95621</v>
      </c>
      <c r="DM113" s="1">
        <f t="shared" si="24"/>
        <v>13781</v>
      </c>
      <c r="DN113" s="1">
        <f t="shared" si="25"/>
        <v>15862</v>
      </c>
      <c r="DO113" s="1">
        <f t="shared" si="26"/>
        <v>255843</v>
      </c>
      <c r="DP113" s="1">
        <f t="shared" si="27"/>
        <v>49445</v>
      </c>
      <c r="DQ113" s="1">
        <f t="shared" si="34"/>
        <v>0</v>
      </c>
      <c r="DR113" s="1">
        <f t="shared" si="28"/>
        <v>12514</v>
      </c>
      <c r="DS113" s="1">
        <f t="shared" si="29"/>
        <v>0</v>
      </c>
      <c r="DT113" s="1">
        <f t="shared" si="30"/>
        <v>8664</v>
      </c>
      <c r="DU113" s="1"/>
      <c r="DV113" s="1"/>
      <c r="DW113" s="1"/>
      <c r="DX113" s="1">
        <f t="shared" si="35"/>
        <v>511288</v>
      </c>
      <c r="DZ113" s="1">
        <f t="shared" si="36"/>
        <v>0</v>
      </c>
      <c r="EA113" s="1">
        <f t="shared" si="31"/>
        <v>0</v>
      </c>
      <c r="EC113" s="1">
        <f t="shared" si="37"/>
        <v>511288</v>
      </c>
      <c r="ED113" s="1">
        <f t="shared" si="32"/>
        <v>-3895</v>
      </c>
      <c r="EE113" s="1"/>
    </row>
    <row r="114" spans="1:135" x14ac:dyDescent="0.25">
      <c r="A114" s="124">
        <v>35674</v>
      </c>
      <c r="B114" s="125">
        <v>0</v>
      </c>
      <c r="C114" s="125">
        <v>0</v>
      </c>
      <c r="D114" s="125">
        <v>0</v>
      </c>
      <c r="E114" s="125" t="s">
        <v>370</v>
      </c>
      <c r="F114" s="125" t="s">
        <v>370</v>
      </c>
      <c r="G114" s="125">
        <v>0</v>
      </c>
      <c r="H114" s="125">
        <v>0</v>
      </c>
      <c r="I114" s="125">
        <v>0</v>
      </c>
      <c r="J114" s="125">
        <v>0</v>
      </c>
      <c r="K114" s="125"/>
      <c r="L114" s="125">
        <v>33508</v>
      </c>
      <c r="M114" s="125">
        <v>3224</v>
      </c>
      <c r="N114" s="125"/>
      <c r="O114" s="125">
        <v>4046</v>
      </c>
      <c r="P114" s="125">
        <v>5607</v>
      </c>
      <c r="Q114" s="125">
        <v>1428</v>
      </c>
      <c r="R114" s="125">
        <v>8811</v>
      </c>
      <c r="S114" s="125">
        <v>13781</v>
      </c>
      <c r="T114" s="125"/>
      <c r="U114" s="125"/>
      <c r="V114" s="125">
        <v>2934</v>
      </c>
      <c r="W114" s="125">
        <v>0</v>
      </c>
      <c r="X114" s="125">
        <v>750</v>
      </c>
      <c r="Y114" s="125">
        <v>31</v>
      </c>
      <c r="Z114" s="126"/>
      <c r="AA114" s="125">
        <v>30</v>
      </c>
      <c r="AB114" s="125">
        <v>0</v>
      </c>
      <c r="AC114" s="125">
        <v>11</v>
      </c>
      <c r="AD114" s="125">
        <v>30</v>
      </c>
      <c r="AE114" s="125">
        <v>32</v>
      </c>
      <c r="AF114" s="125">
        <v>59</v>
      </c>
      <c r="AG114" s="125"/>
      <c r="AH114" s="125"/>
      <c r="AI114" s="125">
        <v>12</v>
      </c>
      <c r="AJ114" s="125">
        <v>0</v>
      </c>
      <c r="AK114" s="125">
        <v>82192</v>
      </c>
      <c r="AL114" s="125">
        <v>3499</v>
      </c>
      <c r="AM114" s="125">
        <v>7016</v>
      </c>
      <c r="AN114" s="125">
        <v>38</v>
      </c>
      <c r="AO114" s="125">
        <v>6</v>
      </c>
      <c r="AP114" s="125">
        <v>0</v>
      </c>
      <c r="AQ114" s="125">
        <v>0</v>
      </c>
      <c r="AR114" s="125">
        <v>1730</v>
      </c>
      <c r="AS114" s="125" t="s">
        <v>370</v>
      </c>
      <c r="AT114" s="125">
        <v>1611</v>
      </c>
      <c r="AU114" s="125">
        <v>1483</v>
      </c>
      <c r="AV114" s="125">
        <v>2502</v>
      </c>
      <c r="AW114" s="125">
        <v>8781</v>
      </c>
      <c r="AX114" s="126"/>
      <c r="AY114" s="126"/>
      <c r="AZ114" s="126">
        <v>0</v>
      </c>
      <c r="BA114" s="126"/>
      <c r="BB114" s="125">
        <v>904</v>
      </c>
      <c r="BC114" s="125"/>
      <c r="BD114" s="125">
        <v>35246</v>
      </c>
      <c r="BE114" s="125">
        <v>84373</v>
      </c>
      <c r="BF114" s="125">
        <v>290</v>
      </c>
      <c r="BG114" s="125">
        <v>880</v>
      </c>
      <c r="BH114" s="125">
        <v>1050</v>
      </c>
      <c r="BI114" s="125">
        <v>5322</v>
      </c>
      <c r="BJ114" s="125">
        <v>66</v>
      </c>
      <c r="BK114" s="125">
        <v>2842</v>
      </c>
      <c r="BL114" s="125"/>
      <c r="BM114" s="125">
        <v>407</v>
      </c>
      <c r="BN114" s="125">
        <v>53</v>
      </c>
      <c r="BO114" s="125">
        <v>0</v>
      </c>
      <c r="BP114" s="125">
        <v>11618</v>
      </c>
      <c r="BQ114" s="125">
        <v>15823</v>
      </c>
      <c r="BR114" s="125">
        <v>17</v>
      </c>
      <c r="BS114" s="125">
        <v>356</v>
      </c>
      <c r="BT114" s="125">
        <v>383</v>
      </c>
      <c r="BU114" s="125"/>
      <c r="BV114" s="125">
        <v>10</v>
      </c>
      <c r="BW114" s="125">
        <v>210</v>
      </c>
      <c r="BX114" s="125"/>
      <c r="BY114" s="125">
        <v>253</v>
      </c>
      <c r="BZ114" s="125">
        <v>3</v>
      </c>
      <c r="CA114" s="125">
        <v>0</v>
      </c>
      <c r="CB114" s="125">
        <v>12466</v>
      </c>
      <c r="CC114" s="125">
        <v>58069</v>
      </c>
      <c r="CD114" s="125">
        <v>80328</v>
      </c>
      <c r="CE114" s="125">
        <v>15082</v>
      </c>
      <c r="CF114" s="125">
        <v>0</v>
      </c>
      <c r="CG114" s="125">
        <v>0</v>
      </c>
      <c r="CH114" s="125">
        <v>48</v>
      </c>
      <c r="CI114" s="125">
        <v>94</v>
      </c>
      <c r="CJ114" s="125">
        <v>239</v>
      </c>
      <c r="CK114" s="125"/>
      <c r="CL114" s="125"/>
      <c r="CM114" s="125"/>
      <c r="CN114" s="125"/>
      <c r="CO114" s="125"/>
      <c r="CP114" s="125"/>
      <c r="CQ114" s="125"/>
      <c r="CR114" s="125"/>
      <c r="CS114" s="125"/>
      <c r="CT114" s="125"/>
      <c r="CU114" s="125"/>
      <c r="CV114" s="125"/>
      <c r="CW114" s="125"/>
      <c r="CX114" s="125"/>
      <c r="CY114" s="125" t="s">
        <v>370</v>
      </c>
      <c r="CZ114" s="125" t="s">
        <v>370</v>
      </c>
      <c r="DA114" s="125" t="s">
        <v>370</v>
      </c>
      <c r="DB114" s="125">
        <v>0</v>
      </c>
      <c r="DC114" s="125">
        <v>0</v>
      </c>
      <c r="DD114" s="125">
        <v>0</v>
      </c>
      <c r="DE114">
        <f t="shared" si="19"/>
        <v>509584</v>
      </c>
      <c r="DG114" s="1">
        <f t="shared" si="33"/>
        <v>322892</v>
      </c>
      <c r="DH114" s="1">
        <f t="shared" si="20"/>
        <v>183721</v>
      </c>
      <c r="DI114" s="127">
        <f t="shared" si="21"/>
        <v>506613</v>
      </c>
      <c r="DK114" s="1">
        <f t="shared" si="22"/>
        <v>59573</v>
      </c>
      <c r="DL114" s="1">
        <f t="shared" si="23"/>
        <v>94855</v>
      </c>
      <c r="DM114" s="1">
        <f t="shared" si="24"/>
        <v>13772</v>
      </c>
      <c r="DN114" s="1">
        <f t="shared" si="25"/>
        <v>15952</v>
      </c>
      <c r="DO114" s="1">
        <f t="shared" si="26"/>
        <v>253938</v>
      </c>
      <c r="DP114" s="1">
        <f t="shared" si="27"/>
        <v>48507</v>
      </c>
      <c r="DQ114" s="1">
        <f t="shared" si="34"/>
        <v>0</v>
      </c>
      <c r="DR114" s="1">
        <f t="shared" si="28"/>
        <v>12409</v>
      </c>
      <c r="DS114" s="1">
        <f t="shared" si="29"/>
        <v>0</v>
      </c>
      <c r="DT114" s="1">
        <f t="shared" si="30"/>
        <v>8688</v>
      </c>
      <c r="DU114" s="1"/>
      <c r="DV114" s="1"/>
      <c r="DW114" s="1"/>
      <c r="DX114" s="1">
        <f t="shared" si="35"/>
        <v>507694</v>
      </c>
      <c r="DZ114" s="1">
        <f t="shared" si="36"/>
        <v>0</v>
      </c>
      <c r="EA114" s="1">
        <f t="shared" si="31"/>
        <v>0</v>
      </c>
      <c r="EC114" s="1">
        <f t="shared" si="37"/>
        <v>507694</v>
      </c>
      <c r="ED114" s="1">
        <f t="shared" si="32"/>
        <v>-1890</v>
      </c>
      <c r="EE114" s="1"/>
    </row>
    <row r="115" spans="1:135" x14ac:dyDescent="0.25">
      <c r="A115" s="124">
        <v>35704</v>
      </c>
      <c r="B115" s="125">
        <v>0</v>
      </c>
      <c r="C115" s="125">
        <v>0</v>
      </c>
      <c r="D115" s="125">
        <v>0</v>
      </c>
      <c r="E115" s="125" t="s">
        <v>370</v>
      </c>
      <c r="F115" s="125" t="s">
        <v>370</v>
      </c>
      <c r="G115" s="125">
        <v>0</v>
      </c>
      <c r="H115" s="125">
        <v>0</v>
      </c>
      <c r="I115" s="125">
        <v>0</v>
      </c>
      <c r="J115" s="125">
        <v>0</v>
      </c>
      <c r="K115" s="125"/>
      <c r="L115" s="125">
        <v>33441</v>
      </c>
      <c r="M115" s="125">
        <v>3231</v>
      </c>
      <c r="N115" s="125"/>
      <c r="O115" s="125">
        <v>4007</v>
      </c>
      <c r="P115" s="125">
        <v>5677</v>
      </c>
      <c r="Q115" s="125">
        <v>1403</v>
      </c>
      <c r="R115" s="125">
        <v>8941</v>
      </c>
      <c r="S115" s="125">
        <v>13772</v>
      </c>
      <c r="T115" s="125"/>
      <c r="U115" s="125"/>
      <c r="V115" s="125">
        <v>2873</v>
      </c>
      <c r="W115" s="125">
        <v>0</v>
      </c>
      <c r="X115" s="125">
        <v>745</v>
      </c>
      <c r="Y115" s="125">
        <v>31</v>
      </c>
      <c r="Z115" s="126"/>
      <c r="AA115" s="125">
        <v>30</v>
      </c>
      <c r="AB115" s="125">
        <v>0</v>
      </c>
      <c r="AC115" s="125">
        <v>12</v>
      </c>
      <c r="AD115" s="125">
        <v>31</v>
      </c>
      <c r="AE115" s="125">
        <v>35</v>
      </c>
      <c r="AF115" s="125">
        <v>58</v>
      </c>
      <c r="AG115" s="125"/>
      <c r="AH115" s="125"/>
      <c r="AI115" s="125">
        <v>15</v>
      </c>
      <c r="AJ115" s="125">
        <v>0</v>
      </c>
      <c r="AK115" s="125">
        <v>81799</v>
      </c>
      <c r="AL115" s="125">
        <v>3492</v>
      </c>
      <c r="AM115" s="125">
        <v>7117</v>
      </c>
      <c r="AN115" s="125">
        <v>33</v>
      </c>
      <c r="AO115" s="125">
        <v>5</v>
      </c>
      <c r="AP115" s="125">
        <v>0</v>
      </c>
      <c r="AQ115" s="125">
        <v>0</v>
      </c>
      <c r="AR115" s="125">
        <v>1709</v>
      </c>
      <c r="AS115" s="125" t="s">
        <v>370</v>
      </c>
      <c r="AT115" s="125">
        <v>1624</v>
      </c>
      <c r="AU115" s="125">
        <v>1474</v>
      </c>
      <c r="AV115" s="125">
        <v>2508</v>
      </c>
      <c r="AW115" s="125">
        <v>8772</v>
      </c>
      <c r="AX115" s="126"/>
      <c r="AY115" s="126"/>
      <c r="AZ115" s="126">
        <v>0</v>
      </c>
      <c r="BA115" s="126"/>
      <c r="BB115" s="125">
        <v>886</v>
      </c>
      <c r="BC115" s="125"/>
      <c r="BD115" s="125">
        <v>34369</v>
      </c>
      <c r="BE115" s="125">
        <v>82440</v>
      </c>
      <c r="BF115" s="125">
        <v>299</v>
      </c>
      <c r="BG115" s="125">
        <v>897</v>
      </c>
      <c r="BH115" s="125">
        <v>1058</v>
      </c>
      <c r="BI115" s="125">
        <v>5337</v>
      </c>
      <c r="BJ115" s="125">
        <v>60</v>
      </c>
      <c r="BK115" s="125">
        <v>2844</v>
      </c>
      <c r="BL115" s="125"/>
      <c r="BM115" s="125">
        <v>424</v>
      </c>
      <c r="BN115" s="125">
        <v>53</v>
      </c>
      <c r="BO115" s="125">
        <v>0</v>
      </c>
      <c r="BP115" s="125">
        <v>11780</v>
      </c>
      <c r="BQ115" s="125">
        <v>15868</v>
      </c>
      <c r="BR115" s="125">
        <v>23</v>
      </c>
      <c r="BS115" s="125">
        <v>387</v>
      </c>
      <c r="BT115" s="125">
        <v>406</v>
      </c>
      <c r="BU115" s="125"/>
      <c r="BV115" s="125">
        <v>9</v>
      </c>
      <c r="BW115" s="125">
        <v>208</v>
      </c>
      <c r="BX115" s="125"/>
      <c r="BY115" s="125">
        <v>237</v>
      </c>
      <c r="BZ115" s="125">
        <v>3</v>
      </c>
      <c r="CA115" s="125">
        <v>0</v>
      </c>
      <c r="CB115" s="125">
        <v>12358</v>
      </c>
      <c r="CC115" s="125">
        <v>58214</v>
      </c>
      <c r="CD115" s="125">
        <v>80577</v>
      </c>
      <c r="CE115" s="125">
        <v>14660</v>
      </c>
      <c r="CF115" s="125">
        <v>0</v>
      </c>
      <c r="CG115" s="125">
        <v>0</v>
      </c>
      <c r="CH115" s="125">
        <v>51</v>
      </c>
      <c r="CI115" s="125">
        <v>91</v>
      </c>
      <c r="CJ115" s="125">
        <v>239</v>
      </c>
      <c r="CK115" s="125"/>
      <c r="CL115" s="125"/>
      <c r="CM115" s="125"/>
      <c r="CN115" s="125"/>
      <c r="CO115" s="125"/>
      <c r="CP115" s="125"/>
      <c r="CQ115" s="125"/>
      <c r="CR115" s="125"/>
      <c r="CS115" s="125"/>
      <c r="CT115" s="125"/>
      <c r="CU115" s="125"/>
      <c r="CV115" s="125"/>
      <c r="CW115" s="125"/>
      <c r="CX115" s="125"/>
      <c r="CY115" s="125" t="s">
        <v>370</v>
      </c>
      <c r="CZ115" s="125" t="s">
        <v>370</v>
      </c>
      <c r="DA115" s="125" t="s">
        <v>370</v>
      </c>
      <c r="DB115" s="125">
        <v>0</v>
      </c>
      <c r="DC115" s="125">
        <v>0</v>
      </c>
      <c r="DD115" s="125">
        <v>0</v>
      </c>
      <c r="DE115">
        <f t="shared" si="19"/>
        <v>506613</v>
      </c>
      <c r="DG115" s="1">
        <f t="shared" si="33"/>
        <v>324214</v>
      </c>
      <c r="DH115" s="1">
        <f t="shared" si="20"/>
        <v>183948</v>
      </c>
      <c r="DI115" s="127">
        <f t="shared" si="21"/>
        <v>508162</v>
      </c>
      <c r="DK115" s="1">
        <f t="shared" si="22"/>
        <v>59573</v>
      </c>
      <c r="DL115" s="1">
        <f t="shared" si="23"/>
        <v>94424</v>
      </c>
      <c r="DM115" s="1">
        <f t="shared" si="24"/>
        <v>13846</v>
      </c>
      <c r="DN115" s="1">
        <f t="shared" si="25"/>
        <v>16142</v>
      </c>
      <c r="DO115" s="1">
        <f t="shared" si="26"/>
        <v>255132</v>
      </c>
      <c r="DP115" s="1">
        <f t="shared" si="27"/>
        <v>47857</v>
      </c>
      <c r="DQ115" s="1">
        <f t="shared" si="34"/>
        <v>0</v>
      </c>
      <c r="DR115" s="1">
        <f t="shared" si="28"/>
        <v>12580</v>
      </c>
      <c r="DS115" s="1">
        <f t="shared" si="29"/>
        <v>0</v>
      </c>
      <c r="DT115" s="1">
        <f t="shared" si="30"/>
        <v>8682</v>
      </c>
      <c r="DU115" s="1"/>
      <c r="DV115" s="1"/>
      <c r="DW115" s="1"/>
      <c r="DX115" s="1">
        <f t="shared" si="35"/>
        <v>508236</v>
      </c>
      <c r="DZ115" s="1">
        <f t="shared" si="36"/>
        <v>0</v>
      </c>
      <c r="EA115" s="1">
        <f t="shared" si="31"/>
        <v>0</v>
      </c>
      <c r="EC115" s="1">
        <f t="shared" si="37"/>
        <v>508236</v>
      </c>
      <c r="ED115" s="1">
        <f t="shared" si="32"/>
        <v>1623</v>
      </c>
      <c r="EE115" s="1"/>
    </row>
    <row r="116" spans="1:135" x14ac:dyDescent="0.25">
      <c r="A116" s="124">
        <v>35735</v>
      </c>
      <c r="B116" s="125">
        <v>0</v>
      </c>
      <c r="C116" s="125">
        <v>0</v>
      </c>
      <c r="D116" s="125">
        <v>0</v>
      </c>
      <c r="E116" s="125" t="s">
        <v>370</v>
      </c>
      <c r="F116" s="125" t="s">
        <v>370</v>
      </c>
      <c r="G116" s="125">
        <v>0</v>
      </c>
      <c r="H116" s="125">
        <v>0</v>
      </c>
      <c r="I116" s="125">
        <v>0</v>
      </c>
      <c r="J116" s="125">
        <v>0</v>
      </c>
      <c r="K116" s="125"/>
      <c r="L116" s="125">
        <v>33403</v>
      </c>
      <c r="M116" s="125">
        <v>3239</v>
      </c>
      <c r="N116" s="125"/>
      <c r="O116" s="125">
        <v>3953</v>
      </c>
      <c r="P116" s="125">
        <v>5756</v>
      </c>
      <c r="Q116" s="125">
        <v>1378</v>
      </c>
      <c r="R116" s="125">
        <v>9067</v>
      </c>
      <c r="S116" s="125">
        <v>13846</v>
      </c>
      <c r="T116" s="125"/>
      <c r="U116" s="125"/>
      <c r="V116" s="125">
        <v>2777</v>
      </c>
      <c r="W116" s="125">
        <v>0</v>
      </c>
      <c r="X116" s="125">
        <v>737</v>
      </c>
      <c r="Y116" s="125">
        <v>30</v>
      </c>
      <c r="Z116" s="126"/>
      <c r="AA116" s="125">
        <v>28</v>
      </c>
      <c r="AB116" s="125">
        <v>0</v>
      </c>
      <c r="AC116" s="125">
        <v>11</v>
      </c>
      <c r="AD116" s="125">
        <v>30</v>
      </c>
      <c r="AE116" s="125">
        <v>35</v>
      </c>
      <c r="AF116" s="125">
        <v>59</v>
      </c>
      <c r="AG116" s="125"/>
      <c r="AH116" s="125"/>
      <c r="AI116" s="125">
        <v>14</v>
      </c>
      <c r="AJ116" s="125">
        <v>0</v>
      </c>
      <c r="AK116" s="125">
        <v>81707</v>
      </c>
      <c r="AL116" s="125">
        <v>3479</v>
      </c>
      <c r="AM116" s="125">
        <v>7222</v>
      </c>
      <c r="AN116" s="125">
        <v>41</v>
      </c>
      <c r="AO116" s="125">
        <v>4</v>
      </c>
      <c r="AP116" s="125">
        <v>0</v>
      </c>
      <c r="AQ116" s="125">
        <v>0</v>
      </c>
      <c r="AR116" s="125">
        <v>1730</v>
      </c>
      <c r="AS116" s="125" t="s">
        <v>370</v>
      </c>
      <c r="AT116" s="125">
        <v>1646</v>
      </c>
      <c r="AU116" s="125">
        <v>1495</v>
      </c>
      <c r="AV116" s="125">
        <v>2540</v>
      </c>
      <c r="AW116" s="125">
        <v>8857</v>
      </c>
      <c r="AX116" s="126"/>
      <c r="AY116" s="126"/>
      <c r="AZ116" s="126">
        <v>0</v>
      </c>
      <c r="BA116" s="126"/>
      <c r="BB116" s="125">
        <v>864</v>
      </c>
      <c r="BC116" s="125"/>
      <c r="BD116" s="125">
        <v>34102</v>
      </c>
      <c r="BE116" s="125">
        <v>81648</v>
      </c>
      <c r="BF116" s="125">
        <v>286</v>
      </c>
      <c r="BG116" s="125">
        <v>922</v>
      </c>
      <c r="BH116" s="125">
        <v>1102</v>
      </c>
      <c r="BI116" s="125">
        <v>5319</v>
      </c>
      <c r="BJ116" s="125">
        <v>64</v>
      </c>
      <c r="BK116" s="125">
        <v>2864</v>
      </c>
      <c r="BL116" s="125"/>
      <c r="BM116" s="125">
        <v>389</v>
      </c>
      <c r="BN116" s="125">
        <v>52</v>
      </c>
      <c r="BO116" s="125">
        <v>0</v>
      </c>
      <c r="BP116" s="125">
        <v>11985</v>
      </c>
      <c r="BQ116" s="125">
        <v>16035</v>
      </c>
      <c r="BR116" s="125">
        <v>23</v>
      </c>
      <c r="BS116" s="125">
        <v>422</v>
      </c>
      <c r="BT116" s="125">
        <v>431</v>
      </c>
      <c r="BU116" s="125"/>
      <c r="BV116" s="125">
        <v>7</v>
      </c>
      <c r="BW116" s="125">
        <v>213</v>
      </c>
      <c r="BX116" s="125"/>
      <c r="BY116" s="125">
        <v>241</v>
      </c>
      <c r="BZ116" s="125">
        <v>3</v>
      </c>
      <c r="CA116" s="125">
        <v>0</v>
      </c>
      <c r="CB116" s="125">
        <v>12523</v>
      </c>
      <c r="CC116" s="125">
        <v>58747</v>
      </c>
      <c r="CD116" s="125">
        <v>81785</v>
      </c>
      <c r="CE116" s="125">
        <v>14666</v>
      </c>
      <c r="CF116" s="125">
        <v>0</v>
      </c>
      <c r="CG116" s="125">
        <v>0</v>
      </c>
      <c r="CH116" s="125">
        <v>57</v>
      </c>
      <c r="CI116" s="125">
        <v>91</v>
      </c>
      <c r="CJ116" s="125">
        <v>237</v>
      </c>
      <c r="CK116" s="125"/>
      <c r="CL116" s="125"/>
      <c r="CM116" s="125"/>
      <c r="CN116" s="125"/>
      <c r="CO116" s="125"/>
      <c r="CP116" s="125"/>
      <c r="CQ116" s="125"/>
      <c r="CR116" s="125"/>
      <c r="CS116" s="125"/>
      <c r="CT116" s="125"/>
      <c r="CU116" s="125"/>
      <c r="CV116" s="125"/>
      <c r="CW116" s="125"/>
      <c r="CX116" s="125"/>
      <c r="CY116" s="125" t="s">
        <v>370</v>
      </c>
      <c r="CZ116" s="125" t="s">
        <v>370</v>
      </c>
      <c r="DA116" s="125" t="s">
        <v>370</v>
      </c>
      <c r="DB116" s="125">
        <v>0</v>
      </c>
      <c r="DC116" s="125">
        <v>0</v>
      </c>
      <c r="DD116" s="125">
        <v>0</v>
      </c>
      <c r="DE116">
        <f t="shared" si="19"/>
        <v>508162</v>
      </c>
      <c r="DG116" s="1">
        <f t="shared" si="33"/>
        <v>321888</v>
      </c>
      <c r="DH116" s="1">
        <f t="shared" si="20"/>
        <v>183646</v>
      </c>
      <c r="DI116" s="127">
        <f t="shared" si="21"/>
        <v>505534</v>
      </c>
      <c r="DK116" s="1">
        <f t="shared" si="22"/>
        <v>59392</v>
      </c>
      <c r="DL116" s="1">
        <f t="shared" si="23"/>
        <v>94387</v>
      </c>
      <c r="DM116" s="1">
        <f t="shared" si="24"/>
        <v>13854</v>
      </c>
      <c r="DN116" s="1">
        <f t="shared" si="25"/>
        <v>16270</v>
      </c>
      <c r="DO116" s="1">
        <f t="shared" si="26"/>
        <v>253732</v>
      </c>
      <c r="DP116" s="1">
        <f t="shared" si="27"/>
        <v>47820</v>
      </c>
      <c r="DQ116" s="1">
        <f t="shared" si="34"/>
        <v>0</v>
      </c>
      <c r="DR116" s="1">
        <f t="shared" si="28"/>
        <v>12266</v>
      </c>
      <c r="DS116" s="1">
        <f t="shared" si="29"/>
        <v>0</v>
      </c>
      <c r="DT116" s="1">
        <f t="shared" si="30"/>
        <v>8737</v>
      </c>
      <c r="DU116" s="1"/>
      <c r="DV116" s="1"/>
      <c r="DW116" s="1"/>
      <c r="DX116" s="1">
        <f t="shared" si="35"/>
        <v>506458</v>
      </c>
      <c r="DZ116" s="1">
        <f t="shared" si="36"/>
        <v>0</v>
      </c>
      <c r="EA116" s="1">
        <f t="shared" si="31"/>
        <v>0</v>
      </c>
      <c r="EC116" s="1">
        <f t="shared" si="37"/>
        <v>506458</v>
      </c>
      <c r="ED116" s="1">
        <f t="shared" si="32"/>
        <v>-1704</v>
      </c>
      <c r="EE116" s="1"/>
    </row>
    <row r="117" spans="1:135" x14ac:dyDescent="0.25">
      <c r="A117" s="124">
        <v>35765</v>
      </c>
      <c r="B117" s="125">
        <v>0</v>
      </c>
      <c r="C117" s="125">
        <v>0</v>
      </c>
      <c r="D117" s="125">
        <v>0</v>
      </c>
      <c r="E117" s="125" t="s">
        <v>370</v>
      </c>
      <c r="F117" s="125" t="s">
        <v>370</v>
      </c>
      <c r="G117" s="125">
        <v>0</v>
      </c>
      <c r="H117" s="125">
        <v>0</v>
      </c>
      <c r="I117" s="125">
        <v>0</v>
      </c>
      <c r="J117" s="125">
        <v>0</v>
      </c>
      <c r="K117" s="125"/>
      <c r="L117" s="125">
        <v>33337</v>
      </c>
      <c r="M117" s="125">
        <v>3229</v>
      </c>
      <c r="N117" s="125"/>
      <c r="O117" s="125">
        <v>3866</v>
      </c>
      <c r="P117" s="125">
        <v>5784</v>
      </c>
      <c r="Q117" s="125">
        <v>1362</v>
      </c>
      <c r="R117" s="125">
        <v>9116</v>
      </c>
      <c r="S117" s="125">
        <v>13854</v>
      </c>
      <c r="T117" s="125"/>
      <c r="U117" s="125"/>
      <c r="V117" s="125">
        <v>2698</v>
      </c>
      <c r="W117" s="125">
        <v>0</v>
      </c>
      <c r="X117" s="125">
        <v>735</v>
      </c>
      <c r="Y117" s="125">
        <v>31</v>
      </c>
      <c r="Z117" s="126"/>
      <c r="AA117" s="125">
        <v>24</v>
      </c>
      <c r="AB117" s="125">
        <v>0</v>
      </c>
      <c r="AC117" s="125">
        <v>12</v>
      </c>
      <c r="AD117" s="125">
        <v>30</v>
      </c>
      <c r="AE117" s="125">
        <v>37</v>
      </c>
      <c r="AF117" s="125">
        <v>61</v>
      </c>
      <c r="AG117" s="125"/>
      <c r="AH117" s="125"/>
      <c r="AI117" s="125">
        <v>15</v>
      </c>
      <c r="AJ117" s="125">
        <v>0</v>
      </c>
      <c r="AK117" s="125">
        <v>81456</v>
      </c>
      <c r="AL117" s="125">
        <v>3460</v>
      </c>
      <c r="AM117" s="125">
        <v>7333</v>
      </c>
      <c r="AN117" s="125">
        <v>35</v>
      </c>
      <c r="AO117" s="125">
        <v>4</v>
      </c>
      <c r="AP117" s="125">
        <v>0</v>
      </c>
      <c r="AQ117" s="125">
        <v>0</v>
      </c>
      <c r="AR117" s="125">
        <v>1700</v>
      </c>
      <c r="AS117" s="125" t="s">
        <v>370</v>
      </c>
      <c r="AT117" s="125">
        <v>1672</v>
      </c>
      <c r="AU117" s="125">
        <v>1499</v>
      </c>
      <c r="AV117" s="125">
        <v>2559</v>
      </c>
      <c r="AW117" s="125">
        <v>8872</v>
      </c>
      <c r="AX117" s="126"/>
      <c r="AY117" s="126"/>
      <c r="AZ117" s="126">
        <v>0</v>
      </c>
      <c r="BA117" s="126"/>
      <c r="BB117" s="125">
        <v>865</v>
      </c>
      <c r="BC117" s="125"/>
      <c r="BD117" s="125">
        <v>33589</v>
      </c>
      <c r="BE117" s="125">
        <v>80451</v>
      </c>
      <c r="BF117" s="125">
        <v>291</v>
      </c>
      <c r="BG117" s="125">
        <v>940</v>
      </c>
      <c r="BH117" s="125">
        <v>1160</v>
      </c>
      <c r="BI117" s="125">
        <v>5317</v>
      </c>
      <c r="BJ117" s="125">
        <v>64</v>
      </c>
      <c r="BK117" s="125">
        <v>2915</v>
      </c>
      <c r="BL117" s="125"/>
      <c r="BM117" s="125">
        <v>362</v>
      </c>
      <c r="BN117" s="125">
        <v>51</v>
      </c>
      <c r="BO117" s="125">
        <v>0</v>
      </c>
      <c r="BP117" s="125">
        <v>11846</v>
      </c>
      <c r="BQ117" s="125">
        <v>15746</v>
      </c>
      <c r="BR117" s="125">
        <v>25</v>
      </c>
      <c r="BS117" s="125">
        <v>416</v>
      </c>
      <c r="BT117" s="125">
        <v>418</v>
      </c>
      <c r="BU117" s="125"/>
      <c r="BV117" s="125">
        <v>4</v>
      </c>
      <c r="BW117" s="125">
        <v>214</v>
      </c>
      <c r="BX117" s="125"/>
      <c r="BY117" s="125">
        <v>239</v>
      </c>
      <c r="BZ117" s="125">
        <v>3</v>
      </c>
      <c r="CA117" s="125">
        <v>0</v>
      </c>
      <c r="CB117" s="125">
        <v>12216</v>
      </c>
      <c r="CC117" s="125">
        <v>58674</v>
      </c>
      <c r="CD117" s="125">
        <v>82122</v>
      </c>
      <c r="CE117" s="125">
        <v>14456</v>
      </c>
      <c r="CF117" s="125">
        <v>0</v>
      </c>
      <c r="CG117" s="125">
        <v>0</v>
      </c>
      <c r="CH117" s="125">
        <v>50</v>
      </c>
      <c r="CI117" s="125">
        <v>89</v>
      </c>
      <c r="CJ117" s="125">
        <v>230</v>
      </c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 t="s">
        <v>370</v>
      </c>
      <c r="CZ117" s="125" t="s">
        <v>370</v>
      </c>
      <c r="DA117" s="125" t="s">
        <v>370</v>
      </c>
      <c r="DB117" s="125">
        <v>0</v>
      </c>
      <c r="DC117" s="125">
        <v>0</v>
      </c>
      <c r="DD117" s="125">
        <v>0</v>
      </c>
      <c r="DE117">
        <f t="shared" si="19"/>
        <v>505534</v>
      </c>
      <c r="DG117" s="1">
        <f t="shared" si="33"/>
        <v>319920</v>
      </c>
      <c r="DH117" s="1">
        <f t="shared" si="20"/>
        <v>183211</v>
      </c>
      <c r="DI117" s="127">
        <f t="shared" si="21"/>
        <v>503131</v>
      </c>
      <c r="DK117" s="1">
        <f t="shared" si="22"/>
        <v>59192</v>
      </c>
      <c r="DL117" s="1">
        <f t="shared" si="23"/>
        <v>94130</v>
      </c>
      <c r="DM117" s="1">
        <f t="shared" si="24"/>
        <v>13863</v>
      </c>
      <c r="DN117" s="1">
        <f t="shared" si="25"/>
        <v>16316</v>
      </c>
      <c r="DO117" s="1">
        <f t="shared" si="26"/>
        <v>252539</v>
      </c>
      <c r="DP117" s="1">
        <f t="shared" si="27"/>
        <v>47153</v>
      </c>
      <c r="DQ117" s="1">
        <f t="shared" si="34"/>
        <v>0</v>
      </c>
      <c r="DR117" s="1">
        <f t="shared" si="28"/>
        <v>12040</v>
      </c>
      <c r="DS117" s="1">
        <f t="shared" si="29"/>
        <v>0</v>
      </c>
      <c r="DT117" s="1">
        <f t="shared" si="30"/>
        <v>8776</v>
      </c>
      <c r="DU117" s="1"/>
      <c r="DV117" s="1"/>
      <c r="DW117" s="1"/>
      <c r="DX117" s="1">
        <f t="shared" si="35"/>
        <v>504009</v>
      </c>
      <c r="DZ117" s="1">
        <f t="shared" si="36"/>
        <v>0</v>
      </c>
      <c r="EA117" s="1">
        <f t="shared" si="31"/>
        <v>0</v>
      </c>
      <c r="EC117" s="1">
        <f t="shared" si="37"/>
        <v>504009</v>
      </c>
      <c r="ED117" s="1">
        <f t="shared" si="32"/>
        <v>-1525</v>
      </c>
      <c r="EE117" s="1"/>
    </row>
    <row r="118" spans="1:135" x14ac:dyDescent="0.25">
      <c r="A118" s="124">
        <v>35796</v>
      </c>
      <c r="B118" s="125">
        <v>0</v>
      </c>
      <c r="C118" s="125">
        <v>0</v>
      </c>
      <c r="D118" s="125">
        <v>0</v>
      </c>
      <c r="E118" s="125" t="s">
        <v>370</v>
      </c>
      <c r="F118" s="125" t="s">
        <v>370</v>
      </c>
      <c r="G118" s="125">
        <v>0</v>
      </c>
      <c r="H118" s="125">
        <v>0</v>
      </c>
      <c r="I118" s="125">
        <v>0</v>
      </c>
      <c r="J118" s="125">
        <v>0</v>
      </c>
      <c r="K118" s="125"/>
      <c r="L118" s="125">
        <v>33267</v>
      </c>
      <c r="M118" s="125">
        <v>3173</v>
      </c>
      <c r="N118" s="125"/>
      <c r="O118" s="125">
        <v>3793</v>
      </c>
      <c r="P118" s="125">
        <v>5842</v>
      </c>
      <c r="Q118" s="125">
        <v>1347</v>
      </c>
      <c r="R118" s="125">
        <v>9119</v>
      </c>
      <c r="S118" s="125">
        <v>13863</v>
      </c>
      <c r="T118" s="125"/>
      <c r="U118" s="125"/>
      <c r="V118" s="125">
        <v>2651</v>
      </c>
      <c r="W118" s="125">
        <v>0</v>
      </c>
      <c r="X118" s="125">
        <v>727</v>
      </c>
      <c r="Y118" s="125">
        <v>33</v>
      </c>
      <c r="Z118" s="126"/>
      <c r="AA118" s="125">
        <v>26</v>
      </c>
      <c r="AB118" s="125">
        <v>0</v>
      </c>
      <c r="AC118" s="125">
        <v>14</v>
      </c>
      <c r="AD118" s="125">
        <v>28</v>
      </c>
      <c r="AE118" s="125">
        <v>38</v>
      </c>
      <c r="AF118" s="125">
        <v>64</v>
      </c>
      <c r="AG118" s="125"/>
      <c r="AH118" s="125"/>
      <c r="AI118" s="125">
        <v>13</v>
      </c>
      <c r="AJ118" s="125">
        <v>0</v>
      </c>
      <c r="AK118" s="125">
        <v>81247</v>
      </c>
      <c r="AL118" s="125">
        <v>3459</v>
      </c>
      <c r="AM118" s="125">
        <v>7372</v>
      </c>
      <c r="AN118" s="125">
        <v>28</v>
      </c>
      <c r="AO118" s="125">
        <v>8</v>
      </c>
      <c r="AP118" s="125">
        <v>0</v>
      </c>
      <c r="AQ118" s="125">
        <v>0</v>
      </c>
      <c r="AR118" s="125">
        <v>1651</v>
      </c>
      <c r="AS118" s="125" t="s">
        <v>370</v>
      </c>
      <c r="AT118" s="125">
        <v>1675</v>
      </c>
      <c r="AU118" s="125">
        <v>1514</v>
      </c>
      <c r="AV118" s="125">
        <v>2567</v>
      </c>
      <c r="AW118" s="125">
        <v>8872</v>
      </c>
      <c r="AX118" s="126"/>
      <c r="AY118" s="126"/>
      <c r="AZ118" s="126">
        <v>0</v>
      </c>
      <c r="BA118" s="126"/>
      <c r="BB118" s="125">
        <v>820</v>
      </c>
      <c r="BC118" s="125"/>
      <c r="BD118" s="125">
        <v>33038</v>
      </c>
      <c r="BE118" s="125">
        <v>79044</v>
      </c>
      <c r="BF118" s="125">
        <v>288</v>
      </c>
      <c r="BG118" s="125">
        <v>923</v>
      </c>
      <c r="BH118" s="125">
        <v>1131</v>
      </c>
      <c r="BI118" s="125">
        <v>5350</v>
      </c>
      <c r="BJ118" s="125">
        <v>66</v>
      </c>
      <c r="BK118" s="125">
        <v>2931</v>
      </c>
      <c r="BL118" s="125"/>
      <c r="BM118" s="125">
        <v>391</v>
      </c>
      <c r="BN118" s="125">
        <v>48</v>
      </c>
      <c r="BO118" s="125">
        <v>0</v>
      </c>
      <c r="BP118" s="125">
        <v>11776</v>
      </c>
      <c r="BQ118" s="125">
        <v>15463</v>
      </c>
      <c r="BR118" s="125">
        <v>23</v>
      </c>
      <c r="BS118" s="125">
        <v>437</v>
      </c>
      <c r="BT118" s="125">
        <v>433</v>
      </c>
      <c r="BU118" s="125"/>
      <c r="BV118" s="125">
        <v>4</v>
      </c>
      <c r="BW118" s="125">
        <v>207</v>
      </c>
      <c r="BX118" s="125"/>
      <c r="BY118" s="125">
        <v>238</v>
      </c>
      <c r="BZ118" s="125">
        <v>3</v>
      </c>
      <c r="CA118" s="125">
        <v>0</v>
      </c>
      <c r="CB118" s="125">
        <v>11991</v>
      </c>
      <c r="CC118" s="125">
        <v>58888</v>
      </c>
      <c r="CD118" s="125">
        <v>82589</v>
      </c>
      <c r="CE118" s="125">
        <v>14294</v>
      </c>
      <c r="CF118" s="125">
        <v>0</v>
      </c>
      <c r="CG118" s="125">
        <v>0</v>
      </c>
      <c r="CH118" s="125">
        <v>49</v>
      </c>
      <c r="CI118" s="125">
        <v>90</v>
      </c>
      <c r="CJ118" s="125">
        <v>225</v>
      </c>
      <c r="CK118" s="125"/>
      <c r="CL118" s="125"/>
      <c r="CM118" s="125"/>
      <c r="CN118" s="125"/>
      <c r="CO118" s="125"/>
      <c r="CP118" s="125"/>
      <c r="CQ118" s="125"/>
      <c r="CR118" s="125"/>
      <c r="CS118" s="125"/>
      <c r="CT118" s="125"/>
      <c r="CU118" s="125"/>
      <c r="CV118" s="125"/>
      <c r="CW118" s="125"/>
      <c r="CX118" s="125"/>
      <c r="CY118" s="125" t="s">
        <v>370</v>
      </c>
      <c r="CZ118" s="125" t="s">
        <v>370</v>
      </c>
      <c r="DA118" s="125" t="s">
        <v>370</v>
      </c>
      <c r="DB118" s="125">
        <v>0</v>
      </c>
      <c r="DC118" s="125">
        <v>0</v>
      </c>
      <c r="DD118" s="125">
        <v>0</v>
      </c>
      <c r="DE118">
        <f t="shared" si="19"/>
        <v>503131</v>
      </c>
      <c r="DG118" s="1">
        <f t="shared" si="33"/>
        <v>320629</v>
      </c>
      <c r="DH118" s="1">
        <f t="shared" si="20"/>
        <v>183204</v>
      </c>
      <c r="DI118" s="127">
        <f t="shared" si="21"/>
        <v>503833</v>
      </c>
      <c r="DK118" s="1">
        <f t="shared" si="22"/>
        <v>58952</v>
      </c>
      <c r="DL118" s="1">
        <f t="shared" si="23"/>
        <v>93840</v>
      </c>
      <c r="DM118" s="1">
        <f t="shared" si="24"/>
        <v>13811</v>
      </c>
      <c r="DN118" s="1">
        <f t="shared" si="25"/>
        <v>16460</v>
      </c>
      <c r="DO118" s="1">
        <f t="shared" si="26"/>
        <v>252932</v>
      </c>
      <c r="DP118" s="1">
        <f t="shared" si="27"/>
        <v>46565</v>
      </c>
      <c r="DQ118" s="1">
        <f t="shared" si="34"/>
        <v>0</v>
      </c>
      <c r="DR118" s="1">
        <f t="shared" si="28"/>
        <v>12352</v>
      </c>
      <c r="DS118" s="1">
        <f t="shared" si="29"/>
        <v>0</v>
      </c>
      <c r="DT118" s="1">
        <f t="shared" si="30"/>
        <v>8892</v>
      </c>
      <c r="DU118" s="1"/>
      <c r="DV118" s="1"/>
      <c r="DW118" s="1"/>
      <c r="DX118" s="1">
        <f t="shared" si="35"/>
        <v>503804</v>
      </c>
      <c r="DZ118" s="1">
        <f t="shared" si="36"/>
        <v>0</v>
      </c>
      <c r="EA118" s="1">
        <f t="shared" si="31"/>
        <v>0</v>
      </c>
      <c r="EC118" s="1">
        <f t="shared" si="37"/>
        <v>503804</v>
      </c>
      <c r="ED118" s="1">
        <f t="shared" si="32"/>
        <v>673</v>
      </c>
      <c r="EE118" s="1"/>
    </row>
    <row r="119" spans="1:135" x14ac:dyDescent="0.25">
      <c r="A119" s="124">
        <v>35827</v>
      </c>
      <c r="B119" s="125">
        <v>0</v>
      </c>
      <c r="C119" s="125">
        <v>0</v>
      </c>
      <c r="D119" s="125">
        <v>0</v>
      </c>
      <c r="E119" s="125" t="s">
        <v>370</v>
      </c>
      <c r="F119" s="125" t="s">
        <v>370</v>
      </c>
      <c r="G119" s="125">
        <v>0</v>
      </c>
      <c r="H119" s="125">
        <v>0</v>
      </c>
      <c r="I119" s="125">
        <v>0</v>
      </c>
      <c r="J119" s="125">
        <v>0</v>
      </c>
      <c r="K119" s="125"/>
      <c r="L119" s="125">
        <v>33128</v>
      </c>
      <c r="M119" s="125">
        <v>3134</v>
      </c>
      <c r="N119" s="125"/>
      <c r="O119" s="125">
        <v>3781</v>
      </c>
      <c r="P119" s="125">
        <v>5850</v>
      </c>
      <c r="Q119" s="125">
        <v>1328</v>
      </c>
      <c r="R119" s="125">
        <v>9187</v>
      </c>
      <c r="S119" s="125">
        <v>13811</v>
      </c>
      <c r="T119" s="125"/>
      <c r="U119" s="125"/>
      <c r="V119" s="125">
        <v>2544</v>
      </c>
      <c r="W119" s="125">
        <v>0</v>
      </c>
      <c r="X119" s="125">
        <v>725</v>
      </c>
      <c r="Y119" s="125">
        <v>35</v>
      </c>
      <c r="Z119" s="126"/>
      <c r="AA119" s="125">
        <v>28</v>
      </c>
      <c r="AB119" s="125">
        <v>0</v>
      </c>
      <c r="AC119" s="125">
        <v>14</v>
      </c>
      <c r="AD119" s="125">
        <v>27</v>
      </c>
      <c r="AE119" s="125">
        <v>37</v>
      </c>
      <c r="AF119" s="125">
        <v>66</v>
      </c>
      <c r="AG119" s="125"/>
      <c r="AH119" s="125"/>
      <c r="AI119" s="125">
        <v>15</v>
      </c>
      <c r="AJ119" s="125">
        <v>0</v>
      </c>
      <c r="AK119" s="125">
        <v>81330</v>
      </c>
      <c r="AL119" s="125">
        <v>3474</v>
      </c>
      <c r="AM119" s="125">
        <v>7476</v>
      </c>
      <c r="AN119" s="125">
        <v>28</v>
      </c>
      <c r="AO119" s="125">
        <v>8</v>
      </c>
      <c r="AP119" s="125">
        <v>0</v>
      </c>
      <c r="AQ119" s="125">
        <v>0</v>
      </c>
      <c r="AR119" s="125">
        <v>1697</v>
      </c>
      <c r="AS119" s="125" t="s">
        <v>370</v>
      </c>
      <c r="AT119" s="125">
        <v>1654</v>
      </c>
      <c r="AU119" s="125">
        <v>1529</v>
      </c>
      <c r="AV119" s="125">
        <v>2584</v>
      </c>
      <c r="AW119" s="125">
        <v>8910</v>
      </c>
      <c r="AX119" s="126"/>
      <c r="AY119" s="126"/>
      <c r="AZ119" s="126">
        <v>0</v>
      </c>
      <c r="BA119" s="126"/>
      <c r="BB119" s="125">
        <v>804</v>
      </c>
      <c r="BC119" s="125"/>
      <c r="BD119" s="125">
        <v>32771</v>
      </c>
      <c r="BE119" s="125">
        <v>78207</v>
      </c>
      <c r="BF119" s="125">
        <v>284</v>
      </c>
      <c r="BG119" s="125">
        <v>974</v>
      </c>
      <c r="BH119" s="125">
        <v>1146</v>
      </c>
      <c r="BI119" s="125">
        <v>5411</v>
      </c>
      <c r="BJ119" s="125">
        <v>65</v>
      </c>
      <c r="BK119" s="125">
        <v>2989</v>
      </c>
      <c r="BL119" s="125"/>
      <c r="BM119" s="125">
        <v>410</v>
      </c>
      <c r="BN119" s="125">
        <v>47</v>
      </c>
      <c r="BO119" s="125">
        <v>0</v>
      </c>
      <c r="BP119" s="125">
        <v>11869</v>
      </c>
      <c r="BQ119" s="125">
        <v>15291</v>
      </c>
      <c r="BR119" s="125">
        <v>24</v>
      </c>
      <c r="BS119" s="125">
        <v>429</v>
      </c>
      <c r="BT119" s="125">
        <v>431</v>
      </c>
      <c r="BU119" s="125"/>
      <c r="BV119" s="125">
        <v>5</v>
      </c>
      <c r="BW119" s="125">
        <v>208</v>
      </c>
      <c r="BX119" s="125"/>
      <c r="BY119" s="125">
        <v>243</v>
      </c>
      <c r="BZ119" s="125">
        <v>3</v>
      </c>
      <c r="CA119" s="125">
        <v>0</v>
      </c>
      <c r="CB119" s="125">
        <v>12297</v>
      </c>
      <c r="CC119" s="125">
        <v>59303</v>
      </c>
      <c r="CD119" s="125">
        <v>83481</v>
      </c>
      <c r="CE119" s="125">
        <v>14376</v>
      </c>
      <c r="CF119" s="125">
        <v>0</v>
      </c>
      <c r="CG119" s="125">
        <v>0</v>
      </c>
      <c r="CH119" s="125">
        <v>55</v>
      </c>
      <c r="CI119" s="125">
        <v>91</v>
      </c>
      <c r="CJ119" s="125">
        <v>219</v>
      </c>
      <c r="CK119" s="125"/>
      <c r="CL119" s="125"/>
      <c r="CM119" s="125"/>
      <c r="CN119" s="125"/>
      <c r="CO119" s="125"/>
      <c r="CP119" s="125"/>
      <c r="CQ119" s="125"/>
      <c r="CR119" s="125"/>
      <c r="CS119" s="125"/>
      <c r="CT119" s="125"/>
      <c r="CU119" s="125"/>
      <c r="CV119" s="125"/>
      <c r="CW119" s="125"/>
      <c r="CX119" s="125"/>
      <c r="CY119" s="125" t="s">
        <v>370</v>
      </c>
      <c r="CZ119" s="125" t="s">
        <v>370</v>
      </c>
      <c r="DA119" s="125" t="s">
        <v>370</v>
      </c>
      <c r="DB119" s="125">
        <v>0</v>
      </c>
      <c r="DC119" s="125">
        <v>0</v>
      </c>
      <c r="DD119" s="125">
        <v>0</v>
      </c>
      <c r="DE119">
        <f t="shared" si="19"/>
        <v>503833</v>
      </c>
      <c r="DG119" s="1">
        <f t="shared" si="33"/>
        <v>318820</v>
      </c>
      <c r="DH119" s="1">
        <f t="shared" si="20"/>
        <v>182700</v>
      </c>
      <c r="DI119" s="127">
        <f t="shared" si="21"/>
        <v>501520</v>
      </c>
      <c r="DK119" s="1">
        <f t="shared" si="22"/>
        <v>58690</v>
      </c>
      <c r="DL119" s="1">
        <f t="shared" si="23"/>
        <v>93981</v>
      </c>
      <c r="DM119" s="1">
        <f t="shared" si="24"/>
        <v>13758</v>
      </c>
      <c r="DN119" s="1">
        <f t="shared" si="25"/>
        <v>16503</v>
      </c>
      <c r="DO119" s="1">
        <f t="shared" si="26"/>
        <v>251490</v>
      </c>
      <c r="DP119" s="1">
        <f t="shared" si="27"/>
        <v>46453</v>
      </c>
      <c r="DQ119" s="1">
        <f t="shared" si="34"/>
        <v>0</v>
      </c>
      <c r="DR119" s="1">
        <f t="shared" si="28"/>
        <v>12350</v>
      </c>
      <c r="DS119" s="1">
        <f t="shared" si="29"/>
        <v>0</v>
      </c>
      <c r="DT119" s="1">
        <f t="shared" si="30"/>
        <v>8971</v>
      </c>
      <c r="DU119" s="1"/>
      <c r="DV119" s="1"/>
      <c r="DW119" s="1"/>
      <c r="DX119" s="1">
        <f t="shared" si="35"/>
        <v>502196</v>
      </c>
      <c r="DZ119" s="1">
        <f t="shared" si="36"/>
        <v>0</v>
      </c>
      <c r="EA119" s="1">
        <f t="shared" si="31"/>
        <v>0</v>
      </c>
      <c r="EC119" s="1">
        <f t="shared" si="37"/>
        <v>502196</v>
      </c>
      <c r="ED119" s="1">
        <f t="shared" si="32"/>
        <v>-1637</v>
      </c>
      <c r="EE119" s="1"/>
    </row>
    <row r="120" spans="1:135" x14ac:dyDescent="0.25">
      <c r="A120" s="124">
        <v>35855</v>
      </c>
      <c r="B120" s="125">
        <v>0</v>
      </c>
      <c r="C120" s="125">
        <v>0</v>
      </c>
      <c r="D120" s="125">
        <v>0</v>
      </c>
      <c r="E120" s="125" t="s">
        <v>370</v>
      </c>
      <c r="F120" s="125" t="s">
        <v>370</v>
      </c>
      <c r="G120" s="125">
        <v>0</v>
      </c>
      <c r="H120" s="125">
        <v>0</v>
      </c>
      <c r="I120" s="125">
        <v>0</v>
      </c>
      <c r="J120" s="125">
        <v>0</v>
      </c>
      <c r="K120" s="125"/>
      <c r="L120" s="125">
        <v>33040</v>
      </c>
      <c r="M120" s="125">
        <v>3109</v>
      </c>
      <c r="N120" s="125"/>
      <c r="O120" s="125">
        <v>3708</v>
      </c>
      <c r="P120" s="125">
        <v>5911</v>
      </c>
      <c r="Q120" s="125">
        <v>1317</v>
      </c>
      <c r="R120" s="125">
        <v>9166</v>
      </c>
      <c r="S120" s="125">
        <v>13758</v>
      </c>
      <c r="T120" s="125"/>
      <c r="U120" s="125"/>
      <c r="V120" s="125">
        <v>2439</v>
      </c>
      <c r="W120" s="125">
        <v>0</v>
      </c>
      <c r="X120" s="125">
        <v>718</v>
      </c>
      <c r="Y120" s="125">
        <v>36</v>
      </c>
      <c r="Z120" s="126"/>
      <c r="AA120" s="125">
        <v>25</v>
      </c>
      <c r="AB120" s="125">
        <v>0</v>
      </c>
      <c r="AC120" s="125">
        <v>14</v>
      </c>
      <c r="AD120" s="125">
        <v>26</v>
      </c>
      <c r="AE120" s="125">
        <v>36</v>
      </c>
      <c r="AF120" s="125">
        <v>67</v>
      </c>
      <c r="AG120" s="125"/>
      <c r="AH120" s="125"/>
      <c r="AI120" s="125">
        <v>12</v>
      </c>
      <c r="AJ120" s="125">
        <v>0</v>
      </c>
      <c r="AK120" s="125">
        <v>81105</v>
      </c>
      <c r="AL120" s="125">
        <v>3480</v>
      </c>
      <c r="AM120" s="125">
        <v>7525</v>
      </c>
      <c r="AN120" s="125">
        <v>26</v>
      </c>
      <c r="AO120" s="125">
        <v>5</v>
      </c>
      <c r="AP120" s="125">
        <v>0</v>
      </c>
      <c r="AQ120" s="125">
        <v>0</v>
      </c>
      <c r="AR120" s="125">
        <v>1665</v>
      </c>
      <c r="AS120" s="125" t="s">
        <v>370</v>
      </c>
      <c r="AT120" s="125">
        <v>1681</v>
      </c>
      <c r="AU120" s="125">
        <v>1535</v>
      </c>
      <c r="AV120" s="125">
        <v>2593</v>
      </c>
      <c r="AW120" s="125">
        <v>8906</v>
      </c>
      <c r="AX120" s="126"/>
      <c r="AY120" s="126"/>
      <c r="AZ120" s="126">
        <v>0</v>
      </c>
      <c r="BA120" s="126"/>
      <c r="BB120" s="125">
        <v>797</v>
      </c>
      <c r="BC120" s="125"/>
      <c r="BD120" s="125">
        <v>32139</v>
      </c>
      <c r="BE120" s="125">
        <v>76782</v>
      </c>
      <c r="BF120" s="125">
        <v>281</v>
      </c>
      <c r="BG120" s="125">
        <v>1053</v>
      </c>
      <c r="BH120" s="125">
        <v>1238</v>
      </c>
      <c r="BI120" s="125">
        <v>5464</v>
      </c>
      <c r="BJ120" s="125">
        <v>62</v>
      </c>
      <c r="BK120" s="125">
        <v>3009</v>
      </c>
      <c r="BL120" s="125"/>
      <c r="BM120" s="125">
        <v>418</v>
      </c>
      <c r="BN120" s="125">
        <v>47</v>
      </c>
      <c r="BO120" s="125">
        <v>0</v>
      </c>
      <c r="BP120" s="125">
        <v>11967</v>
      </c>
      <c r="BQ120" s="125">
        <v>15143</v>
      </c>
      <c r="BR120" s="125">
        <v>24</v>
      </c>
      <c r="BS120" s="125">
        <v>432</v>
      </c>
      <c r="BT120" s="125">
        <v>428</v>
      </c>
      <c r="BU120" s="125"/>
      <c r="BV120" s="125">
        <v>6</v>
      </c>
      <c r="BW120" s="125">
        <v>217</v>
      </c>
      <c r="BX120" s="125"/>
      <c r="BY120" s="125">
        <v>246</v>
      </c>
      <c r="BZ120" s="125">
        <v>3</v>
      </c>
      <c r="CA120" s="125">
        <v>0</v>
      </c>
      <c r="CB120" s="125">
        <v>12293</v>
      </c>
      <c r="CC120" s="125">
        <v>59176</v>
      </c>
      <c r="CD120" s="125">
        <v>83719</v>
      </c>
      <c r="CE120" s="125">
        <v>14326</v>
      </c>
      <c r="CF120" s="125">
        <v>0</v>
      </c>
      <c r="CG120" s="125">
        <v>0</v>
      </c>
      <c r="CH120" s="125">
        <v>57</v>
      </c>
      <c r="CI120" s="125">
        <v>89</v>
      </c>
      <c r="CJ120" s="125">
        <v>201</v>
      </c>
      <c r="CK120" s="125"/>
      <c r="CL120" s="125"/>
      <c r="CM120" s="125"/>
      <c r="CN120" s="125"/>
      <c r="CO120" s="125"/>
      <c r="CP120" s="125"/>
      <c r="CQ120" s="125"/>
      <c r="CR120" s="125"/>
      <c r="CS120" s="125"/>
      <c r="CT120" s="125"/>
      <c r="CU120" s="125"/>
      <c r="CV120" s="125"/>
      <c r="CW120" s="125"/>
      <c r="CX120" s="125"/>
      <c r="CY120" s="125" t="s">
        <v>370</v>
      </c>
      <c r="CZ120" s="125" t="s">
        <v>370</v>
      </c>
      <c r="DA120" s="125" t="s">
        <v>370</v>
      </c>
      <c r="DB120" s="125">
        <v>0</v>
      </c>
      <c r="DC120" s="125">
        <v>0</v>
      </c>
      <c r="DD120" s="125">
        <v>0</v>
      </c>
      <c r="DE120">
        <f t="shared" si="19"/>
        <v>501520</v>
      </c>
      <c r="DG120" s="1">
        <f t="shared" si="33"/>
        <v>317500</v>
      </c>
      <c r="DH120" s="1">
        <f t="shared" si="20"/>
        <v>182643</v>
      </c>
      <c r="DI120" s="127">
        <f t="shared" si="21"/>
        <v>500143</v>
      </c>
      <c r="DK120" s="1">
        <f t="shared" si="22"/>
        <v>58575</v>
      </c>
      <c r="DL120" s="1">
        <f t="shared" si="23"/>
        <v>93749</v>
      </c>
      <c r="DM120" s="1">
        <f t="shared" si="24"/>
        <v>13692</v>
      </c>
      <c r="DN120" s="1">
        <f t="shared" si="25"/>
        <v>16613</v>
      </c>
      <c r="DO120" s="1">
        <f t="shared" si="26"/>
        <v>250492</v>
      </c>
      <c r="DP120" s="1">
        <f t="shared" si="27"/>
        <v>46009</v>
      </c>
      <c r="DQ120" s="1">
        <f t="shared" si="34"/>
        <v>0</v>
      </c>
      <c r="DR120" s="1">
        <f t="shared" si="28"/>
        <v>12467</v>
      </c>
      <c r="DS120" s="1">
        <f t="shared" si="29"/>
        <v>0</v>
      </c>
      <c r="DT120" s="1">
        <f t="shared" si="30"/>
        <v>9054</v>
      </c>
      <c r="DU120" s="1"/>
      <c r="DV120" s="1"/>
      <c r="DW120" s="1"/>
      <c r="DX120" s="1">
        <f t="shared" si="35"/>
        <v>500651</v>
      </c>
      <c r="DZ120" s="1">
        <f t="shared" si="36"/>
        <v>0</v>
      </c>
      <c r="EA120" s="1">
        <f t="shared" si="31"/>
        <v>0</v>
      </c>
      <c r="EC120" s="1">
        <f t="shared" si="37"/>
        <v>500651</v>
      </c>
      <c r="ED120" s="1">
        <f t="shared" si="32"/>
        <v>-869</v>
      </c>
      <c r="EE120" s="1"/>
    </row>
    <row r="121" spans="1:135" x14ac:dyDescent="0.25">
      <c r="A121" s="124">
        <v>35886</v>
      </c>
      <c r="B121" s="125">
        <v>0</v>
      </c>
      <c r="C121" s="125">
        <v>0</v>
      </c>
      <c r="D121" s="125">
        <v>0</v>
      </c>
      <c r="E121" s="125" t="s">
        <v>370</v>
      </c>
      <c r="F121" s="125" t="s">
        <v>370</v>
      </c>
      <c r="G121" s="125">
        <v>0</v>
      </c>
      <c r="H121" s="125">
        <v>0</v>
      </c>
      <c r="I121" s="125">
        <v>0</v>
      </c>
      <c r="J121" s="125">
        <v>0</v>
      </c>
      <c r="K121" s="125"/>
      <c r="L121" s="125">
        <v>32911</v>
      </c>
      <c r="M121" s="125">
        <v>3102</v>
      </c>
      <c r="N121" s="125"/>
      <c r="O121" s="125">
        <v>3697</v>
      </c>
      <c r="P121" s="125">
        <v>6000</v>
      </c>
      <c r="Q121" s="125">
        <v>1281</v>
      </c>
      <c r="R121" s="125">
        <v>9211</v>
      </c>
      <c r="S121" s="125">
        <v>13692</v>
      </c>
      <c r="T121" s="125"/>
      <c r="U121" s="125"/>
      <c r="V121" s="125">
        <v>2373</v>
      </c>
      <c r="W121" s="125">
        <v>0</v>
      </c>
      <c r="X121" s="125">
        <v>711</v>
      </c>
      <c r="Y121" s="125">
        <v>35</v>
      </c>
      <c r="Z121" s="126"/>
      <c r="AA121" s="125">
        <v>25</v>
      </c>
      <c r="AB121" s="125">
        <v>0</v>
      </c>
      <c r="AC121" s="125">
        <v>14</v>
      </c>
      <c r="AD121" s="125">
        <v>27</v>
      </c>
      <c r="AE121" s="125">
        <v>32</v>
      </c>
      <c r="AF121" s="125">
        <v>66</v>
      </c>
      <c r="AG121" s="125"/>
      <c r="AH121" s="125"/>
      <c r="AI121" s="125">
        <v>13</v>
      </c>
      <c r="AJ121" s="125">
        <v>0</v>
      </c>
      <c r="AK121" s="125">
        <v>81016</v>
      </c>
      <c r="AL121" s="125">
        <v>3502</v>
      </c>
      <c r="AM121" s="125">
        <v>7576</v>
      </c>
      <c r="AN121" s="125">
        <v>23</v>
      </c>
      <c r="AO121" s="125">
        <v>6</v>
      </c>
      <c r="AP121" s="125">
        <v>0</v>
      </c>
      <c r="AQ121" s="125">
        <v>0</v>
      </c>
      <c r="AR121" s="125">
        <v>1682</v>
      </c>
      <c r="AS121" s="125" t="s">
        <v>370</v>
      </c>
      <c r="AT121" s="125">
        <v>1685</v>
      </c>
      <c r="AU121" s="125">
        <v>1550</v>
      </c>
      <c r="AV121" s="125">
        <v>2649</v>
      </c>
      <c r="AW121" s="125">
        <v>8965</v>
      </c>
      <c r="AX121" s="126"/>
      <c r="AY121" s="126"/>
      <c r="AZ121" s="126">
        <v>0</v>
      </c>
      <c r="BA121" s="126"/>
      <c r="BB121" s="125">
        <v>799</v>
      </c>
      <c r="BC121" s="125"/>
      <c r="BD121" s="125">
        <v>31597</v>
      </c>
      <c r="BE121" s="125">
        <v>75555</v>
      </c>
      <c r="BF121" s="125">
        <v>285</v>
      </c>
      <c r="BG121" s="125">
        <v>1070</v>
      </c>
      <c r="BH121" s="125">
        <v>1243</v>
      </c>
      <c r="BI121" s="125">
        <v>5545</v>
      </c>
      <c r="BJ121" s="125">
        <v>71</v>
      </c>
      <c r="BK121" s="125">
        <v>3007</v>
      </c>
      <c r="BL121" s="125"/>
      <c r="BM121" s="125">
        <v>412</v>
      </c>
      <c r="BN121" s="125">
        <v>44</v>
      </c>
      <c r="BO121" s="125">
        <v>0</v>
      </c>
      <c r="BP121" s="125">
        <v>11965</v>
      </c>
      <c r="BQ121" s="125">
        <v>14977</v>
      </c>
      <c r="BR121" s="125">
        <v>26</v>
      </c>
      <c r="BS121" s="125">
        <v>443</v>
      </c>
      <c r="BT121" s="125">
        <v>440</v>
      </c>
      <c r="BU121" s="125"/>
      <c r="BV121" s="125">
        <v>9</v>
      </c>
      <c r="BW121" s="125">
        <v>217</v>
      </c>
      <c r="BX121" s="125"/>
      <c r="BY121" s="125">
        <v>251</v>
      </c>
      <c r="BZ121" s="125">
        <v>0</v>
      </c>
      <c r="CA121" s="125">
        <v>0</v>
      </c>
      <c r="CB121" s="125">
        <v>12406</v>
      </c>
      <c r="CC121" s="125">
        <v>59161</v>
      </c>
      <c r="CD121" s="125">
        <v>84096</v>
      </c>
      <c r="CE121" s="125">
        <v>14313</v>
      </c>
      <c r="CF121" s="125">
        <v>0</v>
      </c>
      <c r="CG121" s="125">
        <v>0</v>
      </c>
      <c r="CH121" s="125">
        <v>61</v>
      </c>
      <c r="CI121" s="125">
        <v>98</v>
      </c>
      <c r="CJ121" s="125">
        <v>208</v>
      </c>
      <c r="CK121" s="125"/>
      <c r="CL121" s="125"/>
      <c r="CM121" s="125"/>
      <c r="CN121" s="125"/>
      <c r="CO121" s="125"/>
      <c r="CP121" s="125"/>
      <c r="CQ121" s="125"/>
      <c r="CR121" s="125"/>
      <c r="CS121" s="125"/>
      <c r="CT121" s="125"/>
      <c r="CU121" s="125"/>
      <c r="CV121" s="125"/>
      <c r="CW121" s="125"/>
      <c r="CX121" s="125"/>
      <c r="CY121" s="125" t="s">
        <v>370</v>
      </c>
      <c r="CZ121" s="125" t="s">
        <v>370</v>
      </c>
      <c r="DA121" s="125" t="s">
        <v>370</v>
      </c>
      <c r="DB121" s="125">
        <v>0</v>
      </c>
      <c r="DC121" s="125">
        <v>0</v>
      </c>
      <c r="DD121" s="125">
        <v>0</v>
      </c>
      <c r="DE121">
        <f t="shared" si="19"/>
        <v>500143</v>
      </c>
      <c r="DG121" s="1">
        <f t="shared" si="33"/>
        <v>317152</v>
      </c>
      <c r="DH121" s="1">
        <f t="shared" si="20"/>
        <v>182967</v>
      </c>
      <c r="DI121" s="127">
        <f t="shared" si="21"/>
        <v>500119</v>
      </c>
      <c r="DK121" s="1">
        <f t="shared" si="22"/>
        <v>58633</v>
      </c>
      <c r="DL121" s="1">
        <f t="shared" si="23"/>
        <v>93763</v>
      </c>
      <c r="DM121" s="1">
        <f t="shared" si="24"/>
        <v>13649</v>
      </c>
      <c r="DN121" s="1">
        <f t="shared" si="25"/>
        <v>16661</v>
      </c>
      <c r="DO121" s="1">
        <f t="shared" si="26"/>
        <v>250094</v>
      </c>
      <c r="DP121" s="1">
        <f t="shared" si="27"/>
        <v>45487</v>
      </c>
      <c r="DQ121" s="1">
        <f t="shared" si="34"/>
        <v>0</v>
      </c>
      <c r="DR121" s="1">
        <f t="shared" si="28"/>
        <v>12698</v>
      </c>
      <c r="DS121" s="1">
        <f t="shared" si="29"/>
        <v>0</v>
      </c>
      <c r="DT121" s="1">
        <f t="shared" si="30"/>
        <v>9097</v>
      </c>
      <c r="DU121" s="1"/>
      <c r="DV121" s="1"/>
      <c r="DW121" s="1"/>
      <c r="DX121" s="1">
        <f t="shared" si="35"/>
        <v>500082</v>
      </c>
      <c r="DZ121" s="1">
        <f t="shared" si="36"/>
        <v>0</v>
      </c>
      <c r="EA121" s="1">
        <f t="shared" si="31"/>
        <v>0</v>
      </c>
      <c r="EC121" s="1">
        <f t="shared" si="37"/>
        <v>500082</v>
      </c>
      <c r="ED121" s="1">
        <f t="shared" si="32"/>
        <v>-61</v>
      </c>
      <c r="EE121" s="1"/>
    </row>
    <row r="122" spans="1:135" x14ac:dyDescent="0.25">
      <c r="A122" s="124">
        <v>35916</v>
      </c>
      <c r="B122" s="125">
        <v>0</v>
      </c>
      <c r="C122" s="125">
        <v>0</v>
      </c>
      <c r="D122" s="125">
        <v>0</v>
      </c>
      <c r="E122" s="125" t="s">
        <v>370</v>
      </c>
      <c r="F122" s="125" t="s">
        <v>370</v>
      </c>
      <c r="G122" s="125">
        <v>0</v>
      </c>
      <c r="H122" s="125">
        <v>0</v>
      </c>
      <c r="I122" s="125">
        <v>0</v>
      </c>
      <c r="J122" s="125">
        <v>0</v>
      </c>
      <c r="K122" s="125"/>
      <c r="L122" s="125">
        <v>32883</v>
      </c>
      <c r="M122" s="125">
        <v>3108</v>
      </c>
      <c r="N122" s="125"/>
      <c r="O122" s="125">
        <v>3616</v>
      </c>
      <c r="P122" s="125">
        <v>6128</v>
      </c>
      <c r="Q122" s="125">
        <v>1249</v>
      </c>
      <c r="R122" s="125">
        <v>9301</v>
      </c>
      <c r="S122" s="125">
        <v>13649</v>
      </c>
      <c r="T122" s="125"/>
      <c r="U122" s="125"/>
      <c r="V122" s="125">
        <v>2348</v>
      </c>
      <c r="W122" s="125">
        <v>0</v>
      </c>
      <c r="X122" s="125">
        <v>708</v>
      </c>
      <c r="Y122" s="125">
        <v>36</v>
      </c>
      <c r="Z122" s="126"/>
      <c r="AA122" s="125">
        <v>23</v>
      </c>
      <c r="AB122" s="125">
        <v>0</v>
      </c>
      <c r="AC122" s="125">
        <v>15</v>
      </c>
      <c r="AD122" s="125">
        <v>28</v>
      </c>
      <c r="AE122" s="125">
        <v>34</v>
      </c>
      <c r="AF122" s="125">
        <v>62</v>
      </c>
      <c r="AG122" s="125"/>
      <c r="AH122" s="125"/>
      <c r="AI122" s="125">
        <v>14</v>
      </c>
      <c r="AJ122" s="125">
        <v>0</v>
      </c>
      <c r="AK122" s="125">
        <v>81177</v>
      </c>
      <c r="AL122" s="125">
        <v>3522</v>
      </c>
      <c r="AM122" s="125">
        <v>7623</v>
      </c>
      <c r="AN122" s="125">
        <v>21</v>
      </c>
      <c r="AO122" s="125">
        <v>6</v>
      </c>
      <c r="AP122" s="125">
        <v>0</v>
      </c>
      <c r="AQ122" s="125">
        <v>0</v>
      </c>
      <c r="AR122" s="125">
        <v>1699</v>
      </c>
      <c r="AS122" s="125" t="s">
        <v>370</v>
      </c>
      <c r="AT122" s="125">
        <v>1704</v>
      </c>
      <c r="AU122" s="125">
        <v>1551</v>
      </c>
      <c r="AV122" s="125">
        <v>2690</v>
      </c>
      <c r="AW122" s="125">
        <v>8970</v>
      </c>
      <c r="AX122" s="126"/>
      <c r="AY122" s="126"/>
      <c r="AZ122" s="126">
        <v>0</v>
      </c>
      <c r="BA122" s="126"/>
      <c r="BB122" s="125">
        <v>802</v>
      </c>
      <c r="BC122" s="125"/>
      <c r="BD122" s="125">
        <v>31211</v>
      </c>
      <c r="BE122" s="125">
        <v>74722</v>
      </c>
      <c r="BF122" s="125">
        <v>290</v>
      </c>
      <c r="BG122" s="125">
        <v>1035</v>
      </c>
      <c r="BH122" s="125">
        <v>1195</v>
      </c>
      <c r="BI122" s="125">
        <v>5563</v>
      </c>
      <c r="BJ122" s="125">
        <v>64</v>
      </c>
      <c r="BK122" s="125">
        <v>3017</v>
      </c>
      <c r="BL122" s="125"/>
      <c r="BM122" s="125">
        <v>400</v>
      </c>
      <c r="BN122" s="125">
        <v>41</v>
      </c>
      <c r="BO122" s="125">
        <v>0</v>
      </c>
      <c r="BP122" s="125">
        <v>12132</v>
      </c>
      <c r="BQ122" s="125">
        <v>15062</v>
      </c>
      <c r="BR122" s="125">
        <v>25</v>
      </c>
      <c r="BS122" s="125">
        <v>485</v>
      </c>
      <c r="BT122" s="125">
        <v>465</v>
      </c>
      <c r="BU122" s="125"/>
      <c r="BV122" s="125">
        <v>8</v>
      </c>
      <c r="BW122" s="125">
        <v>227</v>
      </c>
      <c r="BX122" s="125"/>
      <c r="BY122" s="125">
        <v>261</v>
      </c>
      <c r="BZ122" s="125">
        <v>0</v>
      </c>
      <c r="CA122" s="125">
        <v>0</v>
      </c>
      <c r="CB122" s="125">
        <v>12631</v>
      </c>
      <c r="CC122" s="125">
        <v>59189</v>
      </c>
      <c r="CD122" s="125">
        <v>84315</v>
      </c>
      <c r="CE122" s="125">
        <v>14433</v>
      </c>
      <c r="CF122" s="125">
        <v>0</v>
      </c>
      <c r="CG122" s="125">
        <v>0</v>
      </c>
      <c r="CH122" s="125">
        <v>67</v>
      </c>
      <c r="CI122" s="125">
        <v>92</v>
      </c>
      <c r="CJ122" s="125">
        <v>222</v>
      </c>
      <c r="CK122" s="125"/>
      <c r="CL122" s="125"/>
      <c r="CM122" s="125"/>
      <c r="CN122" s="125"/>
      <c r="CO122" s="125"/>
      <c r="CP122" s="125"/>
      <c r="CQ122" s="125"/>
      <c r="CR122" s="125"/>
      <c r="CS122" s="125"/>
      <c r="CT122" s="125"/>
      <c r="CU122" s="125"/>
      <c r="CV122" s="125"/>
      <c r="CW122" s="125"/>
      <c r="CX122" s="125"/>
      <c r="CY122" s="125" t="s">
        <v>370</v>
      </c>
      <c r="CZ122" s="125" t="s">
        <v>370</v>
      </c>
      <c r="DA122" s="125" t="s">
        <v>370</v>
      </c>
      <c r="DB122" s="125">
        <v>0</v>
      </c>
      <c r="DC122" s="125">
        <v>0</v>
      </c>
      <c r="DD122" s="125">
        <v>0</v>
      </c>
      <c r="DE122">
        <f t="shared" si="19"/>
        <v>500119</v>
      </c>
      <c r="DG122" s="1">
        <f t="shared" si="33"/>
        <v>315683</v>
      </c>
      <c r="DH122" s="1">
        <f t="shared" si="20"/>
        <v>182963</v>
      </c>
      <c r="DI122" s="127">
        <f t="shared" si="21"/>
        <v>498646</v>
      </c>
      <c r="DK122" s="1">
        <f t="shared" si="22"/>
        <v>58587</v>
      </c>
      <c r="DL122" s="1">
        <f t="shared" si="23"/>
        <v>94024</v>
      </c>
      <c r="DM122" s="1">
        <f t="shared" si="24"/>
        <v>13610</v>
      </c>
      <c r="DN122" s="1">
        <f t="shared" si="25"/>
        <v>16708</v>
      </c>
      <c r="DO122" s="1">
        <f t="shared" si="26"/>
        <v>249057</v>
      </c>
      <c r="DP122" s="1">
        <f t="shared" si="27"/>
        <v>45263</v>
      </c>
      <c r="DQ122" s="1">
        <f t="shared" si="34"/>
        <v>0</v>
      </c>
      <c r="DR122" s="1">
        <f t="shared" si="28"/>
        <v>12598</v>
      </c>
      <c r="DS122" s="1">
        <f t="shared" si="29"/>
        <v>0</v>
      </c>
      <c r="DT122" s="1">
        <f t="shared" si="30"/>
        <v>9098</v>
      </c>
      <c r="DU122" s="1"/>
      <c r="DV122" s="1"/>
      <c r="DW122" s="1"/>
      <c r="DX122" s="1">
        <f t="shared" si="35"/>
        <v>498945</v>
      </c>
      <c r="DZ122" s="1">
        <f t="shared" si="36"/>
        <v>0</v>
      </c>
      <c r="EA122" s="1">
        <f t="shared" si="31"/>
        <v>0</v>
      </c>
      <c r="EC122" s="1">
        <f t="shared" si="37"/>
        <v>498945</v>
      </c>
      <c r="ED122" s="1">
        <f t="shared" si="32"/>
        <v>-1174</v>
      </c>
      <c r="EE122" s="1"/>
    </row>
    <row r="123" spans="1:135" x14ac:dyDescent="0.25">
      <c r="A123" s="124">
        <v>35947</v>
      </c>
      <c r="B123" s="125">
        <v>0</v>
      </c>
      <c r="C123" s="125">
        <v>0</v>
      </c>
      <c r="D123" s="125">
        <v>0</v>
      </c>
      <c r="E123" s="125" t="s">
        <v>370</v>
      </c>
      <c r="F123" s="125" t="s">
        <v>370</v>
      </c>
      <c r="G123" s="125">
        <v>0</v>
      </c>
      <c r="H123" s="125">
        <v>0</v>
      </c>
      <c r="I123" s="125">
        <v>0</v>
      </c>
      <c r="J123" s="125">
        <v>0</v>
      </c>
      <c r="K123" s="125"/>
      <c r="L123" s="125">
        <v>32883</v>
      </c>
      <c r="M123" s="125">
        <v>3126</v>
      </c>
      <c r="N123" s="125"/>
      <c r="O123" s="125">
        <v>3532</v>
      </c>
      <c r="P123" s="125">
        <v>6165</v>
      </c>
      <c r="Q123" s="125">
        <v>1235</v>
      </c>
      <c r="R123" s="125">
        <v>9355</v>
      </c>
      <c r="S123" s="125">
        <v>13610</v>
      </c>
      <c r="T123" s="125"/>
      <c r="U123" s="125"/>
      <c r="V123" s="125">
        <v>2291</v>
      </c>
      <c r="W123" s="125">
        <v>0</v>
      </c>
      <c r="X123" s="125">
        <v>703</v>
      </c>
      <c r="Y123" s="125">
        <v>36</v>
      </c>
      <c r="Z123" s="126"/>
      <c r="AA123" s="125">
        <v>22</v>
      </c>
      <c r="AB123" s="125">
        <v>0</v>
      </c>
      <c r="AC123" s="125">
        <v>14</v>
      </c>
      <c r="AD123" s="125">
        <v>29</v>
      </c>
      <c r="AE123" s="125">
        <v>34</v>
      </c>
      <c r="AF123" s="125">
        <v>59</v>
      </c>
      <c r="AG123" s="125"/>
      <c r="AH123" s="125"/>
      <c r="AI123" s="125">
        <v>17</v>
      </c>
      <c r="AJ123" s="125">
        <v>0</v>
      </c>
      <c r="AK123" s="125">
        <v>81192</v>
      </c>
      <c r="AL123" s="125">
        <v>3491</v>
      </c>
      <c r="AM123" s="125">
        <v>7649</v>
      </c>
      <c r="AN123" s="125">
        <v>20</v>
      </c>
      <c r="AO123" s="125">
        <v>6</v>
      </c>
      <c r="AP123" s="125">
        <v>10</v>
      </c>
      <c r="AQ123" s="125">
        <v>10</v>
      </c>
      <c r="AR123" s="125">
        <v>1731</v>
      </c>
      <c r="AS123" s="125" t="s">
        <v>370</v>
      </c>
      <c r="AT123" s="125">
        <v>1704</v>
      </c>
      <c r="AU123" s="125">
        <v>1569</v>
      </c>
      <c r="AV123" s="125">
        <v>2693</v>
      </c>
      <c r="AW123" s="125">
        <v>8974</v>
      </c>
      <c r="AX123" s="126"/>
      <c r="AY123" s="126"/>
      <c r="AZ123" s="126">
        <v>0</v>
      </c>
      <c r="BA123" s="126"/>
      <c r="BB123" s="125">
        <v>803</v>
      </c>
      <c r="BC123" s="125"/>
      <c r="BD123" s="125">
        <v>30683</v>
      </c>
      <c r="BE123" s="125">
        <v>73538</v>
      </c>
      <c r="BF123" s="125">
        <v>281</v>
      </c>
      <c r="BG123" s="125">
        <v>1010</v>
      </c>
      <c r="BH123" s="125">
        <v>1177</v>
      </c>
      <c r="BI123" s="125">
        <v>5588</v>
      </c>
      <c r="BJ123" s="125">
        <v>72</v>
      </c>
      <c r="BK123" s="125">
        <v>3001</v>
      </c>
      <c r="BL123" s="125"/>
      <c r="BM123" s="125">
        <v>435</v>
      </c>
      <c r="BN123" s="125">
        <v>34</v>
      </c>
      <c r="BO123" s="125">
        <v>0</v>
      </c>
      <c r="BP123" s="125">
        <v>12346</v>
      </c>
      <c r="BQ123" s="125">
        <v>15303</v>
      </c>
      <c r="BR123" s="125">
        <v>23</v>
      </c>
      <c r="BS123" s="125">
        <v>456</v>
      </c>
      <c r="BT123" s="125">
        <v>439</v>
      </c>
      <c r="BU123" s="125"/>
      <c r="BV123" s="125">
        <v>8</v>
      </c>
      <c r="BW123" s="125">
        <v>228</v>
      </c>
      <c r="BX123" s="125"/>
      <c r="BY123" s="125">
        <v>249</v>
      </c>
      <c r="BZ123" s="125">
        <v>0</v>
      </c>
      <c r="CA123" s="125">
        <v>0</v>
      </c>
      <c r="CB123" s="125">
        <v>12535</v>
      </c>
      <c r="CC123" s="125">
        <v>58900</v>
      </c>
      <c r="CD123" s="125">
        <v>84669</v>
      </c>
      <c r="CE123" s="125">
        <v>14324</v>
      </c>
      <c r="CF123" s="125">
        <v>0</v>
      </c>
      <c r="CG123" s="125">
        <v>0</v>
      </c>
      <c r="CH123" s="125">
        <v>63</v>
      </c>
      <c r="CI123" s="125">
        <v>99</v>
      </c>
      <c r="CJ123" s="125">
        <v>222</v>
      </c>
      <c r="CK123" s="125"/>
      <c r="CL123" s="125"/>
      <c r="CM123" s="125"/>
      <c r="CN123" s="125"/>
      <c r="CO123" s="125"/>
      <c r="CP123" s="125"/>
      <c r="CQ123" s="125"/>
      <c r="CR123" s="125"/>
      <c r="CS123" s="125"/>
      <c r="CT123" s="125"/>
      <c r="CU123" s="125"/>
      <c r="CV123" s="125"/>
      <c r="CW123" s="125"/>
      <c r="CX123" s="125"/>
      <c r="CY123" s="125" t="s">
        <v>370</v>
      </c>
      <c r="CZ123" s="125" t="s">
        <v>370</v>
      </c>
      <c r="DA123" s="125" t="s">
        <v>370</v>
      </c>
      <c r="DB123" s="125">
        <v>0</v>
      </c>
      <c r="DC123" s="125">
        <v>0</v>
      </c>
      <c r="DD123" s="125">
        <v>0</v>
      </c>
      <c r="DE123">
        <f t="shared" si="19"/>
        <v>498646</v>
      </c>
      <c r="DG123" s="1">
        <f t="shared" si="33"/>
        <v>313188</v>
      </c>
      <c r="DH123" s="1">
        <f t="shared" si="20"/>
        <v>182973</v>
      </c>
      <c r="DI123" s="127">
        <f t="shared" si="21"/>
        <v>496161</v>
      </c>
      <c r="DK123" s="1">
        <f t="shared" si="22"/>
        <v>58583</v>
      </c>
      <c r="DL123" s="1">
        <f t="shared" si="23"/>
        <v>94058</v>
      </c>
      <c r="DM123" s="1">
        <f t="shared" si="24"/>
        <v>13643</v>
      </c>
      <c r="DN123" s="1">
        <f t="shared" si="25"/>
        <v>16713</v>
      </c>
      <c r="DO123" s="1">
        <f t="shared" si="26"/>
        <v>247048</v>
      </c>
      <c r="DP123" s="1">
        <f t="shared" si="27"/>
        <v>44930</v>
      </c>
      <c r="DQ123" s="1">
        <f t="shared" si="34"/>
        <v>0</v>
      </c>
      <c r="DR123" s="1">
        <f t="shared" si="28"/>
        <v>12665</v>
      </c>
      <c r="DS123" s="1">
        <f t="shared" si="29"/>
        <v>0</v>
      </c>
      <c r="DT123" s="1">
        <f t="shared" si="30"/>
        <v>9148</v>
      </c>
      <c r="DU123" s="1"/>
      <c r="DV123" s="1"/>
      <c r="DW123" s="1"/>
      <c r="DX123" s="1">
        <f t="shared" si="35"/>
        <v>496788</v>
      </c>
      <c r="DZ123" s="1">
        <f t="shared" si="36"/>
        <v>0</v>
      </c>
      <c r="EA123" s="1">
        <f t="shared" si="31"/>
        <v>0</v>
      </c>
      <c r="EC123" s="1">
        <f t="shared" si="37"/>
        <v>496788</v>
      </c>
      <c r="ED123" s="1">
        <f t="shared" si="32"/>
        <v>-1858</v>
      </c>
      <c r="EE123" s="1"/>
    </row>
    <row r="124" spans="1:135" x14ac:dyDescent="0.25">
      <c r="A124" s="124">
        <v>35977</v>
      </c>
      <c r="B124" s="125">
        <v>0</v>
      </c>
      <c r="C124" s="125">
        <v>0</v>
      </c>
      <c r="D124" s="125">
        <v>0</v>
      </c>
      <c r="E124" s="125" t="s">
        <v>370</v>
      </c>
      <c r="F124" s="125" t="s">
        <v>370</v>
      </c>
      <c r="G124" s="125">
        <v>0</v>
      </c>
      <c r="H124" s="125">
        <v>0</v>
      </c>
      <c r="I124" s="125">
        <v>0</v>
      </c>
      <c r="J124" s="125">
        <v>0</v>
      </c>
      <c r="K124" s="125"/>
      <c r="L124" s="125">
        <v>32857</v>
      </c>
      <c r="M124" s="125">
        <v>3108</v>
      </c>
      <c r="N124" s="125"/>
      <c r="O124" s="125">
        <v>3482</v>
      </c>
      <c r="P124" s="125">
        <v>6255</v>
      </c>
      <c r="Q124" s="125">
        <v>1213</v>
      </c>
      <c r="R124" s="125">
        <v>9398</v>
      </c>
      <c r="S124" s="125">
        <v>13643</v>
      </c>
      <c r="T124" s="125"/>
      <c r="U124" s="125"/>
      <c r="V124" s="125">
        <v>2270</v>
      </c>
      <c r="W124" s="125">
        <v>0</v>
      </c>
      <c r="X124" s="125">
        <v>698</v>
      </c>
      <c r="Y124" s="125">
        <v>37</v>
      </c>
      <c r="Z124" s="126"/>
      <c r="AA124" s="125">
        <v>25</v>
      </c>
      <c r="AB124" s="125">
        <v>0</v>
      </c>
      <c r="AC124" s="125">
        <v>13</v>
      </c>
      <c r="AD124" s="125">
        <v>27</v>
      </c>
      <c r="AE124" s="125">
        <v>33</v>
      </c>
      <c r="AF124" s="125">
        <v>57</v>
      </c>
      <c r="AG124" s="125"/>
      <c r="AH124" s="125"/>
      <c r="AI124" s="125">
        <v>15</v>
      </c>
      <c r="AJ124" s="125">
        <v>0</v>
      </c>
      <c r="AK124" s="125">
        <v>81152</v>
      </c>
      <c r="AL124" s="125">
        <v>3485</v>
      </c>
      <c r="AM124" s="125">
        <v>7674</v>
      </c>
      <c r="AN124" s="125">
        <v>21</v>
      </c>
      <c r="AO124" s="125">
        <v>7</v>
      </c>
      <c r="AP124" s="125">
        <v>13</v>
      </c>
      <c r="AQ124" s="125">
        <v>11</v>
      </c>
      <c r="AR124" s="125">
        <v>1716</v>
      </c>
      <c r="AS124" s="125" t="s">
        <v>370</v>
      </c>
      <c r="AT124" s="125">
        <v>1727</v>
      </c>
      <c r="AU124" s="125">
        <v>1566</v>
      </c>
      <c r="AV124" s="125">
        <v>2707</v>
      </c>
      <c r="AW124" s="125">
        <v>8951</v>
      </c>
      <c r="AX124" s="126"/>
      <c r="AY124" s="126"/>
      <c r="AZ124" s="126">
        <v>0</v>
      </c>
      <c r="BA124" s="126"/>
      <c r="BB124" s="125">
        <v>812</v>
      </c>
      <c r="BC124" s="125"/>
      <c r="BD124" s="125">
        <v>29874</v>
      </c>
      <c r="BE124" s="125">
        <v>71839</v>
      </c>
      <c r="BF124" s="125">
        <v>279</v>
      </c>
      <c r="BG124" s="125">
        <v>985</v>
      </c>
      <c r="BH124" s="125">
        <v>1159</v>
      </c>
      <c r="BI124" s="125">
        <v>5628</v>
      </c>
      <c r="BJ124" s="125">
        <v>65</v>
      </c>
      <c r="BK124" s="125">
        <v>3015</v>
      </c>
      <c r="BL124" s="125"/>
      <c r="BM124" s="125">
        <v>423</v>
      </c>
      <c r="BN124" s="125">
        <v>33</v>
      </c>
      <c r="BO124" s="125">
        <v>0</v>
      </c>
      <c r="BP124" s="125">
        <v>12592</v>
      </c>
      <c r="BQ124" s="125">
        <v>15447</v>
      </c>
      <c r="BR124" s="125">
        <v>22</v>
      </c>
      <c r="BS124" s="125">
        <v>453</v>
      </c>
      <c r="BT124" s="125">
        <v>428</v>
      </c>
      <c r="BU124" s="125"/>
      <c r="BV124" s="125">
        <v>6</v>
      </c>
      <c r="BW124" s="125">
        <v>226</v>
      </c>
      <c r="BX124" s="125"/>
      <c r="BY124" s="125">
        <v>244</v>
      </c>
      <c r="BZ124" s="125">
        <v>0</v>
      </c>
      <c r="CA124" s="125">
        <v>0</v>
      </c>
      <c r="CB124" s="125">
        <v>12602</v>
      </c>
      <c r="CC124" s="125">
        <v>58487</v>
      </c>
      <c r="CD124" s="125">
        <v>84705</v>
      </c>
      <c r="CE124" s="125">
        <v>14297</v>
      </c>
      <c r="CF124" s="125">
        <v>0</v>
      </c>
      <c r="CG124" s="125">
        <v>0</v>
      </c>
      <c r="CH124" s="125">
        <v>63</v>
      </c>
      <c r="CI124" s="125">
        <v>92</v>
      </c>
      <c r="CJ124" s="125">
        <v>224</v>
      </c>
      <c r="CK124" s="125"/>
      <c r="CL124" s="125"/>
      <c r="CM124" s="125"/>
      <c r="CN124" s="125"/>
      <c r="CO124" s="125"/>
      <c r="CP124" s="125"/>
      <c r="CQ124" s="125"/>
      <c r="CR124" s="125"/>
      <c r="CS124" s="125"/>
      <c r="CT124" s="125"/>
      <c r="CU124" s="125"/>
      <c r="CV124" s="125"/>
      <c r="CW124" s="125"/>
      <c r="CX124" s="125"/>
      <c r="CY124" s="125" t="s">
        <v>370</v>
      </c>
      <c r="CZ124" s="125" t="s">
        <v>370</v>
      </c>
      <c r="DA124" s="125" t="s">
        <v>370</v>
      </c>
      <c r="DB124" s="125">
        <v>0</v>
      </c>
      <c r="DC124" s="125">
        <v>0</v>
      </c>
      <c r="DD124" s="125">
        <v>0</v>
      </c>
      <c r="DE124">
        <f t="shared" si="19"/>
        <v>496161</v>
      </c>
      <c r="DG124" s="1">
        <f t="shared" si="33"/>
        <v>312403</v>
      </c>
      <c r="DH124" s="1">
        <f t="shared" si="20"/>
        <v>183471</v>
      </c>
      <c r="DI124" s="127">
        <f t="shared" si="21"/>
        <v>495874</v>
      </c>
      <c r="DK124" s="1">
        <f t="shared" si="22"/>
        <v>58635</v>
      </c>
      <c r="DL124" s="1">
        <f t="shared" si="23"/>
        <v>94034</v>
      </c>
      <c r="DM124" s="1">
        <f t="shared" si="24"/>
        <v>13602</v>
      </c>
      <c r="DN124" s="1">
        <f t="shared" si="25"/>
        <v>16872</v>
      </c>
      <c r="DO124" s="1">
        <f t="shared" si="26"/>
        <v>246148</v>
      </c>
      <c r="DP124" s="1">
        <f t="shared" si="27"/>
        <v>44327</v>
      </c>
      <c r="DQ124" s="1">
        <f t="shared" si="34"/>
        <v>0</v>
      </c>
      <c r="DR124" s="1">
        <f t="shared" si="28"/>
        <v>12770</v>
      </c>
      <c r="DS124" s="1">
        <f t="shared" si="29"/>
        <v>0</v>
      </c>
      <c r="DT124" s="1">
        <f t="shared" si="30"/>
        <v>9248</v>
      </c>
      <c r="DU124" s="1"/>
      <c r="DV124" s="1"/>
      <c r="DW124" s="1"/>
      <c r="DX124" s="1">
        <f t="shared" si="35"/>
        <v>495636</v>
      </c>
      <c r="DZ124" s="1">
        <f t="shared" si="36"/>
        <v>0</v>
      </c>
      <c r="EA124" s="1">
        <f t="shared" si="31"/>
        <v>0</v>
      </c>
      <c r="EC124" s="1">
        <f t="shared" si="37"/>
        <v>495636</v>
      </c>
      <c r="ED124" s="1">
        <f t="shared" si="32"/>
        <v>-525</v>
      </c>
      <c r="EE124" s="1"/>
    </row>
    <row r="125" spans="1:135" x14ac:dyDescent="0.25">
      <c r="A125" s="124">
        <v>36008</v>
      </c>
      <c r="B125" s="125">
        <v>0</v>
      </c>
      <c r="C125" s="125">
        <v>0</v>
      </c>
      <c r="D125" s="125">
        <v>0</v>
      </c>
      <c r="E125" s="125" t="s">
        <v>370</v>
      </c>
      <c r="F125" s="125" t="s">
        <v>370</v>
      </c>
      <c r="G125" s="125">
        <v>0</v>
      </c>
      <c r="H125" s="125">
        <v>0</v>
      </c>
      <c r="I125" s="125">
        <v>0</v>
      </c>
      <c r="J125" s="125">
        <v>0</v>
      </c>
      <c r="K125" s="125"/>
      <c r="L125" s="125">
        <v>32797</v>
      </c>
      <c r="M125" s="125">
        <v>3142</v>
      </c>
      <c r="N125" s="125"/>
      <c r="O125" s="125">
        <v>3451</v>
      </c>
      <c r="P125" s="125">
        <v>6342</v>
      </c>
      <c r="Q125" s="125">
        <v>1181</v>
      </c>
      <c r="R125" s="125">
        <v>9496</v>
      </c>
      <c r="S125" s="125">
        <v>13602</v>
      </c>
      <c r="T125" s="125"/>
      <c r="U125" s="125"/>
      <c r="V125" s="125">
        <v>2226</v>
      </c>
      <c r="W125" s="125">
        <v>0</v>
      </c>
      <c r="X125" s="125">
        <v>689</v>
      </c>
      <c r="Y125" s="125">
        <v>40</v>
      </c>
      <c r="Z125" s="126"/>
      <c r="AA125" s="125">
        <v>23</v>
      </c>
      <c r="AB125" s="125">
        <v>0</v>
      </c>
      <c r="AC125" s="125">
        <v>15</v>
      </c>
      <c r="AD125" s="125">
        <v>29</v>
      </c>
      <c r="AE125" s="125">
        <v>33</v>
      </c>
      <c r="AF125" s="125">
        <v>57</v>
      </c>
      <c r="AG125" s="125"/>
      <c r="AH125" s="125"/>
      <c r="AI125" s="125">
        <v>16</v>
      </c>
      <c r="AJ125" s="125">
        <v>0</v>
      </c>
      <c r="AK125" s="125">
        <v>81388</v>
      </c>
      <c r="AL125" s="125">
        <v>3484</v>
      </c>
      <c r="AM125" s="125">
        <v>7752</v>
      </c>
      <c r="AN125" s="125">
        <v>28</v>
      </c>
      <c r="AO125" s="125">
        <v>6</v>
      </c>
      <c r="AP125" s="125">
        <v>17</v>
      </c>
      <c r="AQ125" s="125">
        <v>11</v>
      </c>
      <c r="AR125" s="125">
        <v>1766</v>
      </c>
      <c r="AS125" s="125" t="s">
        <v>370</v>
      </c>
      <c r="AT125" s="125">
        <v>1764</v>
      </c>
      <c r="AU125" s="125">
        <v>1578</v>
      </c>
      <c r="AV125" s="125">
        <v>2701</v>
      </c>
      <c r="AW125" s="125">
        <v>9029</v>
      </c>
      <c r="AX125" s="126"/>
      <c r="AY125" s="126"/>
      <c r="AZ125" s="126">
        <v>0</v>
      </c>
      <c r="BA125" s="126"/>
      <c r="BB125" s="125">
        <v>808</v>
      </c>
      <c r="BC125" s="125"/>
      <c r="BD125" s="125">
        <v>29532</v>
      </c>
      <c r="BE125" s="125">
        <v>70997</v>
      </c>
      <c r="BF125" s="125">
        <v>285</v>
      </c>
      <c r="BG125" s="125">
        <v>976</v>
      </c>
      <c r="BH125" s="125">
        <v>1156</v>
      </c>
      <c r="BI125" s="125">
        <v>5686</v>
      </c>
      <c r="BJ125" s="125">
        <v>56</v>
      </c>
      <c r="BK125" s="125">
        <v>3042</v>
      </c>
      <c r="BL125" s="125"/>
      <c r="BM125" s="125">
        <v>454</v>
      </c>
      <c r="BN125" s="125">
        <v>31</v>
      </c>
      <c r="BO125" s="125">
        <v>0</v>
      </c>
      <c r="BP125" s="125">
        <v>12805</v>
      </c>
      <c r="BQ125" s="125">
        <v>15780</v>
      </c>
      <c r="BR125" s="125">
        <v>23</v>
      </c>
      <c r="BS125" s="125">
        <v>470</v>
      </c>
      <c r="BT125" s="125">
        <v>466</v>
      </c>
      <c r="BU125" s="125"/>
      <c r="BV125" s="125">
        <v>6</v>
      </c>
      <c r="BW125" s="125">
        <v>235</v>
      </c>
      <c r="BX125" s="125"/>
      <c r="BY125" s="125">
        <v>232</v>
      </c>
      <c r="BZ125" s="125">
        <v>0</v>
      </c>
      <c r="CA125" s="125">
        <v>0</v>
      </c>
      <c r="CB125" s="125">
        <v>12699</v>
      </c>
      <c r="CC125" s="125">
        <v>58236</v>
      </c>
      <c r="CD125" s="125">
        <v>84424</v>
      </c>
      <c r="CE125" s="125">
        <v>14427</v>
      </c>
      <c r="CF125" s="125">
        <v>0</v>
      </c>
      <c r="CG125" s="125">
        <v>0</v>
      </c>
      <c r="CH125" s="125">
        <v>71</v>
      </c>
      <c r="CI125" s="125">
        <v>97</v>
      </c>
      <c r="CJ125" s="125">
        <v>217</v>
      </c>
      <c r="CK125" s="125"/>
      <c r="CL125" s="125"/>
      <c r="CM125" s="125"/>
      <c r="CN125" s="125"/>
      <c r="CO125" s="125"/>
      <c r="CP125" s="125"/>
      <c r="CQ125" s="125"/>
      <c r="CR125" s="125"/>
      <c r="CS125" s="125"/>
      <c r="CT125" s="125"/>
      <c r="CU125" s="125"/>
      <c r="CV125" s="125"/>
      <c r="CW125" s="125"/>
      <c r="CX125" s="125"/>
      <c r="CY125" s="125" t="s">
        <v>370</v>
      </c>
      <c r="CZ125" s="125" t="s">
        <v>370</v>
      </c>
      <c r="DA125" s="125" t="s">
        <v>370</v>
      </c>
      <c r="DB125" s="125">
        <v>0</v>
      </c>
      <c r="DC125" s="125">
        <v>0</v>
      </c>
      <c r="DD125" s="125">
        <v>0</v>
      </c>
      <c r="DE125">
        <f t="shared" si="19"/>
        <v>495874</v>
      </c>
      <c r="DG125" s="1">
        <f t="shared" si="33"/>
        <v>309695</v>
      </c>
      <c r="DH125" s="1">
        <f t="shared" si="20"/>
        <v>184507</v>
      </c>
      <c r="DI125" s="127">
        <f t="shared" si="21"/>
        <v>494202</v>
      </c>
      <c r="DK125" s="1">
        <f t="shared" si="22"/>
        <v>58715</v>
      </c>
      <c r="DL125" s="1">
        <f t="shared" si="23"/>
        <v>94362</v>
      </c>
      <c r="DM125" s="1">
        <f t="shared" si="24"/>
        <v>13602</v>
      </c>
      <c r="DN125" s="1">
        <f t="shared" si="25"/>
        <v>17853</v>
      </c>
      <c r="DO125" s="1">
        <f t="shared" si="26"/>
        <v>244198</v>
      </c>
      <c r="DP125" s="1">
        <f t="shared" si="27"/>
        <v>44237</v>
      </c>
      <c r="DQ125" s="1">
        <f t="shared" si="34"/>
        <v>0</v>
      </c>
      <c r="DR125" s="1">
        <f t="shared" si="28"/>
        <v>12649</v>
      </c>
      <c r="DS125" s="1">
        <f t="shared" si="29"/>
        <v>0</v>
      </c>
      <c r="DT125" s="1">
        <f t="shared" si="30"/>
        <v>9245</v>
      </c>
      <c r="DU125" s="1"/>
      <c r="DV125" s="1"/>
      <c r="DW125" s="1"/>
      <c r="DX125" s="1">
        <f t="shared" si="35"/>
        <v>494861</v>
      </c>
      <c r="DZ125" s="1">
        <f t="shared" si="36"/>
        <v>0</v>
      </c>
      <c r="EA125" s="1">
        <f t="shared" si="31"/>
        <v>0</v>
      </c>
      <c r="EC125" s="1">
        <f t="shared" si="37"/>
        <v>494861</v>
      </c>
      <c r="ED125" s="1">
        <f t="shared" si="32"/>
        <v>-1013</v>
      </c>
      <c r="EE125" s="1"/>
    </row>
    <row r="126" spans="1:135" x14ac:dyDescent="0.25">
      <c r="A126" s="124">
        <v>36039</v>
      </c>
      <c r="B126" s="125">
        <v>0</v>
      </c>
      <c r="C126" s="125">
        <v>0</v>
      </c>
      <c r="D126" s="125">
        <v>0</v>
      </c>
      <c r="E126" s="125" t="s">
        <v>370</v>
      </c>
      <c r="F126" s="125" t="s">
        <v>370</v>
      </c>
      <c r="G126" s="125">
        <v>0</v>
      </c>
      <c r="H126" s="125">
        <v>0</v>
      </c>
      <c r="I126" s="125">
        <v>0</v>
      </c>
      <c r="J126" s="125">
        <v>0</v>
      </c>
      <c r="K126" s="125"/>
      <c r="L126" s="125">
        <v>32771</v>
      </c>
      <c r="M126" s="125">
        <v>3167</v>
      </c>
      <c r="N126" s="125"/>
      <c r="O126" s="125">
        <v>3457</v>
      </c>
      <c r="P126" s="125">
        <v>6428</v>
      </c>
      <c r="Q126" s="125">
        <v>1146</v>
      </c>
      <c r="R126" s="125">
        <v>9558</v>
      </c>
      <c r="S126" s="125">
        <v>13602</v>
      </c>
      <c r="T126" s="125"/>
      <c r="U126" s="125"/>
      <c r="V126" s="125">
        <v>2188</v>
      </c>
      <c r="W126" s="125">
        <v>0</v>
      </c>
      <c r="X126" s="125">
        <v>683</v>
      </c>
      <c r="Y126" s="125">
        <v>38</v>
      </c>
      <c r="Z126" s="126"/>
      <c r="AA126" s="125">
        <v>23</v>
      </c>
      <c r="AB126" s="125">
        <v>0</v>
      </c>
      <c r="AC126" s="125">
        <v>14</v>
      </c>
      <c r="AD126" s="125">
        <v>29</v>
      </c>
      <c r="AE126" s="125">
        <v>34</v>
      </c>
      <c r="AF126" s="125">
        <v>57</v>
      </c>
      <c r="AG126" s="125"/>
      <c r="AH126" s="125"/>
      <c r="AI126" s="125">
        <v>15</v>
      </c>
      <c r="AJ126" s="125">
        <v>0</v>
      </c>
      <c r="AK126" s="125">
        <v>81385</v>
      </c>
      <c r="AL126" s="125">
        <v>3493</v>
      </c>
      <c r="AM126" s="125">
        <v>7807</v>
      </c>
      <c r="AN126" s="125">
        <v>29</v>
      </c>
      <c r="AO126" s="125">
        <v>7</v>
      </c>
      <c r="AP126" s="125">
        <v>590</v>
      </c>
      <c r="AQ126" s="125">
        <v>352</v>
      </c>
      <c r="AR126" s="125">
        <v>1712</v>
      </c>
      <c r="AS126" s="125" t="s">
        <v>370</v>
      </c>
      <c r="AT126" s="125">
        <v>1778</v>
      </c>
      <c r="AU126" s="125">
        <v>1594</v>
      </c>
      <c r="AV126" s="125">
        <v>2705</v>
      </c>
      <c r="AW126" s="125">
        <v>9040</v>
      </c>
      <c r="AX126" s="126"/>
      <c r="AY126" s="126"/>
      <c r="AZ126" s="126">
        <v>0</v>
      </c>
      <c r="BA126" s="126"/>
      <c r="BB126" s="125">
        <v>805</v>
      </c>
      <c r="BC126" s="125"/>
      <c r="BD126" s="125">
        <v>28921</v>
      </c>
      <c r="BE126" s="125">
        <v>69555</v>
      </c>
      <c r="BF126" s="125">
        <v>290</v>
      </c>
      <c r="BG126" s="125">
        <v>966</v>
      </c>
      <c r="BH126" s="125">
        <v>1143</v>
      </c>
      <c r="BI126" s="125">
        <v>5727</v>
      </c>
      <c r="BJ126" s="125">
        <v>46</v>
      </c>
      <c r="BK126" s="125">
        <v>3008</v>
      </c>
      <c r="BL126" s="125"/>
      <c r="BM126" s="125">
        <v>458</v>
      </c>
      <c r="BN126" s="125">
        <v>30</v>
      </c>
      <c r="BO126" s="125">
        <v>0</v>
      </c>
      <c r="BP126" s="125">
        <v>12782</v>
      </c>
      <c r="BQ126" s="125">
        <v>15826</v>
      </c>
      <c r="BR126" s="125">
        <v>21</v>
      </c>
      <c r="BS126" s="125">
        <v>476</v>
      </c>
      <c r="BT126" s="125">
        <v>471</v>
      </c>
      <c r="BU126" s="125"/>
      <c r="BV126" s="125">
        <v>7</v>
      </c>
      <c r="BW126" s="125">
        <v>220</v>
      </c>
      <c r="BX126" s="125"/>
      <c r="BY126" s="125">
        <v>224</v>
      </c>
      <c r="BZ126" s="125">
        <v>0</v>
      </c>
      <c r="CA126" s="125">
        <v>0</v>
      </c>
      <c r="CB126" s="125">
        <v>12579</v>
      </c>
      <c r="CC126" s="125">
        <v>57982</v>
      </c>
      <c r="CD126" s="125">
        <v>84189</v>
      </c>
      <c r="CE126" s="125">
        <v>14397</v>
      </c>
      <c r="CF126" s="125">
        <v>0</v>
      </c>
      <c r="CG126" s="125">
        <v>0</v>
      </c>
      <c r="CH126" s="125">
        <v>70</v>
      </c>
      <c r="CI126" s="125">
        <v>97</v>
      </c>
      <c r="CJ126" s="125">
        <v>210</v>
      </c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 t="s">
        <v>370</v>
      </c>
      <c r="CZ126" s="125" t="s">
        <v>370</v>
      </c>
      <c r="DA126" s="125" t="s">
        <v>370</v>
      </c>
      <c r="DB126" s="125">
        <v>0</v>
      </c>
      <c r="DC126" s="125">
        <v>0</v>
      </c>
      <c r="DD126" s="125">
        <v>0</v>
      </c>
      <c r="DE126">
        <f t="shared" si="19"/>
        <v>494202</v>
      </c>
      <c r="DG126" s="1">
        <f t="shared" si="33"/>
        <v>306929</v>
      </c>
      <c r="DH126" s="1">
        <f t="shared" si="20"/>
        <v>184828</v>
      </c>
      <c r="DI126" s="127">
        <f t="shared" si="21"/>
        <v>491757</v>
      </c>
      <c r="DK126" s="1">
        <f t="shared" si="22"/>
        <v>58770</v>
      </c>
      <c r="DL126" s="1">
        <f t="shared" si="23"/>
        <v>94337</v>
      </c>
      <c r="DM126" s="1">
        <f t="shared" si="24"/>
        <v>13620</v>
      </c>
      <c r="DN126" s="1">
        <f t="shared" si="25"/>
        <v>18091</v>
      </c>
      <c r="DO126" s="1">
        <f t="shared" si="26"/>
        <v>242001</v>
      </c>
      <c r="DP126" s="1">
        <f t="shared" si="27"/>
        <v>43603</v>
      </c>
      <c r="DQ126" s="1">
        <f t="shared" si="34"/>
        <v>0</v>
      </c>
      <c r="DR126" s="1">
        <f t="shared" si="28"/>
        <v>12569</v>
      </c>
      <c r="DS126" s="1">
        <f t="shared" si="29"/>
        <v>0</v>
      </c>
      <c r="DT126" s="1">
        <f t="shared" si="30"/>
        <v>9295</v>
      </c>
      <c r="DU126" s="1"/>
      <c r="DV126" s="1"/>
      <c r="DW126" s="1"/>
      <c r="DX126" s="1">
        <f t="shared" si="35"/>
        <v>492286</v>
      </c>
      <c r="DZ126" s="1">
        <f t="shared" si="36"/>
        <v>0</v>
      </c>
      <c r="EA126" s="1">
        <f t="shared" si="31"/>
        <v>0</v>
      </c>
      <c r="EC126" s="1">
        <f t="shared" si="37"/>
        <v>492286</v>
      </c>
      <c r="ED126" s="1">
        <f t="shared" si="32"/>
        <v>-1916</v>
      </c>
      <c r="EE126" s="1"/>
    </row>
    <row r="127" spans="1:135" x14ac:dyDescent="0.25">
      <c r="A127" s="124">
        <v>36069</v>
      </c>
      <c r="B127" s="125">
        <v>0</v>
      </c>
      <c r="C127" s="125">
        <v>0</v>
      </c>
      <c r="D127" s="125">
        <v>0</v>
      </c>
      <c r="E127" s="125" t="s">
        <v>370</v>
      </c>
      <c r="F127" s="125" t="s">
        <v>370</v>
      </c>
      <c r="G127" s="125">
        <v>0</v>
      </c>
      <c r="H127" s="125">
        <v>0</v>
      </c>
      <c r="I127" s="125">
        <v>0</v>
      </c>
      <c r="J127" s="125">
        <v>0</v>
      </c>
      <c r="K127" s="125"/>
      <c r="L127" s="125">
        <v>32700</v>
      </c>
      <c r="M127" s="125">
        <v>3207</v>
      </c>
      <c r="N127" s="125"/>
      <c r="O127" s="125">
        <v>3471</v>
      </c>
      <c r="P127" s="125">
        <v>6523</v>
      </c>
      <c r="Q127" s="125">
        <v>1135</v>
      </c>
      <c r="R127" s="125">
        <v>9587</v>
      </c>
      <c r="S127" s="125">
        <v>13620</v>
      </c>
      <c r="T127" s="125"/>
      <c r="U127" s="125"/>
      <c r="V127" s="125">
        <v>2147</v>
      </c>
      <c r="W127" s="125">
        <v>0</v>
      </c>
      <c r="X127" s="125">
        <v>670</v>
      </c>
      <c r="Y127" s="125">
        <v>37</v>
      </c>
      <c r="Z127" s="126"/>
      <c r="AA127" s="125">
        <v>24</v>
      </c>
      <c r="AB127" s="125">
        <v>0</v>
      </c>
      <c r="AC127" s="125">
        <v>14</v>
      </c>
      <c r="AD127" s="125">
        <v>26</v>
      </c>
      <c r="AE127" s="125">
        <v>33</v>
      </c>
      <c r="AF127" s="125">
        <v>59</v>
      </c>
      <c r="AG127" s="125"/>
      <c r="AH127" s="125"/>
      <c r="AI127" s="125">
        <v>18</v>
      </c>
      <c r="AJ127" s="125">
        <v>0</v>
      </c>
      <c r="AK127" s="125">
        <v>81258</v>
      </c>
      <c r="AL127" s="125">
        <v>3529</v>
      </c>
      <c r="AM127" s="125">
        <v>7874</v>
      </c>
      <c r="AN127" s="125">
        <v>27</v>
      </c>
      <c r="AO127" s="125">
        <v>6</v>
      </c>
      <c r="AP127" s="125">
        <v>651</v>
      </c>
      <c r="AQ127" s="125">
        <v>403</v>
      </c>
      <c r="AR127" s="125">
        <v>1772</v>
      </c>
      <c r="AS127" s="125" t="s">
        <v>370</v>
      </c>
      <c r="AT127" s="125">
        <v>1798</v>
      </c>
      <c r="AU127" s="125">
        <v>1604</v>
      </c>
      <c r="AV127" s="125">
        <v>2721</v>
      </c>
      <c r="AW127" s="125">
        <v>9098</v>
      </c>
      <c r="AX127" s="126"/>
      <c r="AY127" s="126"/>
      <c r="AZ127" s="126">
        <v>0</v>
      </c>
      <c r="BA127" s="126"/>
      <c r="BB127" s="125">
        <v>816</v>
      </c>
      <c r="BC127" s="125"/>
      <c r="BD127" s="125">
        <v>28392</v>
      </c>
      <c r="BE127" s="125">
        <v>68362</v>
      </c>
      <c r="BF127" s="125">
        <v>289</v>
      </c>
      <c r="BG127" s="125">
        <v>961</v>
      </c>
      <c r="BH127" s="125">
        <v>1134</v>
      </c>
      <c r="BI127" s="125">
        <v>5750</v>
      </c>
      <c r="BJ127" s="125">
        <v>53</v>
      </c>
      <c r="BK127" s="125">
        <v>3036</v>
      </c>
      <c r="BL127" s="125"/>
      <c r="BM127" s="125">
        <v>529</v>
      </c>
      <c r="BN127" s="125">
        <v>30</v>
      </c>
      <c r="BO127" s="125">
        <v>0</v>
      </c>
      <c r="BP127" s="125">
        <v>12728</v>
      </c>
      <c r="BQ127" s="125">
        <v>15516</v>
      </c>
      <c r="BR127" s="125">
        <v>23</v>
      </c>
      <c r="BS127" s="125">
        <v>454</v>
      </c>
      <c r="BT127" s="125">
        <v>465</v>
      </c>
      <c r="BU127" s="125"/>
      <c r="BV127" s="125">
        <v>7</v>
      </c>
      <c r="BW127" s="125">
        <v>220</v>
      </c>
      <c r="BX127" s="125"/>
      <c r="BY127" s="125">
        <v>218</v>
      </c>
      <c r="BZ127" s="125">
        <v>0</v>
      </c>
      <c r="CA127" s="125">
        <v>0</v>
      </c>
      <c r="CB127" s="125">
        <v>12495</v>
      </c>
      <c r="CC127" s="125">
        <v>57731</v>
      </c>
      <c r="CD127" s="125">
        <v>83740</v>
      </c>
      <c r="CE127" s="125">
        <v>14424</v>
      </c>
      <c r="CF127" s="125">
        <v>0</v>
      </c>
      <c r="CG127" s="125">
        <v>0</v>
      </c>
      <c r="CH127" s="125">
        <v>74</v>
      </c>
      <c r="CI127" s="125">
        <v>93</v>
      </c>
      <c r="CJ127" s="125">
        <v>205</v>
      </c>
      <c r="CK127" s="125"/>
      <c r="CL127" s="125"/>
      <c r="CM127" s="125"/>
      <c r="CN127" s="125"/>
      <c r="CO127" s="125"/>
      <c r="CP127" s="125"/>
      <c r="CQ127" s="125"/>
      <c r="CR127" s="125"/>
      <c r="CS127" s="125"/>
      <c r="CT127" s="125"/>
      <c r="CU127" s="125"/>
      <c r="CV127" s="125"/>
      <c r="CW127" s="125"/>
      <c r="CX127" s="125"/>
      <c r="CY127" s="125" t="s">
        <v>370</v>
      </c>
      <c r="CZ127" s="125" t="s">
        <v>370</v>
      </c>
      <c r="DA127" s="125" t="s">
        <v>370</v>
      </c>
      <c r="DB127" s="125">
        <v>0</v>
      </c>
      <c r="DC127" s="125">
        <v>0</v>
      </c>
      <c r="DD127" s="125">
        <v>0</v>
      </c>
      <c r="DE127">
        <f t="shared" si="19"/>
        <v>491757</v>
      </c>
      <c r="DG127" s="1">
        <f t="shared" si="33"/>
        <v>306725</v>
      </c>
      <c r="DH127" s="1">
        <f t="shared" si="20"/>
        <v>184912</v>
      </c>
      <c r="DI127" s="127">
        <f t="shared" si="21"/>
        <v>491637</v>
      </c>
      <c r="DK127" s="1">
        <f t="shared" si="22"/>
        <v>58670</v>
      </c>
      <c r="DL127" s="1">
        <f t="shared" si="23"/>
        <v>94347</v>
      </c>
      <c r="DM127" s="1">
        <f t="shared" si="24"/>
        <v>13620</v>
      </c>
      <c r="DN127" s="1">
        <f t="shared" si="25"/>
        <v>18346</v>
      </c>
      <c r="DO127" s="1">
        <f t="shared" si="26"/>
        <v>241745</v>
      </c>
      <c r="DP127" s="1">
        <f t="shared" si="27"/>
        <v>43064</v>
      </c>
      <c r="DQ127" s="1">
        <f t="shared" si="34"/>
        <v>0</v>
      </c>
      <c r="DR127" s="1">
        <f t="shared" si="28"/>
        <v>12565</v>
      </c>
      <c r="DS127" s="1">
        <f t="shared" si="29"/>
        <v>0</v>
      </c>
      <c r="DT127" s="1">
        <f t="shared" si="30"/>
        <v>9362</v>
      </c>
      <c r="DU127" s="1"/>
      <c r="DV127" s="1"/>
      <c r="DW127" s="1"/>
      <c r="DX127" s="1">
        <f t="shared" si="35"/>
        <v>491719</v>
      </c>
      <c r="DZ127" s="1">
        <f t="shared" si="36"/>
        <v>0</v>
      </c>
      <c r="EA127" s="1">
        <f t="shared" si="31"/>
        <v>0</v>
      </c>
      <c r="EC127" s="1">
        <f t="shared" si="37"/>
        <v>491719</v>
      </c>
      <c r="ED127" s="1">
        <f t="shared" si="32"/>
        <v>-38</v>
      </c>
      <c r="EE127" s="1"/>
    </row>
    <row r="128" spans="1:135" x14ac:dyDescent="0.25">
      <c r="A128" s="124">
        <v>36100</v>
      </c>
      <c r="B128" s="125">
        <v>0</v>
      </c>
      <c r="C128" s="125">
        <v>0</v>
      </c>
      <c r="D128" s="125">
        <v>0</v>
      </c>
      <c r="E128" s="125" t="s">
        <v>370</v>
      </c>
      <c r="F128" s="125" t="s">
        <v>370</v>
      </c>
      <c r="G128" s="125">
        <v>0</v>
      </c>
      <c r="H128" s="125">
        <v>0</v>
      </c>
      <c r="I128" s="125">
        <v>0</v>
      </c>
      <c r="J128" s="125">
        <v>12</v>
      </c>
      <c r="K128" s="125"/>
      <c r="L128" s="125">
        <v>32601</v>
      </c>
      <c r="M128" s="125">
        <v>3221</v>
      </c>
      <c r="N128" s="125"/>
      <c r="O128" s="125">
        <v>3416</v>
      </c>
      <c r="P128" s="125">
        <v>6532</v>
      </c>
      <c r="Q128" s="125">
        <v>1139</v>
      </c>
      <c r="R128" s="125">
        <v>9665</v>
      </c>
      <c r="S128" s="125">
        <v>13620</v>
      </c>
      <c r="T128" s="125"/>
      <c r="U128" s="125"/>
      <c r="V128" s="125">
        <v>2096</v>
      </c>
      <c r="W128" s="125">
        <v>0</v>
      </c>
      <c r="X128" s="125">
        <v>660</v>
      </c>
      <c r="Y128" s="125">
        <v>36</v>
      </c>
      <c r="Z128" s="126"/>
      <c r="AA128" s="125">
        <v>24</v>
      </c>
      <c r="AB128" s="125">
        <v>0</v>
      </c>
      <c r="AC128" s="125">
        <v>14</v>
      </c>
      <c r="AD128" s="125">
        <v>26</v>
      </c>
      <c r="AE128" s="125">
        <v>34</v>
      </c>
      <c r="AF128" s="125">
        <v>61</v>
      </c>
      <c r="AG128" s="125"/>
      <c r="AH128" s="125"/>
      <c r="AI128" s="125">
        <v>16</v>
      </c>
      <c r="AJ128" s="125">
        <v>0</v>
      </c>
      <c r="AK128" s="125">
        <v>81098</v>
      </c>
      <c r="AL128" s="125">
        <v>3535</v>
      </c>
      <c r="AM128" s="125">
        <v>7964</v>
      </c>
      <c r="AN128" s="125">
        <v>29</v>
      </c>
      <c r="AO128" s="125">
        <v>6</v>
      </c>
      <c r="AP128" s="125">
        <v>717</v>
      </c>
      <c r="AQ128" s="125">
        <v>474</v>
      </c>
      <c r="AR128" s="125">
        <v>1795</v>
      </c>
      <c r="AS128" s="125" t="s">
        <v>370</v>
      </c>
      <c r="AT128" s="125">
        <v>1820</v>
      </c>
      <c r="AU128" s="125">
        <v>1612</v>
      </c>
      <c r="AV128" s="125">
        <v>2745</v>
      </c>
      <c r="AW128" s="125">
        <v>9124</v>
      </c>
      <c r="AX128" s="126"/>
      <c r="AY128" s="126"/>
      <c r="AZ128" s="126">
        <v>0</v>
      </c>
      <c r="BA128" s="126"/>
      <c r="BB128" s="125">
        <v>832</v>
      </c>
      <c r="BC128" s="125"/>
      <c r="BD128" s="125">
        <v>28102</v>
      </c>
      <c r="BE128" s="125">
        <v>67534</v>
      </c>
      <c r="BF128" s="125">
        <v>297</v>
      </c>
      <c r="BG128" s="125">
        <v>968</v>
      </c>
      <c r="BH128" s="125">
        <v>1152</v>
      </c>
      <c r="BI128" s="125">
        <v>5795</v>
      </c>
      <c r="BJ128" s="125">
        <v>50</v>
      </c>
      <c r="BK128" s="125">
        <v>3052</v>
      </c>
      <c r="BL128" s="125"/>
      <c r="BM128" s="125">
        <v>593</v>
      </c>
      <c r="BN128" s="125">
        <v>30</v>
      </c>
      <c r="BO128" s="125">
        <v>0</v>
      </c>
      <c r="BP128" s="125">
        <v>12917</v>
      </c>
      <c r="BQ128" s="125">
        <v>15849</v>
      </c>
      <c r="BR128" s="125">
        <v>20</v>
      </c>
      <c r="BS128" s="125">
        <v>473</v>
      </c>
      <c r="BT128" s="125">
        <v>458</v>
      </c>
      <c r="BU128" s="125"/>
      <c r="BV128" s="125">
        <v>11</v>
      </c>
      <c r="BW128" s="125">
        <v>218</v>
      </c>
      <c r="BX128" s="125"/>
      <c r="BY128" s="125">
        <v>199</v>
      </c>
      <c r="BZ128" s="125">
        <v>0</v>
      </c>
      <c r="CA128" s="125">
        <v>0</v>
      </c>
      <c r="CB128" s="125">
        <v>12494</v>
      </c>
      <c r="CC128" s="125">
        <v>57809</v>
      </c>
      <c r="CD128" s="125">
        <v>83938</v>
      </c>
      <c r="CE128" s="125">
        <v>14420</v>
      </c>
      <c r="CF128" s="125">
        <v>0</v>
      </c>
      <c r="CG128" s="125">
        <v>0</v>
      </c>
      <c r="CH128" s="125">
        <v>71</v>
      </c>
      <c r="CI128" s="125">
        <v>87</v>
      </c>
      <c r="CJ128" s="125">
        <v>188</v>
      </c>
      <c r="CK128" s="125"/>
      <c r="CL128" s="125"/>
      <c r="CM128" s="125"/>
      <c r="CN128" s="125"/>
      <c r="CO128" s="125"/>
      <c r="CP128" s="125"/>
      <c r="CQ128" s="125"/>
      <c r="CR128" s="125"/>
      <c r="CS128" s="125"/>
      <c r="CT128" s="125"/>
      <c r="CU128" s="125"/>
      <c r="CV128" s="125"/>
      <c r="CW128" s="125"/>
      <c r="CX128" s="125"/>
      <c r="CY128" s="125" t="s">
        <v>370</v>
      </c>
      <c r="CZ128" s="125" t="s">
        <v>370</v>
      </c>
      <c r="DA128" s="125" t="s">
        <v>370</v>
      </c>
      <c r="DB128" s="125">
        <v>0</v>
      </c>
      <c r="DC128" s="125">
        <v>0</v>
      </c>
      <c r="DD128" s="125">
        <v>0</v>
      </c>
      <c r="DE128">
        <f t="shared" si="19"/>
        <v>491649</v>
      </c>
      <c r="DG128" s="1">
        <f t="shared" si="33"/>
        <v>306802</v>
      </c>
      <c r="DH128" s="1">
        <f t="shared" si="20"/>
        <v>185591</v>
      </c>
      <c r="DI128" s="127">
        <f t="shared" si="21"/>
        <v>492393</v>
      </c>
      <c r="DK128" s="1">
        <f t="shared" si="22"/>
        <v>58706</v>
      </c>
      <c r="DL128" s="1">
        <f t="shared" si="23"/>
        <v>94276</v>
      </c>
      <c r="DM128" s="1">
        <f t="shared" si="24"/>
        <v>13598</v>
      </c>
      <c r="DN128" s="1">
        <f t="shared" si="25"/>
        <v>18615</v>
      </c>
      <c r="DO128" s="1">
        <f t="shared" si="26"/>
        <v>242280</v>
      </c>
      <c r="DP128" s="1">
        <f t="shared" si="27"/>
        <v>43053</v>
      </c>
      <c r="DQ128" s="1">
        <f t="shared" si="34"/>
        <v>0</v>
      </c>
      <c r="DR128" s="1">
        <f t="shared" si="28"/>
        <v>12328</v>
      </c>
      <c r="DS128" s="1">
        <f t="shared" si="29"/>
        <v>0</v>
      </c>
      <c r="DT128" s="1">
        <f t="shared" si="30"/>
        <v>9349</v>
      </c>
      <c r="DU128" s="1"/>
      <c r="DV128" s="1"/>
      <c r="DW128" s="1"/>
      <c r="DX128" s="1">
        <f t="shared" si="35"/>
        <v>492205</v>
      </c>
      <c r="DZ128" s="1">
        <f t="shared" si="36"/>
        <v>0</v>
      </c>
      <c r="EA128" s="1">
        <f t="shared" si="31"/>
        <v>12</v>
      </c>
      <c r="EC128" s="1">
        <f t="shared" si="37"/>
        <v>492217</v>
      </c>
      <c r="ED128" s="1">
        <f t="shared" si="32"/>
        <v>568</v>
      </c>
      <c r="EE128" s="1"/>
    </row>
    <row r="129" spans="1:135" x14ac:dyDescent="0.25">
      <c r="A129" s="124">
        <v>36130</v>
      </c>
      <c r="B129" s="125">
        <v>0</v>
      </c>
      <c r="C129" s="125">
        <v>0</v>
      </c>
      <c r="D129" s="125">
        <v>0</v>
      </c>
      <c r="E129" s="125" t="s">
        <v>370</v>
      </c>
      <c r="F129" s="125" t="s">
        <v>370</v>
      </c>
      <c r="G129" s="125">
        <v>0</v>
      </c>
      <c r="H129" s="125">
        <v>0</v>
      </c>
      <c r="I129" s="125">
        <v>0</v>
      </c>
      <c r="J129" s="125">
        <v>651</v>
      </c>
      <c r="K129" s="125"/>
      <c r="L129" s="125">
        <v>32648</v>
      </c>
      <c r="M129" s="125">
        <v>3229</v>
      </c>
      <c r="N129" s="125"/>
      <c r="O129" s="125">
        <v>3423</v>
      </c>
      <c r="P129" s="125">
        <v>6567</v>
      </c>
      <c r="Q129" s="125">
        <v>1128</v>
      </c>
      <c r="R129" s="125">
        <v>9666</v>
      </c>
      <c r="S129" s="125">
        <v>13598</v>
      </c>
      <c r="T129" s="125"/>
      <c r="U129" s="125"/>
      <c r="V129" s="125">
        <v>2045</v>
      </c>
      <c r="W129" s="125">
        <v>0</v>
      </c>
      <c r="X129" s="125">
        <v>665</v>
      </c>
      <c r="Y129" s="125">
        <v>36</v>
      </c>
      <c r="Z129" s="126"/>
      <c r="AA129" s="125">
        <v>24</v>
      </c>
      <c r="AB129" s="125">
        <v>0</v>
      </c>
      <c r="AC129" s="125">
        <v>14</v>
      </c>
      <c r="AD129" s="125">
        <v>27</v>
      </c>
      <c r="AE129" s="125">
        <v>32</v>
      </c>
      <c r="AF129" s="125">
        <v>61</v>
      </c>
      <c r="AG129" s="125"/>
      <c r="AH129" s="125"/>
      <c r="AI129" s="125">
        <v>17</v>
      </c>
      <c r="AJ129" s="125">
        <v>0</v>
      </c>
      <c r="AK129" s="125">
        <v>81467</v>
      </c>
      <c r="AL129" s="125">
        <v>3506</v>
      </c>
      <c r="AM129" s="125">
        <v>7988</v>
      </c>
      <c r="AN129" s="125">
        <v>26</v>
      </c>
      <c r="AO129" s="125">
        <v>5</v>
      </c>
      <c r="AP129" s="125">
        <v>813</v>
      </c>
      <c r="AQ129" s="125">
        <v>532</v>
      </c>
      <c r="AR129" s="125">
        <v>1793</v>
      </c>
      <c r="AS129" s="125" t="s">
        <v>370</v>
      </c>
      <c r="AT129" s="125">
        <v>1836</v>
      </c>
      <c r="AU129" s="125">
        <v>1632</v>
      </c>
      <c r="AV129" s="125">
        <v>2777</v>
      </c>
      <c r="AW129" s="125">
        <v>9216</v>
      </c>
      <c r="AX129" s="126"/>
      <c r="AY129" s="126"/>
      <c r="AZ129" s="126">
        <v>0</v>
      </c>
      <c r="BA129" s="126"/>
      <c r="BB129" s="125">
        <v>820</v>
      </c>
      <c r="BC129" s="125"/>
      <c r="BD129" s="125">
        <v>27946</v>
      </c>
      <c r="BE129" s="125">
        <v>67181</v>
      </c>
      <c r="BF129" s="125">
        <v>309</v>
      </c>
      <c r="BG129" s="125">
        <v>973</v>
      </c>
      <c r="BH129" s="125">
        <v>1141</v>
      </c>
      <c r="BI129" s="125">
        <v>5782</v>
      </c>
      <c r="BJ129" s="125">
        <v>47</v>
      </c>
      <c r="BK129" s="125">
        <v>3044</v>
      </c>
      <c r="BL129" s="125"/>
      <c r="BM129" s="125">
        <v>546</v>
      </c>
      <c r="BN129" s="125">
        <v>28</v>
      </c>
      <c r="BO129" s="125">
        <v>0</v>
      </c>
      <c r="BP129" s="125">
        <v>12915</v>
      </c>
      <c r="BQ129" s="125">
        <v>15813</v>
      </c>
      <c r="BR129" s="125">
        <v>19</v>
      </c>
      <c r="BS129" s="125">
        <v>465</v>
      </c>
      <c r="BT129" s="125">
        <v>451</v>
      </c>
      <c r="BU129" s="125"/>
      <c r="BV129" s="125">
        <v>10</v>
      </c>
      <c r="BW129" s="125">
        <v>214</v>
      </c>
      <c r="BX129" s="125"/>
      <c r="BY129" s="125">
        <v>193</v>
      </c>
      <c r="BZ129" s="125">
        <v>0</v>
      </c>
      <c r="CA129" s="125">
        <v>0</v>
      </c>
      <c r="CB129" s="125">
        <v>12265</v>
      </c>
      <c r="CC129" s="125">
        <v>58067</v>
      </c>
      <c r="CD129" s="125">
        <v>84659</v>
      </c>
      <c r="CE129" s="125">
        <v>14402</v>
      </c>
      <c r="CF129" s="125">
        <v>0</v>
      </c>
      <c r="CG129" s="125">
        <v>0</v>
      </c>
      <c r="CH129" s="125">
        <v>63</v>
      </c>
      <c r="CI129" s="125">
        <v>83</v>
      </c>
      <c r="CJ129" s="125">
        <v>186</v>
      </c>
      <c r="CK129" s="125"/>
      <c r="CL129" s="125"/>
      <c r="CM129" s="125"/>
      <c r="CN129" s="125"/>
      <c r="CO129" s="125"/>
      <c r="CP129" s="125"/>
      <c r="CQ129" s="125"/>
      <c r="CR129" s="125"/>
      <c r="CS129" s="125"/>
      <c r="CT129" s="125"/>
      <c r="CU129" s="125"/>
      <c r="CV129" s="125"/>
      <c r="CW129" s="125"/>
      <c r="CX129" s="125"/>
      <c r="CY129" s="125" t="s">
        <v>370</v>
      </c>
      <c r="CZ129" s="125" t="s">
        <v>370</v>
      </c>
      <c r="DA129" s="125" t="s">
        <v>370</v>
      </c>
      <c r="DB129" s="125">
        <v>0</v>
      </c>
      <c r="DC129" s="125">
        <v>0</v>
      </c>
      <c r="DD129" s="125">
        <v>0</v>
      </c>
      <c r="DE129">
        <f t="shared" si="19"/>
        <v>493044</v>
      </c>
      <c r="DG129" s="1">
        <f t="shared" si="33"/>
        <v>305705</v>
      </c>
      <c r="DH129" s="1">
        <f t="shared" si="20"/>
        <v>184421</v>
      </c>
      <c r="DI129" s="127">
        <f t="shared" si="21"/>
        <v>490126</v>
      </c>
      <c r="DK129" s="1">
        <f t="shared" si="22"/>
        <v>58573</v>
      </c>
      <c r="DL129" s="1">
        <f t="shared" si="23"/>
        <v>94672</v>
      </c>
      <c r="DM129" s="1">
        <f t="shared" si="24"/>
        <v>13588</v>
      </c>
      <c r="DN129" s="1">
        <f t="shared" si="25"/>
        <v>17508</v>
      </c>
      <c r="DO129" s="1">
        <f t="shared" si="26"/>
        <v>241726</v>
      </c>
      <c r="DP129" s="1">
        <f t="shared" si="27"/>
        <v>42845</v>
      </c>
      <c r="DQ129" s="1">
        <f t="shared" si="34"/>
        <v>0</v>
      </c>
      <c r="DR129" s="1">
        <f t="shared" si="28"/>
        <v>12037</v>
      </c>
      <c r="DS129" s="1">
        <f t="shared" si="29"/>
        <v>0</v>
      </c>
      <c r="DT129" s="1">
        <f t="shared" si="30"/>
        <v>9361</v>
      </c>
      <c r="DU129" s="1"/>
      <c r="DV129" s="1"/>
      <c r="DW129" s="1"/>
      <c r="DX129" s="1">
        <f t="shared" si="35"/>
        <v>490310</v>
      </c>
      <c r="DZ129" s="1">
        <f t="shared" si="36"/>
        <v>0</v>
      </c>
      <c r="EA129" s="1">
        <f t="shared" si="31"/>
        <v>651</v>
      </c>
      <c r="EC129" s="1">
        <f t="shared" si="37"/>
        <v>490961</v>
      </c>
      <c r="ED129" s="1">
        <f t="shared" si="32"/>
        <v>-2083</v>
      </c>
      <c r="EE129" s="1"/>
    </row>
    <row r="130" spans="1:135" x14ac:dyDescent="0.25">
      <c r="A130" s="124">
        <v>36161</v>
      </c>
      <c r="B130" s="125">
        <v>0</v>
      </c>
      <c r="C130" s="125">
        <v>0</v>
      </c>
      <c r="D130" s="125">
        <v>0</v>
      </c>
      <c r="E130" s="125" t="s">
        <v>370</v>
      </c>
      <c r="F130" s="125" t="s">
        <v>370</v>
      </c>
      <c r="G130" s="125">
        <v>0</v>
      </c>
      <c r="H130" s="125">
        <v>0</v>
      </c>
      <c r="I130" s="125">
        <v>0</v>
      </c>
      <c r="J130" s="125">
        <v>1811</v>
      </c>
      <c r="K130" s="125"/>
      <c r="L130" s="125">
        <v>32597</v>
      </c>
      <c r="M130" s="125">
        <v>3214</v>
      </c>
      <c r="N130" s="125"/>
      <c r="O130" s="125">
        <v>3381</v>
      </c>
      <c r="P130" s="125">
        <v>6561</v>
      </c>
      <c r="Q130" s="125">
        <v>1131</v>
      </c>
      <c r="R130" s="125">
        <v>9668</v>
      </c>
      <c r="S130" s="125">
        <v>13588</v>
      </c>
      <c r="T130" s="125"/>
      <c r="U130" s="125"/>
      <c r="V130" s="125">
        <v>2021</v>
      </c>
      <c r="W130" s="125">
        <v>0</v>
      </c>
      <c r="X130" s="125">
        <v>664</v>
      </c>
      <c r="Y130" s="125">
        <v>34</v>
      </c>
      <c r="Z130" s="126"/>
      <c r="AA130" s="125">
        <v>24</v>
      </c>
      <c r="AB130" s="125">
        <v>0</v>
      </c>
      <c r="AC130" s="125">
        <v>13</v>
      </c>
      <c r="AD130" s="125">
        <v>25</v>
      </c>
      <c r="AE130" s="125">
        <v>34</v>
      </c>
      <c r="AF130" s="125">
        <v>60</v>
      </c>
      <c r="AG130" s="125"/>
      <c r="AH130" s="125"/>
      <c r="AI130" s="125">
        <v>16</v>
      </c>
      <c r="AJ130" s="125">
        <v>0</v>
      </c>
      <c r="AK130" s="125">
        <v>81607</v>
      </c>
      <c r="AL130" s="125">
        <v>3477</v>
      </c>
      <c r="AM130" s="125">
        <v>8135</v>
      </c>
      <c r="AN130" s="125">
        <v>25</v>
      </c>
      <c r="AO130" s="125">
        <v>6</v>
      </c>
      <c r="AP130" s="125">
        <v>23</v>
      </c>
      <c r="AQ130" s="125">
        <v>7</v>
      </c>
      <c r="AR130" s="125">
        <v>1774</v>
      </c>
      <c r="AS130" s="125" t="s">
        <v>370</v>
      </c>
      <c r="AT130" s="125">
        <v>1852</v>
      </c>
      <c r="AU130" s="125">
        <v>1630</v>
      </c>
      <c r="AV130" s="125">
        <v>2766</v>
      </c>
      <c r="AW130" s="125">
        <v>9277</v>
      </c>
      <c r="AX130" s="126"/>
      <c r="AY130" s="126"/>
      <c r="AZ130" s="126">
        <v>0</v>
      </c>
      <c r="BA130" s="126"/>
      <c r="BB130" s="125">
        <v>811</v>
      </c>
      <c r="BC130" s="125"/>
      <c r="BD130" s="125">
        <v>27782</v>
      </c>
      <c r="BE130" s="125">
        <v>66673</v>
      </c>
      <c r="BF130" s="125">
        <v>319</v>
      </c>
      <c r="BG130" s="125">
        <v>955</v>
      </c>
      <c r="BH130" s="125">
        <v>1110</v>
      </c>
      <c r="BI130" s="125">
        <v>5809</v>
      </c>
      <c r="BJ130" s="125">
        <v>56</v>
      </c>
      <c r="BK130" s="125">
        <v>3020</v>
      </c>
      <c r="BL130" s="125"/>
      <c r="BM130" s="125">
        <v>579</v>
      </c>
      <c r="BN130" s="125">
        <v>30</v>
      </c>
      <c r="BO130" s="125">
        <v>0</v>
      </c>
      <c r="BP130" s="125">
        <v>12814</v>
      </c>
      <c r="BQ130" s="125">
        <v>15671</v>
      </c>
      <c r="BR130" s="125">
        <v>20</v>
      </c>
      <c r="BS130" s="125">
        <v>451</v>
      </c>
      <c r="BT130" s="125">
        <v>417</v>
      </c>
      <c r="BU130" s="125"/>
      <c r="BV130" s="125">
        <v>5</v>
      </c>
      <c r="BW130" s="125">
        <v>213</v>
      </c>
      <c r="BX130" s="125"/>
      <c r="BY130" s="125">
        <v>179</v>
      </c>
      <c r="BZ130" s="125">
        <v>0</v>
      </c>
      <c r="CA130" s="125">
        <v>0</v>
      </c>
      <c r="CB130" s="125">
        <v>11973</v>
      </c>
      <c r="CC130" s="125">
        <v>57847</v>
      </c>
      <c r="CD130" s="125">
        <v>85028</v>
      </c>
      <c r="CE130" s="125">
        <v>14428</v>
      </c>
      <c r="CF130" s="125">
        <v>0</v>
      </c>
      <c r="CG130" s="125">
        <v>0</v>
      </c>
      <c r="CH130" s="125">
        <v>64</v>
      </c>
      <c r="CI130" s="125">
        <v>80</v>
      </c>
      <c r="CJ130" s="125">
        <v>182</v>
      </c>
      <c r="CK130" s="125"/>
      <c r="CL130" s="125"/>
      <c r="CM130" s="125"/>
      <c r="CN130" s="125"/>
      <c r="CO130" s="125"/>
      <c r="CP130" s="125"/>
      <c r="CQ130" s="125"/>
      <c r="CR130" s="125"/>
      <c r="CS130" s="125"/>
      <c r="CT130" s="125"/>
      <c r="CU130" s="125"/>
      <c r="CV130" s="125"/>
      <c r="CW130" s="125"/>
      <c r="CX130" s="125"/>
      <c r="CY130" s="125" t="s">
        <v>370</v>
      </c>
      <c r="CZ130" s="125" t="s">
        <v>370</v>
      </c>
      <c r="DA130" s="125" t="s">
        <v>370</v>
      </c>
      <c r="DB130" s="125">
        <v>0</v>
      </c>
      <c r="DC130" s="125">
        <v>0</v>
      </c>
      <c r="DD130" s="125">
        <v>0</v>
      </c>
      <c r="DE130">
        <f t="shared" si="19"/>
        <v>491937</v>
      </c>
      <c r="DG130" s="1">
        <f t="shared" si="33"/>
        <v>305661</v>
      </c>
      <c r="DH130" s="1">
        <f t="shared" si="20"/>
        <v>184649</v>
      </c>
      <c r="DI130" s="127">
        <f t="shared" si="21"/>
        <v>490310</v>
      </c>
      <c r="DK130" s="1">
        <f t="shared" si="22"/>
        <v>58184</v>
      </c>
      <c r="DL130" s="1">
        <f t="shared" si="23"/>
        <v>94752</v>
      </c>
      <c r="DM130" s="1">
        <f t="shared" si="24"/>
        <v>13582</v>
      </c>
      <c r="DN130" s="1">
        <f t="shared" si="25"/>
        <v>17871</v>
      </c>
      <c r="DO130" s="1">
        <f t="shared" si="26"/>
        <v>241568</v>
      </c>
      <c r="DP130" s="1">
        <f t="shared" si="27"/>
        <v>42581</v>
      </c>
      <c r="DQ130" s="1">
        <f t="shared" si="34"/>
        <v>0</v>
      </c>
      <c r="DR130" s="1">
        <f t="shared" si="28"/>
        <v>12214</v>
      </c>
      <c r="DS130" s="1">
        <f t="shared" si="29"/>
        <v>0</v>
      </c>
      <c r="DT130" s="1">
        <f t="shared" si="30"/>
        <v>9383</v>
      </c>
      <c r="DU130" s="1"/>
      <c r="DV130" s="1"/>
      <c r="DW130" s="1"/>
      <c r="DX130" s="1">
        <f t="shared" si="35"/>
        <v>490135</v>
      </c>
      <c r="DZ130" s="1">
        <f t="shared" si="36"/>
        <v>0</v>
      </c>
      <c r="EA130" s="1">
        <f t="shared" si="31"/>
        <v>1811</v>
      </c>
      <c r="EC130" s="1">
        <f t="shared" si="37"/>
        <v>491946</v>
      </c>
      <c r="ED130" s="1">
        <f t="shared" si="32"/>
        <v>9</v>
      </c>
      <c r="EE130" s="1"/>
    </row>
    <row r="131" spans="1:135" x14ac:dyDescent="0.25">
      <c r="A131" s="124">
        <v>36192</v>
      </c>
      <c r="B131" s="125">
        <v>0</v>
      </c>
      <c r="C131" s="125">
        <v>0</v>
      </c>
      <c r="D131" s="125">
        <v>0</v>
      </c>
      <c r="E131" s="125" t="s">
        <v>370</v>
      </c>
      <c r="F131" s="125" t="s">
        <v>370</v>
      </c>
      <c r="G131" s="125">
        <v>0</v>
      </c>
      <c r="H131" s="125">
        <v>0</v>
      </c>
      <c r="I131" s="125">
        <v>0</v>
      </c>
      <c r="J131" s="125">
        <v>3033</v>
      </c>
      <c r="K131" s="125"/>
      <c r="L131" s="125">
        <v>32471</v>
      </c>
      <c r="M131" s="125">
        <v>3193</v>
      </c>
      <c r="N131" s="125"/>
      <c r="O131" s="125">
        <v>3350</v>
      </c>
      <c r="P131" s="125">
        <v>6510</v>
      </c>
      <c r="Q131" s="125">
        <v>1122</v>
      </c>
      <c r="R131" s="125">
        <v>9589</v>
      </c>
      <c r="S131" s="125">
        <v>13582</v>
      </c>
      <c r="T131" s="125"/>
      <c r="U131" s="125"/>
      <c r="V131" s="125">
        <v>1949</v>
      </c>
      <c r="W131" s="125">
        <v>0</v>
      </c>
      <c r="X131" s="125">
        <v>662</v>
      </c>
      <c r="Y131" s="125">
        <v>32</v>
      </c>
      <c r="Z131" s="126"/>
      <c r="AA131" s="125">
        <v>23</v>
      </c>
      <c r="AB131" s="125">
        <v>0</v>
      </c>
      <c r="AC131" s="125">
        <v>13</v>
      </c>
      <c r="AD131" s="125">
        <v>24</v>
      </c>
      <c r="AE131" s="125">
        <v>34</v>
      </c>
      <c r="AF131" s="125">
        <v>62</v>
      </c>
      <c r="AG131" s="125"/>
      <c r="AH131" s="125"/>
      <c r="AI131" s="125">
        <v>16</v>
      </c>
      <c r="AJ131" s="125">
        <v>0</v>
      </c>
      <c r="AK131" s="125">
        <v>81789</v>
      </c>
      <c r="AL131" s="125">
        <v>3479</v>
      </c>
      <c r="AM131" s="125">
        <v>8255</v>
      </c>
      <c r="AN131" s="125">
        <v>21</v>
      </c>
      <c r="AO131" s="125">
        <v>10</v>
      </c>
      <c r="AP131" s="125">
        <v>177</v>
      </c>
      <c r="AQ131" s="125">
        <v>74</v>
      </c>
      <c r="AR131" s="125">
        <v>1761</v>
      </c>
      <c r="AS131" s="125" t="s">
        <v>370</v>
      </c>
      <c r="AT131" s="125">
        <v>1882</v>
      </c>
      <c r="AU131" s="125">
        <v>1641</v>
      </c>
      <c r="AV131" s="125">
        <v>2801</v>
      </c>
      <c r="AW131" s="125">
        <v>9293</v>
      </c>
      <c r="AX131" s="126"/>
      <c r="AY131" s="126"/>
      <c r="AZ131" s="126">
        <v>0</v>
      </c>
      <c r="BA131" s="126"/>
      <c r="BB131" s="125">
        <v>834</v>
      </c>
      <c r="BC131" s="125"/>
      <c r="BD131" s="125">
        <v>27680</v>
      </c>
      <c r="BE131" s="125">
        <v>66175</v>
      </c>
      <c r="BF131" s="125">
        <v>323</v>
      </c>
      <c r="BG131" s="125">
        <v>973</v>
      </c>
      <c r="BH131" s="125">
        <v>1134</v>
      </c>
      <c r="BI131" s="125">
        <v>5836</v>
      </c>
      <c r="BJ131" s="125">
        <v>58</v>
      </c>
      <c r="BK131" s="125">
        <v>3016</v>
      </c>
      <c r="BL131" s="125"/>
      <c r="BM131" s="125">
        <v>602</v>
      </c>
      <c r="BN131" s="125">
        <v>32</v>
      </c>
      <c r="BO131" s="125">
        <v>0</v>
      </c>
      <c r="BP131" s="125">
        <v>12787</v>
      </c>
      <c r="BQ131" s="125">
        <v>15430</v>
      </c>
      <c r="BR131" s="125">
        <v>19</v>
      </c>
      <c r="BS131" s="125">
        <v>454</v>
      </c>
      <c r="BT131" s="125">
        <v>397</v>
      </c>
      <c r="BU131" s="125"/>
      <c r="BV131" s="125">
        <v>7</v>
      </c>
      <c r="BW131" s="125">
        <v>208</v>
      </c>
      <c r="BX131" s="125"/>
      <c r="BY131" s="125">
        <v>168</v>
      </c>
      <c r="BZ131" s="125">
        <v>0</v>
      </c>
      <c r="CA131" s="125">
        <v>0</v>
      </c>
      <c r="CB131" s="125">
        <v>12149</v>
      </c>
      <c r="CC131" s="125">
        <v>57934</v>
      </c>
      <c r="CD131" s="125">
        <v>85549</v>
      </c>
      <c r="CE131" s="125">
        <v>14424</v>
      </c>
      <c r="CF131" s="125">
        <v>0</v>
      </c>
      <c r="CG131" s="125">
        <v>0</v>
      </c>
      <c r="CH131" s="125">
        <v>65</v>
      </c>
      <c r="CI131" s="125">
        <v>73</v>
      </c>
      <c r="CJ131" s="125">
        <v>168</v>
      </c>
      <c r="CK131" s="125"/>
      <c r="CL131" s="125"/>
      <c r="CM131" s="125"/>
      <c r="CN131" s="125"/>
      <c r="CO131" s="125"/>
      <c r="CP131" s="125"/>
      <c r="CQ131" s="125"/>
      <c r="CR131" s="125"/>
      <c r="CS131" s="125"/>
      <c r="CT131" s="125"/>
      <c r="CU131" s="125"/>
      <c r="CV131" s="125"/>
      <c r="CW131" s="125"/>
      <c r="CX131" s="125"/>
      <c r="CY131" s="125" t="s">
        <v>370</v>
      </c>
      <c r="CZ131" s="125" t="s">
        <v>370</v>
      </c>
      <c r="DA131" s="125" t="s">
        <v>370</v>
      </c>
      <c r="DB131" s="125">
        <v>0</v>
      </c>
      <c r="DC131" s="125">
        <v>0</v>
      </c>
      <c r="DD131" s="125">
        <v>0</v>
      </c>
      <c r="DE131">
        <f t="shared" si="19"/>
        <v>493343</v>
      </c>
      <c r="DG131" s="1">
        <f t="shared" si="33"/>
        <v>305694</v>
      </c>
      <c r="DH131" s="1">
        <f t="shared" si="20"/>
        <v>185190</v>
      </c>
      <c r="DI131" s="127">
        <f t="shared" si="21"/>
        <v>490884</v>
      </c>
      <c r="DK131" s="1">
        <f t="shared" si="22"/>
        <v>57935</v>
      </c>
      <c r="DL131" s="1">
        <f t="shared" si="23"/>
        <v>95012</v>
      </c>
      <c r="DM131" s="1">
        <f t="shared" si="24"/>
        <v>13608</v>
      </c>
      <c r="DN131" s="1">
        <f t="shared" si="25"/>
        <v>18672</v>
      </c>
      <c r="DO131" s="1">
        <f t="shared" si="26"/>
        <v>241569</v>
      </c>
      <c r="DP131" s="1">
        <f t="shared" si="27"/>
        <v>42496</v>
      </c>
      <c r="DQ131" s="1">
        <f t="shared" si="34"/>
        <v>0</v>
      </c>
      <c r="DR131" s="1">
        <f t="shared" si="28"/>
        <v>12392</v>
      </c>
      <c r="DS131" s="1">
        <f t="shared" si="29"/>
        <v>0</v>
      </c>
      <c r="DT131" s="1">
        <f t="shared" si="30"/>
        <v>9387</v>
      </c>
      <c r="DU131" s="1"/>
      <c r="DV131" s="1"/>
      <c r="DW131" s="1"/>
      <c r="DX131" s="1">
        <f t="shared" si="35"/>
        <v>491071</v>
      </c>
      <c r="DZ131" s="1">
        <f t="shared" si="36"/>
        <v>0</v>
      </c>
      <c r="EA131" s="1">
        <f t="shared" si="31"/>
        <v>3033</v>
      </c>
      <c r="EC131" s="1">
        <f t="shared" si="37"/>
        <v>494104</v>
      </c>
      <c r="ED131" s="1">
        <f t="shared" si="32"/>
        <v>761</v>
      </c>
      <c r="EE131" s="1"/>
    </row>
    <row r="132" spans="1:135" x14ac:dyDescent="0.25">
      <c r="A132" s="124">
        <v>36220</v>
      </c>
      <c r="B132" s="125">
        <v>0</v>
      </c>
      <c r="C132" s="125">
        <v>0</v>
      </c>
      <c r="D132" s="125">
        <v>0</v>
      </c>
      <c r="E132" s="125" t="s">
        <v>370</v>
      </c>
      <c r="F132" s="125" t="s">
        <v>370</v>
      </c>
      <c r="G132" s="125">
        <v>0</v>
      </c>
      <c r="H132" s="125">
        <v>0</v>
      </c>
      <c r="I132" s="125">
        <v>0</v>
      </c>
      <c r="J132" s="125">
        <v>4621</v>
      </c>
      <c r="K132" s="125"/>
      <c r="L132" s="125">
        <v>32404</v>
      </c>
      <c r="M132" s="125">
        <v>3183</v>
      </c>
      <c r="N132" s="125"/>
      <c r="O132" s="125">
        <v>3273</v>
      </c>
      <c r="P132" s="125">
        <v>6542</v>
      </c>
      <c r="Q132" s="125">
        <v>1102</v>
      </c>
      <c r="R132" s="125">
        <v>9532</v>
      </c>
      <c r="S132" s="125">
        <v>13608</v>
      </c>
      <c r="T132" s="125"/>
      <c r="U132" s="125"/>
      <c r="V132" s="125">
        <v>1899</v>
      </c>
      <c r="W132" s="125">
        <v>0</v>
      </c>
      <c r="X132" s="125">
        <v>657</v>
      </c>
      <c r="Y132" s="125">
        <v>30</v>
      </c>
      <c r="Z132" s="126"/>
      <c r="AA132" s="125">
        <v>22</v>
      </c>
      <c r="AB132" s="125">
        <v>0</v>
      </c>
      <c r="AC132" s="125">
        <v>12</v>
      </c>
      <c r="AD132" s="125">
        <v>25</v>
      </c>
      <c r="AE132" s="125">
        <v>35</v>
      </c>
      <c r="AF132" s="125">
        <v>62</v>
      </c>
      <c r="AG132" s="125"/>
      <c r="AH132" s="125"/>
      <c r="AI132" s="125">
        <v>11</v>
      </c>
      <c r="AJ132" s="125">
        <v>0</v>
      </c>
      <c r="AK132" s="125">
        <v>81766</v>
      </c>
      <c r="AL132" s="125">
        <v>3472</v>
      </c>
      <c r="AM132" s="125">
        <v>8392</v>
      </c>
      <c r="AN132" s="125">
        <v>25</v>
      </c>
      <c r="AO132" s="125">
        <v>10</v>
      </c>
      <c r="AP132" s="125">
        <v>583</v>
      </c>
      <c r="AQ132" s="125">
        <v>266</v>
      </c>
      <c r="AR132" s="125">
        <v>1710</v>
      </c>
      <c r="AS132" s="125" t="s">
        <v>370</v>
      </c>
      <c r="AT132" s="125">
        <v>1901</v>
      </c>
      <c r="AU132" s="125">
        <v>1654</v>
      </c>
      <c r="AV132" s="125">
        <v>2825</v>
      </c>
      <c r="AW132" s="125">
        <v>9359</v>
      </c>
      <c r="AX132" s="126"/>
      <c r="AY132" s="126"/>
      <c r="AZ132" s="126">
        <v>0</v>
      </c>
      <c r="BA132" s="126"/>
      <c r="BB132" s="125">
        <v>830</v>
      </c>
      <c r="BC132" s="125"/>
      <c r="BD132" s="125">
        <v>27389</v>
      </c>
      <c r="BE132" s="125">
        <v>65379</v>
      </c>
      <c r="BF132" s="125">
        <v>328</v>
      </c>
      <c r="BG132" s="125">
        <v>979</v>
      </c>
      <c r="BH132" s="125">
        <v>1102</v>
      </c>
      <c r="BI132" s="125">
        <v>5844</v>
      </c>
      <c r="BJ132" s="125">
        <v>55</v>
      </c>
      <c r="BK132" s="125">
        <v>2999</v>
      </c>
      <c r="BL132" s="125"/>
      <c r="BM132" s="125">
        <v>594</v>
      </c>
      <c r="BN132" s="125">
        <v>32</v>
      </c>
      <c r="BO132" s="125">
        <v>0</v>
      </c>
      <c r="BP132" s="125">
        <v>12905</v>
      </c>
      <c r="BQ132" s="125">
        <v>15661</v>
      </c>
      <c r="BR132" s="125">
        <v>18</v>
      </c>
      <c r="BS132" s="125">
        <v>479</v>
      </c>
      <c r="BT132" s="125">
        <v>413</v>
      </c>
      <c r="BU132" s="125"/>
      <c r="BV132" s="125">
        <v>12</v>
      </c>
      <c r="BW132" s="125">
        <v>216</v>
      </c>
      <c r="BX132" s="125"/>
      <c r="BY132" s="125">
        <v>148</v>
      </c>
      <c r="BZ132" s="125">
        <v>0</v>
      </c>
      <c r="CA132" s="125">
        <v>0</v>
      </c>
      <c r="CB132" s="125">
        <v>12325</v>
      </c>
      <c r="CC132" s="125">
        <v>58088</v>
      </c>
      <c r="CD132" s="125">
        <v>86079</v>
      </c>
      <c r="CE132" s="125">
        <v>14349</v>
      </c>
      <c r="CF132" s="125">
        <v>0</v>
      </c>
      <c r="CG132" s="125">
        <v>0</v>
      </c>
      <c r="CH132" s="125">
        <v>67</v>
      </c>
      <c r="CI132" s="125">
        <v>75</v>
      </c>
      <c r="CJ132" s="125">
        <v>158</v>
      </c>
      <c r="CK132" s="125"/>
      <c r="CL132" s="125"/>
      <c r="CM132" s="125"/>
      <c r="CN132" s="125"/>
      <c r="CO132" s="125"/>
      <c r="CP132" s="125"/>
      <c r="CQ132" s="125"/>
      <c r="CR132" s="125"/>
      <c r="CS132" s="125"/>
      <c r="CT132" s="125"/>
      <c r="CU132" s="125"/>
      <c r="CV132" s="125"/>
      <c r="CW132" s="125"/>
      <c r="CX132" s="125"/>
      <c r="CY132" s="125" t="s">
        <v>370</v>
      </c>
      <c r="CZ132" s="125" t="s">
        <v>370</v>
      </c>
      <c r="DA132" s="125" t="s">
        <v>370</v>
      </c>
      <c r="DB132" s="125">
        <v>0</v>
      </c>
      <c r="DC132" s="125">
        <v>0</v>
      </c>
      <c r="DD132" s="125">
        <v>0</v>
      </c>
      <c r="DE132">
        <f t="shared" ref="DE132:DE195" si="38">SUM(B132:CX132)</f>
        <v>495505</v>
      </c>
      <c r="DG132" s="1">
        <f t="shared" si="33"/>
        <v>306490</v>
      </c>
      <c r="DH132" s="1">
        <f t="shared" ref="DH132:DH195" si="39">SUM(L133:M133,O133:AW133,AZ133:BB133)+CQ133+CR133</f>
        <v>186002</v>
      </c>
      <c r="DI132" s="127">
        <f t="shared" ref="DI132:DI195" si="40">SUM(DG132:DH132)</f>
        <v>492492</v>
      </c>
      <c r="DK132" s="1">
        <f t="shared" ref="DK132:DK195" si="41">SUM(L133:M133,O133:R133,T133:W133)</f>
        <v>57876</v>
      </c>
      <c r="DL132" s="1">
        <f t="shared" ref="DL132:DL195" si="42">SUM(X132:Y132,AA132:AE132,AG132:AL132,AN132,AR132:AV132,AZ132:BB132)</f>
        <v>94975</v>
      </c>
      <c r="DM132" s="1">
        <f t="shared" ref="DM132:DM195" si="43">S133</f>
        <v>13666</v>
      </c>
      <c r="DN132" s="1">
        <f t="shared" ref="DN132:DN195" si="44">AF133+AW133+AM133+AO133+AP133+AQ133</f>
        <v>19392</v>
      </c>
      <c r="DO132" s="1">
        <f t="shared" ref="DO132:DO195" si="45">SUM(BE133,BH133,BJ133,BN133,BQ133:BR133,BT133:BV133,BY133:CA133,CC133:CE133,CI133:CJ133)</f>
        <v>242146</v>
      </c>
      <c r="DP132" s="1">
        <f t="shared" ref="DP132:DP195" si="46">SUM(AY132,BC132:BD132,BG132,BM132,BP132,BS132)</f>
        <v>42346</v>
      </c>
      <c r="DQ132" s="1">
        <f t="shared" si="34"/>
        <v>0</v>
      </c>
      <c r="DR132" s="1">
        <f t="shared" ref="DR132:DR195" si="47">CB133+CH133</f>
        <v>12558</v>
      </c>
      <c r="DS132" s="1">
        <f t="shared" ref="DS132:DS195" si="48">BO133</f>
        <v>0</v>
      </c>
      <c r="DT132" s="1">
        <f t="shared" ref="DT132:DT195" si="49">BF133+BI133+BK133+BW133</f>
        <v>9640</v>
      </c>
      <c r="DU132" s="1"/>
      <c r="DV132" s="1"/>
      <c r="DW132" s="1"/>
      <c r="DX132" s="1">
        <f t="shared" si="35"/>
        <v>492599</v>
      </c>
      <c r="DZ132" s="1">
        <f t="shared" si="36"/>
        <v>0</v>
      </c>
      <c r="EA132" s="1">
        <f t="shared" ref="EA132:EA195" si="50">SUM(F132:K132,N132,CS132:CT132)</f>
        <v>4621</v>
      </c>
      <c r="EC132" s="1">
        <f t="shared" si="37"/>
        <v>497220</v>
      </c>
      <c r="ED132" s="1">
        <f t="shared" ref="ED132:ED195" si="51">EC132-DE132</f>
        <v>1715</v>
      </c>
      <c r="EE132" s="1"/>
    </row>
    <row r="133" spans="1:135" x14ac:dyDescent="0.25">
      <c r="A133" s="124">
        <v>36251</v>
      </c>
      <c r="B133" s="125">
        <v>0</v>
      </c>
      <c r="C133" s="125">
        <v>0</v>
      </c>
      <c r="D133" s="125">
        <v>0</v>
      </c>
      <c r="E133" s="125" t="s">
        <v>370</v>
      </c>
      <c r="F133" s="125" t="s">
        <v>370</v>
      </c>
      <c r="G133" s="125">
        <v>0</v>
      </c>
      <c r="H133" s="125">
        <v>0</v>
      </c>
      <c r="I133" s="125">
        <v>0</v>
      </c>
      <c r="J133" s="125">
        <v>6909</v>
      </c>
      <c r="K133" s="125"/>
      <c r="L133" s="125">
        <v>32408</v>
      </c>
      <c r="M133" s="125">
        <v>3167</v>
      </c>
      <c r="N133" s="125"/>
      <c r="O133" s="125">
        <v>3240</v>
      </c>
      <c r="P133" s="125">
        <v>6580</v>
      </c>
      <c r="Q133" s="125">
        <v>1093</v>
      </c>
      <c r="R133" s="125">
        <v>9546</v>
      </c>
      <c r="S133" s="125">
        <v>13666</v>
      </c>
      <c r="T133" s="125"/>
      <c r="U133" s="125"/>
      <c r="V133" s="125">
        <v>1842</v>
      </c>
      <c r="W133" s="125">
        <v>0</v>
      </c>
      <c r="X133" s="125">
        <v>649</v>
      </c>
      <c r="Y133" s="125">
        <v>31</v>
      </c>
      <c r="Z133" s="126"/>
      <c r="AA133" s="125">
        <v>20</v>
      </c>
      <c r="AB133" s="125">
        <v>0</v>
      </c>
      <c r="AC133" s="125">
        <v>14</v>
      </c>
      <c r="AD133" s="125">
        <v>25</v>
      </c>
      <c r="AE133" s="125">
        <v>33</v>
      </c>
      <c r="AF133" s="125">
        <v>63</v>
      </c>
      <c r="AG133" s="125"/>
      <c r="AH133" s="125"/>
      <c r="AI133" s="125">
        <v>11</v>
      </c>
      <c r="AJ133" s="125">
        <v>0</v>
      </c>
      <c r="AK133" s="125">
        <v>81815</v>
      </c>
      <c r="AL133" s="125">
        <v>3506</v>
      </c>
      <c r="AM133" s="125">
        <v>8527</v>
      </c>
      <c r="AN133" s="125">
        <v>26</v>
      </c>
      <c r="AO133" s="125">
        <v>10</v>
      </c>
      <c r="AP133" s="125">
        <v>905</v>
      </c>
      <c r="AQ133" s="125">
        <v>449</v>
      </c>
      <c r="AR133" s="125">
        <v>1734</v>
      </c>
      <c r="AS133" s="125" t="s">
        <v>370</v>
      </c>
      <c r="AT133" s="125">
        <v>1918</v>
      </c>
      <c r="AU133" s="125">
        <v>1648</v>
      </c>
      <c r="AV133" s="125">
        <v>2814</v>
      </c>
      <c r="AW133" s="125">
        <v>9438</v>
      </c>
      <c r="AX133" s="126"/>
      <c r="AY133" s="126"/>
      <c r="AZ133" s="126">
        <v>0</v>
      </c>
      <c r="BA133" s="126"/>
      <c r="BB133" s="125">
        <v>824</v>
      </c>
      <c r="BC133" s="125"/>
      <c r="BD133" s="125">
        <v>26998</v>
      </c>
      <c r="BE133" s="125">
        <v>64456</v>
      </c>
      <c r="BF133" s="125">
        <v>328</v>
      </c>
      <c r="BG133" s="125">
        <v>981</v>
      </c>
      <c r="BH133" s="125">
        <v>1088</v>
      </c>
      <c r="BI133" s="125">
        <v>5957</v>
      </c>
      <c r="BJ133" s="125">
        <v>58</v>
      </c>
      <c r="BK133" s="125">
        <v>3134</v>
      </c>
      <c r="BL133" s="125"/>
      <c r="BM133" s="125">
        <v>549</v>
      </c>
      <c r="BN133" s="125">
        <v>31</v>
      </c>
      <c r="BO133" s="125">
        <v>0</v>
      </c>
      <c r="BP133" s="125">
        <v>13136</v>
      </c>
      <c r="BQ133" s="125">
        <v>15870</v>
      </c>
      <c r="BR133" s="125">
        <v>20</v>
      </c>
      <c r="BS133" s="125">
        <v>482</v>
      </c>
      <c r="BT133" s="125">
        <v>411</v>
      </c>
      <c r="BU133" s="125"/>
      <c r="BV133" s="125">
        <v>11</v>
      </c>
      <c r="BW133" s="125">
        <v>221</v>
      </c>
      <c r="BX133" s="125"/>
      <c r="BY133" s="125">
        <v>140</v>
      </c>
      <c r="BZ133" s="125">
        <v>0</v>
      </c>
      <c r="CA133" s="125">
        <v>0</v>
      </c>
      <c r="CB133" s="125">
        <v>12482</v>
      </c>
      <c r="CC133" s="125">
        <v>58319</v>
      </c>
      <c r="CD133" s="125">
        <v>87050</v>
      </c>
      <c r="CE133" s="125">
        <v>14475</v>
      </c>
      <c r="CF133" s="125">
        <v>0</v>
      </c>
      <c r="CG133" s="125">
        <v>0</v>
      </c>
      <c r="CH133" s="125">
        <v>76</v>
      </c>
      <c r="CI133" s="125">
        <v>74</v>
      </c>
      <c r="CJ133" s="125">
        <v>143</v>
      </c>
      <c r="CK133" s="125"/>
      <c r="CL133" s="125"/>
      <c r="CM133" s="125"/>
      <c r="CN133" s="125"/>
      <c r="CO133" s="125"/>
      <c r="CP133" s="125"/>
      <c r="CQ133" s="125"/>
      <c r="CR133" s="125"/>
      <c r="CS133" s="125"/>
      <c r="CT133" s="125"/>
      <c r="CU133" s="125"/>
      <c r="CV133" s="125"/>
      <c r="CW133" s="125"/>
      <c r="CX133" s="125"/>
      <c r="CY133" s="125" t="s">
        <v>370</v>
      </c>
      <c r="CZ133" s="125" t="s">
        <v>370</v>
      </c>
      <c r="DA133" s="125" t="s">
        <v>370</v>
      </c>
      <c r="DB133" s="125">
        <v>0</v>
      </c>
      <c r="DC133" s="125">
        <v>0</v>
      </c>
      <c r="DD133" s="125">
        <v>0</v>
      </c>
      <c r="DE133">
        <f t="shared" si="38"/>
        <v>499401</v>
      </c>
      <c r="DG133" s="1">
        <f t="shared" ref="DG133:DG196" si="52">SUM(AX134:AY134,BC134:CP134,CU134:CX134)</f>
        <v>306524</v>
      </c>
      <c r="DH133" s="1">
        <f t="shared" si="39"/>
        <v>186858</v>
      </c>
      <c r="DI133" s="127">
        <f t="shared" si="40"/>
        <v>493382</v>
      </c>
      <c r="DK133" s="1">
        <f t="shared" si="41"/>
        <v>57907</v>
      </c>
      <c r="DL133" s="1">
        <f t="shared" si="42"/>
        <v>95068</v>
      </c>
      <c r="DM133" s="1">
        <f t="shared" si="43"/>
        <v>13734</v>
      </c>
      <c r="DN133" s="1">
        <f t="shared" si="44"/>
        <v>19835</v>
      </c>
      <c r="DO133" s="1">
        <f t="shared" si="45"/>
        <v>242241</v>
      </c>
      <c r="DP133" s="1">
        <f t="shared" si="46"/>
        <v>42146</v>
      </c>
      <c r="DQ133" s="1">
        <f t="shared" ref="DQ133:DQ196" si="53">SUM(BX133,CQ133,CR133,CW133,CX133)</f>
        <v>0</v>
      </c>
      <c r="DR133" s="1">
        <f t="shared" si="47"/>
        <v>12762</v>
      </c>
      <c r="DS133" s="1">
        <f t="shared" si="48"/>
        <v>0</v>
      </c>
      <c r="DT133" s="1">
        <f t="shared" si="49"/>
        <v>9766</v>
      </c>
      <c r="DU133" s="1"/>
      <c r="DV133" s="1"/>
      <c r="DW133" s="1"/>
      <c r="DX133" s="1">
        <f t="shared" ref="DX133:DX196" si="54">SUM(DK133:DW133)</f>
        <v>493459</v>
      </c>
      <c r="DZ133" s="1">
        <f t="shared" ref="DZ133:DZ196" si="55">CF133</f>
        <v>0</v>
      </c>
      <c r="EA133" s="1">
        <f t="shared" si="50"/>
        <v>6909</v>
      </c>
      <c r="EC133" s="1">
        <f t="shared" ref="EC133:EC196" si="56">DX133+EA133+DZ133</f>
        <v>500368</v>
      </c>
      <c r="ED133" s="1">
        <f t="shared" si="51"/>
        <v>967</v>
      </c>
      <c r="EE133" s="1"/>
    </row>
    <row r="134" spans="1:135" x14ac:dyDescent="0.25">
      <c r="A134" s="124">
        <v>36281</v>
      </c>
      <c r="B134" s="125">
        <v>0</v>
      </c>
      <c r="C134" s="125">
        <v>0</v>
      </c>
      <c r="D134" s="125">
        <v>0</v>
      </c>
      <c r="E134" s="125" t="s">
        <v>370</v>
      </c>
      <c r="F134" s="125" t="s">
        <v>370</v>
      </c>
      <c r="G134" s="125">
        <v>0</v>
      </c>
      <c r="H134" s="125">
        <v>0</v>
      </c>
      <c r="I134" s="125">
        <v>0</v>
      </c>
      <c r="J134" s="125">
        <v>8826</v>
      </c>
      <c r="K134" s="125"/>
      <c r="L134" s="125">
        <v>32378</v>
      </c>
      <c r="M134" s="125">
        <v>3175</v>
      </c>
      <c r="N134" s="125"/>
      <c r="O134" s="125">
        <v>3188</v>
      </c>
      <c r="P134" s="125">
        <v>6679</v>
      </c>
      <c r="Q134" s="125">
        <v>1078</v>
      </c>
      <c r="R134" s="125">
        <v>9605</v>
      </c>
      <c r="S134" s="125">
        <v>13734</v>
      </c>
      <c r="T134" s="125"/>
      <c r="U134" s="125"/>
      <c r="V134" s="125">
        <v>1804</v>
      </c>
      <c r="W134" s="125">
        <v>0</v>
      </c>
      <c r="X134" s="125">
        <v>642</v>
      </c>
      <c r="Y134" s="125">
        <v>29</v>
      </c>
      <c r="Z134" s="126"/>
      <c r="AA134" s="125">
        <v>21</v>
      </c>
      <c r="AB134" s="125">
        <v>0</v>
      </c>
      <c r="AC134" s="125">
        <v>14</v>
      </c>
      <c r="AD134" s="125">
        <v>23</v>
      </c>
      <c r="AE134" s="125">
        <v>33</v>
      </c>
      <c r="AF134" s="125">
        <v>61</v>
      </c>
      <c r="AG134" s="125"/>
      <c r="AH134" s="125"/>
      <c r="AI134" s="125">
        <v>10</v>
      </c>
      <c r="AJ134" s="125">
        <v>0</v>
      </c>
      <c r="AK134" s="125">
        <v>82012</v>
      </c>
      <c r="AL134" s="125">
        <v>3516</v>
      </c>
      <c r="AM134" s="125">
        <v>8526</v>
      </c>
      <c r="AN134" s="125">
        <v>27</v>
      </c>
      <c r="AO134" s="125">
        <v>11</v>
      </c>
      <c r="AP134" s="125">
        <v>1110</v>
      </c>
      <c r="AQ134" s="125">
        <v>608</v>
      </c>
      <c r="AR134" s="125">
        <v>1801</v>
      </c>
      <c r="AS134" s="125" t="s">
        <v>370</v>
      </c>
      <c r="AT134" s="125">
        <v>1932</v>
      </c>
      <c r="AU134" s="125">
        <v>1670</v>
      </c>
      <c r="AV134" s="125">
        <v>2834</v>
      </c>
      <c r="AW134" s="125">
        <v>9519</v>
      </c>
      <c r="AX134" s="126"/>
      <c r="AY134" s="126"/>
      <c r="AZ134" s="126">
        <v>0</v>
      </c>
      <c r="BA134" s="126"/>
      <c r="BB134" s="125">
        <v>818</v>
      </c>
      <c r="BC134" s="125"/>
      <c r="BD134" s="125">
        <v>26662</v>
      </c>
      <c r="BE134" s="125">
        <v>63862</v>
      </c>
      <c r="BF134" s="125">
        <v>334</v>
      </c>
      <c r="BG134" s="125">
        <v>938</v>
      </c>
      <c r="BH134" s="125">
        <v>1051</v>
      </c>
      <c r="BI134" s="125">
        <v>6008</v>
      </c>
      <c r="BJ134" s="125">
        <v>62</v>
      </c>
      <c r="BK134" s="125">
        <v>3207</v>
      </c>
      <c r="BL134" s="125"/>
      <c r="BM134" s="125">
        <v>463</v>
      </c>
      <c r="BN134" s="125">
        <v>31</v>
      </c>
      <c r="BO134" s="125">
        <v>0</v>
      </c>
      <c r="BP134" s="125">
        <v>13217</v>
      </c>
      <c r="BQ134" s="125">
        <v>15878</v>
      </c>
      <c r="BR134" s="125">
        <v>19</v>
      </c>
      <c r="BS134" s="125">
        <v>475</v>
      </c>
      <c r="BT134" s="125">
        <v>419</v>
      </c>
      <c r="BU134" s="125"/>
      <c r="BV134" s="125">
        <v>8</v>
      </c>
      <c r="BW134" s="125">
        <v>217</v>
      </c>
      <c r="BX134" s="125"/>
      <c r="BY134" s="125">
        <v>146</v>
      </c>
      <c r="BZ134" s="125">
        <v>0</v>
      </c>
      <c r="CA134" s="125">
        <v>0</v>
      </c>
      <c r="CB134" s="125">
        <v>12687</v>
      </c>
      <c r="CC134" s="125">
        <v>58474</v>
      </c>
      <c r="CD134" s="125">
        <v>87704</v>
      </c>
      <c r="CE134" s="125">
        <v>14388</v>
      </c>
      <c r="CF134" s="125">
        <v>0</v>
      </c>
      <c r="CG134" s="125">
        <v>0</v>
      </c>
      <c r="CH134" s="125">
        <v>75</v>
      </c>
      <c r="CI134" s="125">
        <v>72</v>
      </c>
      <c r="CJ134" s="125">
        <v>127</v>
      </c>
      <c r="CK134" s="125"/>
      <c r="CL134" s="125"/>
      <c r="CM134" s="125"/>
      <c r="CN134" s="125"/>
      <c r="CO134" s="125"/>
      <c r="CP134" s="125"/>
      <c r="CQ134" s="125"/>
      <c r="CR134" s="125"/>
      <c r="CS134" s="125"/>
      <c r="CT134" s="125"/>
      <c r="CU134" s="125"/>
      <c r="CV134" s="125"/>
      <c r="CW134" s="125"/>
      <c r="CX134" s="125"/>
      <c r="CY134" s="125" t="s">
        <v>370</v>
      </c>
      <c r="CZ134" s="125" t="s">
        <v>370</v>
      </c>
      <c r="DA134" s="125" t="s">
        <v>370</v>
      </c>
      <c r="DB134" s="125">
        <v>0</v>
      </c>
      <c r="DC134" s="125">
        <v>0</v>
      </c>
      <c r="DD134" s="125">
        <v>0</v>
      </c>
      <c r="DE134">
        <f t="shared" si="38"/>
        <v>502208</v>
      </c>
      <c r="DG134" s="1">
        <f t="shared" si="52"/>
        <v>304719</v>
      </c>
      <c r="DH134" s="1">
        <f t="shared" si="39"/>
        <v>187027</v>
      </c>
      <c r="DI134" s="127">
        <f t="shared" si="40"/>
        <v>491746</v>
      </c>
      <c r="DK134" s="1">
        <f t="shared" si="41"/>
        <v>57893</v>
      </c>
      <c r="DL134" s="1">
        <f t="shared" si="42"/>
        <v>95382</v>
      </c>
      <c r="DM134" s="1">
        <f t="shared" si="43"/>
        <v>13738</v>
      </c>
      <c r="DN134" s="1">
        <f t="shared" si="44"/>
        <v>20083</v>
      </c>
      <c r="DO134" s="1">
        <f t="shared" si="45"/>
        <v>241053</v>
      </c>
      <c r="DP134" s="1">
        <f t="shared" si="46"/>
        <v>41755</v>
      </c>
      <c r="DQ134" s="1">
        <f t="shared" si="53"/>
        <v>0</v>
      </c>
      <c r="DR134" s="1">
        <f t="shared" si="47"/>
        <v>12550</v>
      </c>
      <c r="DS134" s="1">
        <f t="shared" si="48"/>
        <v>0</v>
      </c>
      <c r="DT134" s="1">
        <f t="shared" si="49"/>
        <v>9764</v>
      </c>
      <c r="DU134" s="1"/>
      <c r="DV134" s="1"/>
      <c r="DW134" s="1"/>
      <c r="DX134" s="1">
        <f t="shared" si="54"/>
        <v>492218</v>
      </c>
      <c r="DZ134" s="1">
        <f t="shared" si="55"/>
        <v>0</v>
      </c>
      <c r="EA134" s="1">
        <f t="shared" si="50"/>
        <v>8826</v>
      </c>
      <c r="EC134" s="1">
        <f t="shared" si="56"/>
        <v>501044</v>
      </c>
      <c r="ED134" s="1">
        <f t="shared" si="51"/>
        <v>-1164</v>
      </c>
      <c r="EE134" s="1"/>
    </row>
    <row r="135" spans="1:135" x14ac:dyDescent="0.25">
      <c r="A135" s="124">
        <v>36312</v>
      </c>
      <c r="B135" s="125">
        <v>0</v>
      </c>
      <c r="C135" s="125">
        <v>0</v>
      </c>
      <c r="D135" s="125">
        <v>0</v>
      </c>
      <c r="E135" s="125" t="s">
        <v>370</v>
      </c>
      <c r="F135" s="125" t="s">
        <v>370</v>
      </c>
      <c r="G135" s="125">
        <v>0</v>
      </c>
      <c r="H135" s="125">
        <v>0</v>
      </c>
      <c r="I135" s="125">
        <v>0</v>
      </c>
      <c r="J135" s="125">
        <v>10231</v>
      </c>
      <c r="K135" s="125"/>
      <c r="L135" s="125">
        <v>32423</v>
      </c>
      <c r="M135" s="125">
        <v>3155</v>
      </c>
      <c r="N135" s="125"/>
      <c r="O135" s="125">
        <v>3128</v>
      </c>
      <c r="P135" s="125">
        <v>6738</v>
      </c>
      <c r="Q135" s="125">
        <v>1055</v>
      </c>
      <c r="R135" s="125">
        <v>9640</v>
      </c>
      <c r="S135" s="125">
        <v>13738</v>
      </c>
      <c r="T135" s="125"/>
      <c r="U135" s="125"/>
      <c r="V135" s="125">
        <v>1754</v>
      </c>
      <c r="W135" s="125">
        <v>0</v>
      </c>
      <c r="X135" s="125">
        <v>638</v>
      </c>
      <c r="Y135" s="125">
        <v>30</v>
      </c>
      <c r="Z135" s="126"/>
      <c r="AA135" s="125">
        <v>20</v>
      </c>
      <c r="AB135" s="125">
        <v>0</v>
      </c>
      <c r="AC135" s="125">
        <v>14</v>
      </c>
      <c r="AD135" s="125">
        <v>24</v>
      </c>
      <c r="AE135" s="125">
        <v>34</v>
      </c>
      <c r="AF135" s="125">
        <v>63</v>
      </c>
      <c r="AG135" s="125"/>
      <c r="AH135" s="125"/>
      <c r="AI135" s="125">
        <v>12</v>
      </c>
      <c r="AJ135" s="125">
        <v>0</v>
      </c>
      <c r="AK135" s="125">
        <v>81928</v>
      </c>
      <c r="AL135" s="125">
        <v>3504</v>
      </c>
      <c r="AM135" s="125">
        <v>8475</v>
      </c>
      <c r="AN135" s="125">
        <v>31</v>
      </c>
      <c r="AO135" s="125">
        <v>14</v>
      </c>
      <c r="AP135" s="125">
        <v>1276</v>
      </c>
      <c r="AQ135" s="125">
        <v>711</v>
      </c>
      <c r="AR135" s="125">
        <v>1821</v>
      </c>
      <c r="AS135" s="125" t="s">
        <v>370</v>
      </c>
      <c r="AT135" s="125">
        <v>1929</v>
      </c>
      <c r="AU135" s="125">
        <v>1671</v>
      </c>
      <c r="AV135" s="125">
        <v>2841</v>
      </c>
      <c r="AW135" s="125">
        <v>9544</v>
      </c>
      <c r="AX135" s="126"/>
      <c r="AY135" s="126"/>
      <c r="AZ135" s="126">
        <v>0</v>
      </c>
      <c r="BA135" s="126"/>
      <c r="BB135" s="125">
        <v>816</v>
      </c>
      <c r="BC135" s="125"/>
      <c r="BD135" s="125">
        <v>26175</v>
      </c>
      <c r="BE135" s="125">
        <v>62987</v>
      </c>
      <c r="BF135" s="125">
        <v>333</v>
      </c>
      <c r="BG135" s="125">
        <v>929</v>
      </c>
      <c r="BH135" s="125">
        <v>1053</v>
      </c>
      <c r="BI135" s="125">
        <v>6005</v>
      </c>
      <c r="BJ135" s="125">
        <v>58</v>
      </c>
      <c r="BK135" s="125">
        <v>3212</v>
      </c>
      <c r="BL135" s="125"/>
      <c r="BM135" s="125">
        <v>477</v>
      </c>
      <c r="BN135" s="125">
        <v>29</v>
      </c>
      <c r="BO135" s="125">
        <v>0</v>
      </c>
      <c r="BP135" s="125">
        <v>13307</v>
      </c>
      <c r="BQ135" s="125">
        <v>15984</v>
      </c>
      <c r="BR135" s="125">
        <v>21</v>
      </c>
      <c r="BS135" s="125">
        <v>464</v>
      </c>
      <c r="BT135" s="125">
        <v>412</v>
      </c>
      <c r="BU135" s="125"/>
      <c r="BV135" s="125">
        <v>12</v>
      </c>
      <c r="BW135" s="125">
        <v>214</v>
      </c>
      <c r="BX135" s="125"/>
      <c r="BY135" s="125">
        <v>139</v>
      </c>
      <c r="BZ135" s="125">
        <v>0</v>
      </c>
      <c r="CA135" s="125">
        <v>0</v>
      </c>
      <c r="CB135" s="125">
        <v>12480</v>
      </c>
      <c r="CC135" s="125">
        <v>58108</v>
      </c>
      <c r="CD135" s="125">
        <v>87837</v>
      </c>
      <c r="CE135" s="125">
        <v>14223</v>
      </c>
      <c r="CF135" s="125">
        <v>0</v>
      </c>
      <c r="CG135" s="125">
        <v>0</v>
      </c>
      <c r="CH135" s="125">
        <v>70</v>
      </c>
      <c r="CI135" s="125">
        <v>68</v>
      </c>
      <c r="CJ135" s="125">
        <v>122</v>
      </c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  <c r="CV135" s="125"/>
      <c r="CW135" s="125"/>
      <c r="CX135" s="125"/>
      <c r="CY135" s="125" t="s">
        <v>370</v>
      </c>
      <c r="CZ135" s="125" t="s">
        <v>370</v>
      </c>
      <c r="DA135" s="125" t="s">
        <v>370</v>
      </c>
      <c r="DB135" s="125">
        <v>0</v>
      </c>
      <c r="DC135" s="125">
        <v>0</v>
      </c>
      <c r="DD135" s="125">
        <v>0</v>
      </c>
      <c r="DE135">
        <f t="shared" si="38"/>
        <v>501977</v>
      </c>
      <c r="DG135" s="1">
        <f t="shared" si="52"/>
        <v>303004</v>
      </c>
      <c r="DH135" s="1">
        <f t="shared" si="39"/>
        <v>187441</v>
      </c>
      <c r="DI135" s="127">
        <f t="shared" si="40"/>
        <v>490445</v>
      </c>
      <c r="DK135" s="1">
        <f t="shared" si="41"/>
        <v>57885</v>
      </c>
      <c r="DL135" s="1">
        <f t="shared" si="42"/>
        <v>95313</v>
      </c>
      <c r="DM135" s="1">
        <f t="shared" si="43"/>
        <v>13782</v>
      </c>
      <c r="DN135" s="1">
        <f t="shared" si="44"/>
        <v>20486</v>
      </c>
      <c r="DO135" s="1">
        <f t="shared" si="45"/>
        <v>239797</v>
      </c>
      <c r="DP135" s="1">
        <f t="shared" si="46"/>
        <v>41352</v>
      </c>
      <c r="DQ135" s="1">
        <f t="shared" si="53"/>
        <v>0</v>
      </c>
      <c r="DR135" s="1">
        <f t="shared" si="47"/>
        <v>12574</v>
      </c>
      <c r="DS135" s="1">
        <f t="shared" si="48"/>
        <v>0</v>
      </c>
      <c r="DT135" s="1">
        <f t="shared" si="49"/>
        <v>9768</v>
      </c>
      <c r="DU135" s="1"/>
      <c r="DV135" s="1"/>
      <c r="DW135" s="1"/>
      <c r="DX135" s="1">
        <f t="shared" si="54"/>
        <v>490957</v>
      </c>
      <c r="DZ135" s="1">
        <f t="shared" si="55"/>
        <v>0</v>
      </c>
      <c r="EA135" s="1">
        <f t="shared" si="50"/>
        <v>10231</v>
      </c>
      <c r="EC135" s="1">
        <f t="shared" si="56"/>
        <v>501188</v>
      </c>
      <c r="ED135" s="1">
        <f t="shared" si="51"/>
        <v>-789</v>
      </c>
      <c r="EE135" s="1"/>
    </row>
    <row r="136" spans="1:135" x14ac:dyDescent="0.25">
      <c r="A136" s="124">
        <v>36342</v>
      </c>
      <c r="B136" s="125">
        <v>0</v>
      </c>
      <c r="C136" s="125">
        <v>0</v>
      </c>
      <c r="D136" s="125">
        <v>0</v>
      </c>
      <c r="E136" s="125" t="s">
        <v>370</v>
      </c>
      <c r="F136" s="125" t="s">
        <v>370</v>
      </c>
      <c r="G136" s="125">
        <v>0</v>
      </c>
      <c r="H136" s="125">
        <v>0</v>
      </c>
      <c r="I136" s="125">
        <v>0</v>
      </c>
      <c r="J136" s="125">
        <v>11736</v>
      </c>
      <c r="K136" s="125"/>
      <c r="L136" s="125">
        <v>32406</v>
      </c>
      <c r="M136" s="125">
        <v>3156</v>
      </c>
      <c r="N136" s="125"/>
      <c r="O136" s="125">
        <v>3075</v>
      </c>
      <c r="P136" s="125">
        <v>6774</v>
      </c>
      <c r="Q136" s="125">
        <v>1046</v>
      </c>
      <c r="R136" s="125">
        <v>9687</v>
      </c>
      <c r="S136" s="125">
        <v>13782</v>
      </c>
      <c r="T136" s="125"/>
      <c r="U136" s="125"/>
      <c r="V136" s="125">
        <v>1741</v>
      </c>
      <c r="W136" s="125">
        <v>0</v>
      </c>
      <c r="X136" s="125">
        <v>641</v>
      </c>
      <c r="Y136" s="125">
        <v>32</v>
      </c>
      <c r="Z136" s="126"/>
      <c r="AA136" s="125">
        <v>18</v>
      </c>
      <c r="AB136" s="125">
        <v>0</v>
      </c>
      <c r="AC136" s="125">
        <v>13</v>
      </c>
      <c r="AD136" s="125">
        <v>22</v>
      </c>
      <c r="AE136" s="125">
        <v>37</v>
      </c>
      <c r="AF136" s="125">
        <v>65</v>
      </c>
      <c r="AG136" s="125"/>
      <c r="AH136" s="125"/>
      <c r="AI136" s="125">
        <v>13</v>
      </c>
      <c r="AJ136" s="125">
        <v>0</v>
      </c>
      <c r="AK136" s="125">
        <v>81794</v>
      </c>
      <c r="AL136" s="125">
        <v>3510</v>
      </c>
      <c r="AM136" s="125">
        <v>8583</v>
      </c>
      <c r="AN136" s="125">
        <v>35</v>
      </c>
      <c r="AO136" s="125">
        <v>13</v>
      </c>
      <c r="AP136" s="125">
        <v>1408</v>
      </c>
      <c r="AQ136" s="125">
        <v>827</v>
      </c>
      <c r="AR136" s="125">
        <v>1834</v>
      </c>
      <c r="AS136" s="125" t="s">
        <v>370</v>
      </c>
      <c r="AT136" s="125">
        <v>1940</v>
      </c>
      <c r="AU136" s="125">
        <v>1698</v>
      </c>
      <c r="AV136" s="125">
        <v>2889</v>
      </c>
      <c r="AW136" s="125">
        <v>9590</v>
      </c>
      <c r="AX136" s="126"/>
      <c r="AY136" s="126"/>
      <c r="AZ136" s="126">
        <v>0</v>
      </c>
      <c r="BA136" s="126"/>
      <c r="BB136" s="125">
        <v>812</v>
      </c>
      <c r="BC136" s="125"/>
      <c r="BD136" s="125">
        <v>25646</v>
      </c>
      <c r="BE136" s="125">
        <v>62021</v>
      </c>
      <c r="BF136" s="125">
        <v>344</v>
      </c>
      <c r="BG136" s="125">
        <v>889</v>
      </c>
      <c r="BH136" s="125">
        <v>1002</v>
      </c>
      <c r="BI136" s="125">
        <v>6016</v>
      </c>
      <c r="BJ136" s="125">
        <v>53</v>
      </c>
      <c r="BK136" s="125">
        <v>3190</v>
      </c>
      <c r="BL136" s="125"/>
      <c r="BM136" s="125">
        <v>503</v>
      </c>
      <c r="BN136" s="125">
        <v>30</v>
      </c>
      <c r="BO136" s="125">
        <v>0</v>
      </c>
      <c r="BP136" s="125">
        <v>13374</v>
      </c>
      <c r="BQ136" s="125">
        <v>15932</v>
      </c>
      <c r="BR136" s="125">
        <v>22</v>
      </c>
      <c r="BS136" s="125">
        <v>453</v>
      </c>
      <c r="BT136" s="125">
        <v>387</v>
      </c>
      <c r="BU136" s="125"/>
      <c r="BV136" s="125">
        <v>15</v>
      </c>
      <c r="BW136" s="125">
        <v>218</v>
      </c>
      <c r="BX136" s="125"/>
      <c r="BY136" s="125">
        <v>131</v>
      </c>
      <c r="BZ136" s="125">
        <v>0</v>
      </c>
      <c r="CA136" s="125">
        <v>0</v>
      </c>
      <c r="CB136" s="125">
        <v>12510</v>
      </c>
      <c r="CC136" s="125">
        <v>57957</v>
      </c>
      <c r="CD136" s="125">
        <v>87980</v>
      </c>
      <c r="CE136" s="125">
        <v>14106</v>
      </c>
      <c r="CF136" s="125">
        <v>0</v>
      </c>
      <c r="CG136" s="125">
        <v>0</v>
      </c>
      <c r="CH136" s="125">
        <v>64</v>
      </c>
      <c r="CI136" s="125">
        <v>66</v>
      </c>
      <c r="CJ136" s="125">
        <v>95</v>
      </c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 t="s">
        <v>370</v>
      </c>
      <c r="CZ136" s="125" t="s">
        <v>370</v>
      </c>
      <c r="DA136" s="125" t="s">
        <v>370</v>
      </c>
      <c r="DB136" s="125">
        <v>0</v>
      </c>
      <c r="DC136" s="125">
        <v>0</v>
      </c>
      <c r="DD136" s="125">
        <v>0</v>
      </c>
      <c r="DE136">
        <f t="shared" si="38"/>
        <v>502181</v>
      </c>
      <c r="DG136" s="1">
        <f t="shared" si="52"/>
        <v>303408</v>
      </c>
      <c r="DH136" s="1">
        <f t="shared" si="39"/>
        <v>187895</v>
      </c>
      <c r="DI136" s="127">
        <f t="shared" si="40"/>
        <v>491303</v>
      </c>
      <c r="DK136" s="1">
        <f t="shared" si="41"/>
        <v>57872</v>
      </c>
      <c r="DL136" s="1">
        <f t="shared" si="42"/>
        <v>95288</v>
      </c>
      <c r="DM136" s="1">
        <f t="shared" si="43"/>
        <v>13842</v>
      </c>
      <c r="DN136" s="1">
        <f t="shared" si="44"/>
        <v>20730</v>
      </c>
      <c r="DO136" s="1">
        <f t="shared" si="45"/>
        <v>240405</v>
      </c>
      <c r="DP136" s="1">
        <f t="shared" si="46"/>
        <v>40865</v>
      </c>
      <c r="DQ136" s="1">
        <f t="shared" si="53"/>
        <v>0</v>
      </c>
      <c r="DR136" s="1">
        <f t="shared" si="47"/>
        <v>12612</v>
      </c>
      <c r="DS136" s="1">
        <f t="shared" si="48"/>
        <v>0</v>
      </c>
      <c r="DT136" s="1">
        <f t="shared" si="49"/>
        <v>9761</v>
      </c>
      <c r="DU136" s="1"/>
      <c r="DV136" s="1"/>
      <c r="DW136" s="1"/>
      <c r="DX136" s="1">
        <f t="shared" si="54"/>
        <v>491375</v>
      </c>
      <c r="DZ136" s="1">
        <f t="shared" si="55"/>
        <v>0</v>
      </c>
      <c r="EA136" s="1">
        <f t="shared" si="50"/>
        <v>11736</v>
      </c>
      <c r="EC136" s="1">
        <f t="shared" si="56"/>
        <v>503111</v>
      </c>
      <c r="ED136" s="1">
        <f t="shared" si="51"/>
        <v>930</v>
      </c>
      <c r="EE136" s="1"/>
    </row>
    <row r="137" spans="1:135" x14ac:dyDescent="0.25">
      <c r="A137" s="124">
        <v>36373</v>
      </c>
      <c r="B137" s="125">
        <v>0</v>
      </c>
      <c r="C137" s="125">
        <v>0</v>
      </c>
      <c r="D137" s="125">
        <v>0</v>
      </c>
      <c r="E137" s="125" t="s">
        <v>370</v>
      </c>
      <c r="F137" s="125" t="s">
        <v>370</v>
      </c>
      <c r="G137" s="125">
        <v>0</v>
      </c>
      <c r="H137" s="125">
        <v>0</v>
      </c>
      <c r="I137" s="125">
        <v>0</v>
      </c>
      <c r="J137" s="125">
        <v>12946</v>
      </c>
      <c r="K137" s="125"/>
      <c r="L137" s="125">
        <v>32417</v>
      </c>
      <c r="M137" s="125">
        <v>3175</v>
      </c>
      <c r="N137" s="125"/>
      <c r="O137" s="125">
        <v>3019</v>
      </c>
      <c r="P137" s="125">
        <v>6846</v>
      </c>
      <c r="Q137" s="125">
        <v>1034</v>
      </c>
      <c r="R137" s="125">
        <v>9679</v>
      </c>
      <c r="S137" s="125">
        <v>13842</v>
      </c>
      <c r="T137" s="125"/>
      <c r="U137" s="125"/>
      <c r="V137" s="125">
        <v>1702</v>
      </c>
      <c r="W137" s="125">
        <v>0</v>
      </c>
      <c r="X137" s="125">
        <v>629</v>
      </c>
      <c r="Y137" s="125">
        <v>32</v>
      </c>
      <c r="Z137" s="126"/>
      <c r="AA137" s="125">
        <v>18</v>
      </c>
      <c r="AB137" s="125">
        <v>0</v>
      </c>
      <c r="AC137" s="125">
        <v>13</v>
      </c>
      <c r="AD137" s="125">
        <v>24</v>
      </c>
      <c r="AE137" s="125">
        <v>36</v>
      </c>
      <c r="AF137" s="125">
        <v>63</v>
      </c>
      <c r="AG137" s="125"/>
      <c r="AH137" s="125"/>
      <c r="AI137" s="125">
        <v>13</v>
      </c>
      <c r="AJ137" s="125">
        <v>0</v>
      </c>
      <c r="AK137" s="125">
        <v>82047</v>
      </c>
      <c r="AL137" s="125">
        <v>3499</v>
      </c>
      <c r="AM137" s="125">
        <v>8621</v>
      </c>
      <c r="AN137" s="125">
        <v>27</v>
      </c>
      <c r="AO137" s="125">
        <v>12</v>
      </c>
      <c r="AP137" s="125">
        <v>1496</v>
      </c>
      <c r="AQ137" s="125">
        <v>885</v>
      </c>
      <c r="AR137" s="125">
        <v>1822</v>
      </c>
      <c r="AS137" s="125" t="s">
        <v>370</v>
      </c>
      <c r="AT137" s="125">
        <v>1938</v>
      </c>
      <c r="AU137" s="125">
        <v>1674</v>
      </c>
      <c r="AV137" s="125">
        <v>2888</v>
      </c>
      <c r="AW137" s="125">
        <v>9653</v>
      </c>
      <c r="AX137" s="126"/>
      <c r="AY137" s="126"/>
      <c r="AZ137" s="126">
        <v>0</v>
      </c>
      <c r="BA137" s="126"/>
      <c r="BB137" s="125">
        <v>791</v>
      </c>
      <c r="BC137" s="125"/>
      <c r="BD137" s="125">
        <v>25278</v>
      </c>
      <c r="BE137" s="125">
        <v>61343</v>
      </c>
      <c r="BF137" s="125">
        <v>340</v>
      </c>
      <c r="BG137" s="125">
        <v>900</v>
      </c>
      <c r="BH137" s="125">
        <v>1010</v>
      </c>
      <c r="BI137" s="125">
        <v>5981</v>
      </c>
      <c r="BJ137" s="125">
        <v>52</v>
      </c>
      <c r="BK137" s="125">
        <v>3228</v>
      </c>
      <c r="BL137" s="125"/>
      <c r="BM137" s="125">
        <v>538</v>
      </c>
      <c r="BN137" s="125">
        <v>30</v>
      </c>
      <c r="BO137" s="125">
        <v>0</v>
      </c>
      <c r="BP137" s="125">
        <v>13473</v>
      </c>
      <c r="BQ137" s="125">
        <v>16010</v>
      </c>
      <c r="BR137" s="125">
        <v>22</v>
      </c>
      <c r="BS137" s="125">
        <v>441</v>
      </c>
      <c r="BT137" s="125">
        <v>383</v>
      </c>
      <c r="BU137" s="125"/>
      <c r="BV137" s="125">
        <v>15</v>
      </c>
      <c r="BW137" s="125">
        <v>212</v>
      </c>
      <c r="BX137" s="125"/>
      <c r="BY137" s="125">
        <v>127</v>
      </c>
      <c r="BZ137" s="125">
        <v>0</v>
      </c>
      <c r="CA137" s="125">
        <v>1598</v>
      </c>
      <c r="CB137" s="125">
        <v>12553</v>
      </c>
      <c r="CC137" s="125">
        <v>57638</v>
      </c>
      <c r="CD137" s="125">
        <v>87995</v>
      </c>
      <c r="CE137" s="125">
        <v>14030</v>
      </c>
      <c r="CF137" s="125">
        <v>0</v>
      </c>
      <c r="CG137" s="125">
        <v>0</v>
      </c>
      <c r="CH137" s="125">
        <v>59</v>
      </c>
      <c r="CI137" s="125">
        <v>62</v>
      </c>
      <c r="CJ137" s="125">
        <v>90</v>
      </c>
      <c r="CK137" s="125"/>
      <c r="CL137" s="125"/>
      <c r="CM137" s="125"/>
      <c r="CN137" s="125"/>
      <c r="CO137" s="125"/>
      <c r="CP137" s="125"/>
      <c r="CQ137" s="125"/>
      <c r="CR137" s="125"/>
      <c r="CS137" s="125"/>
      <c r="CT137" s="125"/>
      <c r="CU137" s="125"/>
      <c r="CV137" s="125"/>
      <c r="CW137" s="125"/>
      <c r="CX137" s="125"/>
      <c r="CY137" s="125" t="s">
        <v>370</v>
      </c>
      <c r="CZ137" s="125" t="s">
        <v>370</v>
      </c>
      <c r="DA137" s="125" t="s">
        <v>370</v>
      </c>
      <c r="DB137" s="125">
        <v>0</v>
      </c>
      <c r="DC137" s="125">
        <v>0</v>
      </c>
      <c r="DD137" s="125">
        <v>0</v>
      </c>
      <c r="DE137">
        <f t="shared" si="38"/>
        <v>504249</v>
      </c>
      <c r="DG137" s="1">
        <f t="shared" si="52"/>
        <v>301439</v>
      </c>
      <c r="DH137" s="1">
        <f t="shared" si="39"/>
        <v>188060</v>
      </c>
      <c r="DI137" s="127">
        <f t="shared" si="40"/>
        <v>489499</v>
      </c>
      <c r="DK137" s="1">
        <f t="shared" si="41"/>
        <v>57834</v>
      </c>
      <c r="DL137" s="1">
        <f t="shared" si="42"/>
        <v>95451</v>
      </c>
      <c r="DM137" s="1">
        <f t="shared" si="43"/>
        <v>13798</v>
      </c>
      <c r="DN137" s="1">
        <f t="shared" si="44"/>
        <v>20975</v>
      </c>
      <c r="DO137" s="1">
        <f t="shared" si="45"/>
        <v>238949</v>
      </c>
      <c r="DP137" s="1">
        <f t="shared" si="46"/>
        <v>40630</v>
      </c>
      <c r="DQ137" s="1">
        <f t="shared" si="53"/>
        <v>0</v>
      </c>
      <c r="DR137" s="1">
        <f t="shared" si="47"/>
        <v>12607</v>
      </c>
      <c r="DS137" s="1">
        <f t="shared" si="48"/>
        <v>0</v>
      </c>
      <c r="DT137" s="1">
        <f t="shared" si="49"/>
        <v>9683</v>
      </c>
      <c r="DU137" s="1"/>
      <c r="DV137" s="1"/>
      <c r="DW137" s="1"/>
      <c r="DX137" s="1">
        <f t="shared" si="54"/>
        <v>489927</v>
      </c>
      <c r="DZ137" s="1">
        <f t="shared" si="55"/>
        <v>0</v>
      </c>
      <c r="EA137" s="1">
        <f t="shared" si="50"/>
        <v>12946</v>
      </c>
      <c r="EC137" s="1">
        <f t="shared" si="56"/>
        <v>502873</v>
      </c>
      <c r="ED137" s="1">
        <f t="shared" si="51"/>
        <v>-1376</v>
      </c>
      <c r="EE137" s="1"/>
    </row>
    <row r="138" spans="1:135" x14ac:dyDescent="0.25">
      <c r="A138" s="124">
        <v>36404</v>
      </c>
      <c r="B138" s="125">
        <v>0</v>
      </c>
      <c r="C138" s="125">
        <v>0</v>
      </c>
      <c r="D138" s="125">
        <v>0</v>
      </c>
      <c r="E138" s="125" t="s">
        <v>370</v>
      </c>
      <c r="F138" s="125" t="s">
        <v>370</v>
      </c>
      <c r="G138" s="125">
        <v>0</v>
      </c>
      <c r="H138" s="125">
        <v>0</v>
      </c>
      <c r="I138" s="125">
        <v>0</v>
      </c>
      <c r="J138" s="125">
        <v>14513</v>
      </c>
      <c r="K138" s="125"/>
      <c r="L138" s="125">
        <v>32378</v>
      </c>
      <c r="M138" s="125">
        <v>3207</v>
      </c>
      <c r="N138" s="125"/>
      <c r="O138" s="125">
        <v>2925</v>
      </c>
      <c r="P138" s="125">
        <v>6945</v>
      </c>
      <c r="Q138" s="125">
        <v>1015</v>
      </c>
      <c r="R138" s="125">
        <v>9764</v>
      </c>
      <c r="S138" s="125">
        <v>13798</v>
      </c>
      <c r="T138" s="125"/>
      <c r="U138" s="125"/>
      <c r="V138" s="125">
        <v>1600</v>
      </c>
      <c r="W138" s="125">
        <v>0</v>
      </c>
      <c r="X138" s="125">
        <v>633</v>
      </c>
      <c r="Y138" s="125">
        <v>32</v>
      </c>
      <c r="Z138" s="126"/>
      <c r="AA138" s="125">
        <v>21</v>
      </c>
      <c r="AB138" s="125">
        <v>0</v>
      </c>
      <c r="AC138" s="125">
        <v>15</v>
      </c>
      <c r="AD138" s="125">
        <v>25</v>
      </c>
      <c r="AE138" s="125">
        <v>36</v>
      </c>
      <c r="AF138" s="125">
        <v>61</v>
      </c>
      <c r="AG138" s="125"/>
      <c r="AH138" s="125"/>
      <c r="AI138" s="125">
        <v>12</v>
      </c>
      <c r="AJ138" s="125">
        <v>0</v>
      </c>
      <c r="AK138" s="125">
        <v>82029</v>
      </c>
      <c r="AL138" s="125">
        <v>3492</v>
      </c>
      <c r="AM138" s="125">
        <v>8625</v>
      </c>
      <c r="AN138" s="125">
        <v>31</v>
      </c>
      <c r="AO138" s="125">
        <v>8</v>
      </c>
      <c r="AP138" s="125">
        <v>1637</v>
      </c>
      <c r="AQ138" s="125">
        <v>968</v>
      </c>
      <c r="AR138" s="125">
        <v>1760</v>
      </c>
      <c r="AS138" s="125" t="s">
        <v>370</v>
      </c>
      <c r="AT138" s="125">
        <v>1978</v>
      </c>
      <c r="AU138" s="125">
        <v>1692</v>
      </c>
      <c r="AV138" s="125">
        <v>2909</v>
      </c>
      <c r="AW138" s="125">
        <v>9676</v>
      </c>
      <c r="AX138" s="126"/>
      <c r="AY138" s="126"/>
      <c r="AZ138" s="126">
        <v>0</v>
      </c>
      <c r="BA138" s="126"/>
      <c r="BB138" s="125">
        <v>788</v>
      </c>
      <c r="BC138" s="125"/>
      <c r="BD138" s="125">
        <v>24737</v>
      </c>
      <c r="BE138" s="125">
        <v>60342</v>
      </c>
      <c r="BF138" s="125">
        <v>345</v>
      </c>
      <c r="BG138" s="125">
        <v>877</v>
      </c>
      <c r="BH138" s="125">
        <v>925</v>
      </c>
      <c r="BI138" s="125">
        <v>5984</v>
      </c>
      <c r="BJ138" s="125">
        <v>41</v>
      </c>
      <c r="BK138" s="125">
        <v>3149</v>
      </c>
      <c r="BL138" s="125"/>
      <c r="BM138" s="125">
        <v>552</v>
      </c>
      <c r="BN138" s="125">
        <v>30</v>
      </c>
      <c r="BO138" s="125">
        <v>0</v>
      </c>
      <c r="BP138" s="125">
        <v>13569</v>
      </c>
      <c r="BQ138" s="125">
        <v>16059</v>
      </c>
      <c r="BR138" s="125">
        <v>23</v>
      </c>
      <c r="BS138" s="125">
        <v>465</v>
      </c>
      <c r="BT138" s="125">
        <v>394</v>
      </c>
      <c r="BU138" s="125"/>
      <c r="BV138" s="125">
        <v>15</v>
      </c>
      <c r="BW138" s="125">
        <v>205</v>
      </c>
      <c r="BX138" s="125"/>
      <c r="BY138" s="125">
        <v>120</v>
      </c>
      <c r="BZ138" s="125">
        <v>0</v>
      </c>
      <c r="CA138" s="125">
        <v>1786</v>
      </c>
      <c r="CB138" s="125">
        <v>12539</v>
      </c>
      <c r="CC138" s="125">
        <v>57216</v>
      </c>
      <c r="CD138" s="125">
        <v>87885</v>
      </c>
      <c r="CE138" s="125">
        <v>13968</v>
      </c>
      <c r="CF138" s="125">
        <v>0</v>
      </c>
      <c r="CG138" s="125">
        <v>0</v>
      </c>
      <c r="CH138" s="125">
        <v>68</v>
      </c>
      <c r="CI138" s="125">
        <v>65</v>
      </c>
      <c r="CJ138" s="125">
        <v>80</v>
      </c>
      <c r="CK138" s="125"/>
      <c r="CL138" s="125"/>
      <c r="CM138" s="125"/>
      <c r="CN138" s="125"/>
      <c r="CO138" s="125"/>
      <c r="CP138" s="125"/>
      <c r="CQ138" s="125"/>
      <c r="CR138" s="125"/>
      <c r="CS138" s="125"/>
      <c r="CT138" s="125"/>
      <c r="CU138" s="125"/>
      <c r="CV138" s="125"/>
      <c r="CW138" s="125"/>
      <c r="CX138" s="125"/>
      <c r="CY138" s="125" t="s">
        <v>370</v>
      </c>
      <c r="CZ138" s="125" t="s">
        <v>370</v>
      </c>
      <c r="DA138" s="125" t="s">
        <v>370</v>
      </c>
      <c r="DB138" s="125">
        <v>0</v>
      </c>
      <c r="DC138" s="125">
        <v>0</v>
      </c>
      <c r="DD138" s="125">
        <v>0</v>
      </c>
      <c r="DE138">
        <f t="shared" si="38"/>
        <v>504012</v>
      </c>
      <c r="DG138" s="1">
        <f t="shared" si="52"/>
        <v>302537</v>
      </c>
      <c r="DH138" s="1">
        <f t="shared" si="39"/>
        <v>188790</v>
      </c>
      <c r="DI138" s="127">
        <f t="shared" si="40"/>
        <v>491327</v>
      </c>
      <c r="DK138" s="1">
        <f t="shared" si="41"/>
        <v>57933</v>
      </c>
      <c r="DL138" s="1">
        <f t="shared" si="42"/>
        <v>95453</v>
      </c>
      <c r="DM138" s="1">
        <f t="shared" si="43"/>
        <v>13874</v>
      </c>
      <c r="DN138" s="1">
        <f t="shared" si="44"/>
        <v>21176</v>
      </c>
      <c r="DO138" s="1">
        <f t="shared" si="45"/>
        <v>239705</v>
      </c>
      <c r="DP138" s="1">
        <f t="shared" si="46"/>
        <v>40200</v>
      </c>
      <c r="DQ138" s="1">
        <f t="shared" si="53"/>
        <v>0</v>
      </c>
      <c r="DR138" s="1">
        <f t="shared" si="47"/>
        <v>12614</v>
      </c>
      <c r="DS138" s="1">
        <f t="shared" si="48"/>
        <v>0</v>
      </c>
      <c r="DT138" s="1">
        <f t="shared" si="49"/>
        <v>9791</v>
      </c>
      <c r="DU138" s="1"/>
      <c r="DV138" s="1"/>
      <c r="DW138" s="1"/>
      <c r="DX138" s="1">
        <f t="shared" si="54"/>
        <v>490746</v>
      </c>
      <c r="DZ138" s="1">
        <f t="shared" si="55"/>
        <v>0</v>
      </c>
      <c r="EA138" s="1">
        <f t="shared" si="50"/>
        <v>14513</v>
      </c>
      <c r="EC138" s="1">
        <f t="shared" si="56"/>
        <v>505259</v>
      </c>
      <c r="ED138" s="1">
        <f t="shared" si="51"/>
        <v>1247</v>
      </c>
      <c r="EE138" s="1"/>
    </row>
    <row r="139" spans="1:135" x14ac:dyDescent="0.25">
      <c r="A139" s="124">
        <v>36434</v>
      </c>
      <c r="B139" s="125">
        <v>0</v>
      </c>
      <c r="C139" s="125">
        <v>0</v>
      </c>
      <c r="D139" s="125">
        <v>0</v>
      </c>
      <c r="E139" s="125" t="s">
        <v>370</v>
      </c>
      <c r="F139" s="125" t="s">
        <v>370</v>
      </c>
      <c r="G139" s="125">
        <v>0</v>
      </c>
      <c r="H139" s="125">
        <v>0</v>
      </c>
      <c r="I139" s="125">
        <v>0</v>
      </c>
      <c r="J139" s="125">
        <v>15515</v>
      </c>
      <c r="K139" s="125"/>
      <c r="L139" s="125">
        <v>32445</v>
      </c>
      <c r="M139" s="125">
        <v>3250</v>
      </c>
      <c r="N139" s="125"/>
      <c r="O139" s="125">
        <v>2878</v>
      </c>
      <c r="P139" s="125">
        <v>7007</v>
      </c>
      <c r="Q139" s="125">
        <v>1001</v>
      </c>
      <c r="R139" s="125">
        <v>9810</v>
      </c>
      <c r="S139" s="125">
        <v>13874</v>
      </c>
      <c r="T139" s="125"/>
      <c r="U139" s="125"/>
      <c r="V139" s="125">
        <v>1542</v>
      </c>
      <c r="W139" s="125">
        <v>0</v>
      </c>
      <c r="X139" s="125">
        <v>628</v>
      </c>
      <c r="Y139" s="125">
        <v>35</v>
      </c>
      <c r="Z139" s="126"/>
      <c r="AA139" s="125">
        <v>21</v>
      </c>
      <c r="AB139" s="125">
        <v>0</v>
      </c>
      <c r="AC139" s="125">
        <v>15</v>
      </c>
      <c r="AD139" s="125">
        <v>24</v>
      </c>
      <c r="AE139" s="125">
        <v>34</v>
      </c>
      <c r="AF139" s="125">
        <v>60</v>
      </c>
      <c r="AG139" s="125"/>
      <c r="AH139" s="125"/>
      <c r="AI139" s="125">
        <v>11</v>
      </c>
      <c r="AJ139" s="125">
        <v>0</v>
      </c>
      <c r="AK139" s="125">
        <v>82386</v>
      </c>
      <c r="AL139" s="125">
        <v>3513</v>
      </c>
      <c r="AM139" s="125">
        <v>8642</v>
      </c>
      <c r="AN139" s="125">
        <v>33</v>
      </c>
      <c r="AO139" s="125">
        <v>8</v>
      </c>
      <c r="AP139" s="125">
        <v>1728</v>
      </c>
      <c r="AQ139" s="125">
        <v>1050</v>
      </c>
      <c r="AR139" s="125">
        <v>1717</v>
      </c>
      <c r="AS139" s="125" t="s">
        <v>370</v>
      </c>
      <c r="AT139" s="125">
        <v>1987</v>
      </c>
      <c r="AU139" s="125">
        <v>1706</v>
      </c>
      <c r="AV139" s="125">
        <v>2933</v>
      </c>
      <c r="AW139" s="125">
        <v>9688</v>
      </c>
      <c r="AX139" s="126"/>
      <c r="AY139" s="126"/>
      <c r="AZ139" s="126">
        <v>0</v>
      </c>
      <c r="BA139" s="126"/>
      <c r="BB139" s="125">
        <v>764</v>
      </c>
      <c r="BC139" s="125"/>
      <c r="BD139" s="125">
        <v>24574</v>
      </c>
      <c r="BE139" s="125">
        <v>59820</v>
      </c>
      <c r="BF139" s="125">
        <v>355</v>
      </c>
      <c r="BG139" s="125">
        <v>861</v>
      </c>
      <c r="BH139" s="125">
        <v>931</v>
      </c>
      <c r="BI139" s="125">
        <v>6035</v>
      </c>
      <c r="BJ139" s="125">
        <v>41</v>
      </c>
      <c r="BK139" s="125">
        <v>3197</v>
      </c>
      <c r="BL139" s="125"/>
      <c r="BM139" s="125">
        <v>705</v>
      </c>
      <c r="BN139" s="125">
        <v>29</v>
      </c>
      <c r="BO139" s="125">
        <v>0</v>
      </c>
      <c r="BP139" s="125">
        <v>13834</v>
      </c>
      <c r="BQ139" s="125">
        <v>16419</v>
      </c>
      <c r="BR139" s="125">
        <v>22</v>
      </c>
      <c r="BS139" s="125">
        <v>453</v>
      </c>
      <c r="BT139" s="125">
        <v>368</v>
      </c>
      <c r="BU139" s="125"/>
      <c r="BV139" s="125">
        <v>9</v>
      </c>
      <c r="BW139" s="125">
        <v>204</v>
      </c>
      <c r="BX139" s="125"/>
      <c r="BY139" s="125">
        <v>119</v>
      </c>
      <c r="BZ139" s="125">
        <v>0</v>
      </c>
      <c r="CA139" s="125">
        <v>1993</v>
      </c>
      <c r="CB139" s="125">
        <v>12544</v>
      </c>
      <c r="CC139" s="125">
        <v>57297</v>
      </c>
      <c r="CD139" s="125">
        <v>88371</v>
      </c>
      <c r="CE139" s="125">
        <v>14143</v>
      </c>
      <c r="CF139" s="125">
        <v>0</v>
      </c>
      <c r="CG139" s="125">
        <v>0</v>
      </c>
      <c r="CH139" s="125">
        <v>70</v>
      </c>
      <c r="CI139" s="125">
        <v>64</v>
      </c>
      <c r="CJ139" s="125">
        <v>79</v>
      </c>
      <c r="CK139" s="125"/>
      <c r="CL139" s="125"/>
      <c r="CM139" s="125"/>
      <c r="CN139" s="125"/>
      <c r="CO139" s="125"/>
      <c r="CP139" s="125"/>
      <c r="CQ139" s="125"/>
      <c r="CR139" s="125"/>
      <c r="CS139" s="125"/>
      <c r="CT139" s="125"/>
      <c r="CU139" s="125"/>
      <c r="CV139" s="125"/>
      <c r="CW139" s="125"/>
      <c r="CX139" s="125"/>
      <c r="CY139" s="125" t="s">
        <v>370</v>
      </c>
      <c r="CZ139" s="125" t="s">
        <v>370</v>
      </c>
      <c r="DA139" s="125" t="s">
        <v>370</v>
      </c>
      <c r="DB139" s="125">
        <v>0</v>
      </c>
      <c r="DC139" s="125">
        <v>0</v>
      </c>
      <c r="DD139" s="125">
        <v>0</v>
      </c>
      <c r="DE139">
        <f t="shared" si="38"/>
        <v>506842</v>
      </c>
      <c r="DG139" s="1">
        <f t="shared" si="52"/>
        <v>301472</v>
      </c>
      <c r="DH139" s="1">
        <f t="shared" si="39"/>
        <v>188821</v>
      </c>
      <c r="DI139" s="127">
        <f t="shared" si="40"/>
        <v>490293</v>
      </c>
      <c r="DK139" s="1">
        <f t="shared" si="41"/>
        <v>57782</v>
      </c>
      <c r="DL139" s="1">
        <f t="shared" si="42"/>
        <v>95807</v>
      </c>
      <c r="DM139" s="1">
        <f t="shared" si="43"/>
        <v>13918</v>
      </c>
      <c r="DN139" s="1">
        <f t="shared" si="44"/>
        <v>21378</v>
      </c>
      <c r="DO139" s="1">
        <f t="shared" si="45"/>
        <v>239058</v>
      </c>
      <c r="DP139" s="1">
        <f t="shared" si="46"/>
        <v>40427</v>
      </c>
      <c r="DQ139" s="1">
        <f t="shared" si="53"/>
        <v>0</v>
      </c>
      <c r="DR139" s="1">
        <f t="shared" si="47"/>
        <v>12485</v>
      </c>
      <c r="DS139" s="1">
        <f t="shared" si="48"/>
        <v>0</v>
      </c>
      <c r="DT139" s="1">
        <f t="shared" si="49"/>
        <v>9772</v>
      </c>
      <c r="DU139" s="1"/>
      <c r="DV139" s="1"/>
      <c r="DW139" s="1"/>
      <c r="DX139" s="1">
        <f t="shared" si="54"/>
        <v>490627</v>
      </c>
      <c r="DZ139" s="1">
        <f t="shared" si="55"/>
        <v>0</v>
      </c>
      <c r="EA139" s="1">
        <f t="shared" si="50"/>
        <v>15515</v>
      </c>
      <c r="EC139" s="1">
        <f t="shared" si="56"/>
        <v>506142</v>
      </c>
      <c r="ED139" s="1">
        <f t="shared" si="51"/>
        <v>-700</v>
      </c>
      <c r="EE139" s="1"/>
    </row>
    <row r="140" spans="1:135" x14ac:dyDescent="0.25">
      <c r="A140" s="124">
        <v>36465</v>
      </c>
      <c r="B140" s="125">
        <v>0</v>
      </c>
      <c r="C140" s="125">
        <v>0</v>
      </c>
      <c r="D140" s="125">
        <v>0</v>
      </c>
      <c r="E140" s="125" t="s">
        <v>370</v>
      </c>
      <c r="F140" s="125" t="s">
        <v>370</v>
      </c>
      <c r="G140" s="125">
        <v>0</v>
      </c>
      <c r="H140" s="125">
        <v>0</v>
      </c>
      <c r="I140" s="125">
        <v>0</v>
      </c>
      <c r="J140" s="125">
        <v>16912</v>
      </c>
      <c r="K140" s="125"/>
      <c r="L140" s="125">
        <v>32427</v>
      </c>
      <c r="M140" s="125">
        <v>3235</v>
      </c>
      <c r="N140" s="125"/>
      <c r="O140" s="125">
        <v>2830</v>
      </c>
      <c r="P140" s="125">
        <v>7036</v>
      </c>
      <c r="Q140" s="125">
        <v>986</v>
      </c>
      <c r="R140" s="125">
        <v>9759</v>
      </c>
      <c r="S140" s="125">
        <v>13918</v>
      </c>
      <c r="T140" s="125"/>
      <c r="U140" s="125"/>
      <c r="V140" s="125">
        <v>1509</v>
      </c>
      <c r="W140" s="125">
        <v>0</v>
      </c>
      <c r="X140" s="125">
        <v>628</v>
      </c>
      <c r="Y140" s="125">
        <v>35</v>
      </c>
      <c r="Z140" s="126"/>
      <c r="AA140" s="125">
        <v>20</v>
      </c>
      <c r="AB140" s="125">
        <v>0</v>
      </c>
      <c r="AC140" s="125">
        <v>14</v>
      </c>
      <c r="AD140" s="125">
        <v>23</v>
      </c>
      <c r="AE140" s="125">
        <v>35</v>
      </c>
      <c r="AF140" s="125">
        <v>61</v>
      </c>
      <c r="AG140" s="125"/>
      <c r="AH140" s="125"/>
      <c r="AI140" s="125">
        <v>10</v>
      </c>
      <c r="AJ140" s="125">
        <v>0</v>
      </c>
      <c r="AK140" s="125">
        <v>82282</v>
      </c>
      <c r="AL140" s="125">
        <v>3509</v>
      </c>
      <c r="AM140" s="125">
        <v>8709</v>
      </c>
      <c r="AN140" s="125">
        <v>33</v>
      </c>
      <c r="AO140" s="125">
        <v>9</v>
      </c>
      <c r="AP140" s="125">
        <v>1798</v>
      </c>
      <c r="AQ140" s="125">
        <v>1102</v>
      </c>
      <c r="AR140" s="125">
        <v>1722</v>
      </c>
      <c r="AS140" s="125" t="s">
        <v>370</v>
      </c>
      <c r="AT140" s="125">
        <v>2007</v>
      </c>
      <c r="AU140" s="125">
        <v>1703</v>
      </c>
      <c r="AV140" s="125">
        <v>2956</v>
      </c>
      <c r="AW140" s="125">
        <v>9699</v>
      </c>
      <c r="AX140" s="126"/>
      <c r="AY140" s="126"/>
      <c r="AZ140" s="126">
        <v>0</v>
      </c>
      <c r="BA140" s="126"/>
      <c r="BB140" s="125">
        <v>766</v>
      </c>
      <c r="BC140" s="125"/>
      <c r="BD140" s="125">
        <v>24038</v>
      </c>
      <c r="BE140" s="125">
        <v>58922</v>
      </c>
      <c r="BF140" s="125">
        <v>361</v>
      </c>
      <c r="BG140" s="125">
        <v>874</v>
      </c>
      <c r="BH140" s="125">
        <v>962</v>
      </c>
      <c r="BI140" s="125">
        <v>6027</v>
      </c>
      <c r="BJ140" s="125">
        <v>45</v>
      </c>
      <c r="BK140" s="125">
        <v>3178</v>
      </c>
      <c r="BL140" s="125"/>
      <c r="BM140" s="125">
        <v>805</v>
      </c>
      <c r="BN140" s="125">
        <v>28</v>
      </c>
      <c r="BO140" s="125">
        <v>0</v>
      </c>
      <c r="BP140" s="125">
        <v>13969</v>
      </c>
      <c r="BQ140" s="125">
        <v>16836</v>
      </c>
      <c r="BR140" s="125">
        <v>20</v>
      </c>
      <c r="BS140" s="125">
        <v>471</v>
      </c>
      <c r="BT140" s="125">
        <v>394</v>
      </c>
      <c r="BU140" s="125"/>
      <c r="BV140" s="125">
        <v>10</v>
      </c>
      <c r="BW140" s="125">
        <v>206</v>
      </c>
      <c r="BX140" s="125"/>
      <c r="BY140" s="125">
        <v>116</v>
      </c>
      <c r="BZ140" s="125">
        <v>0</v>
      </c>
      <c r="CA140" s="125">
        <v>2248</v>
      </c>
      <c r="CB140" s="125">
        <v>12420</v>
      </c>
      <c r="CC140" s="125">
        <v>57062</v>
      </c>
      <c r="CD140" s="125">
        <v>88224</v>
      </c>
      <c r="CE140" s="125">
        <v>14057</v>
      </c>
      <c r="CF140" s="125">
        <v>0</v>
      </c>
      <c r="CG140" s="125">
        <v>0</v>
      </c>
      <c r="CH140" s="125">
        <v>65</v>
      </c>
      <c r="CI140" s="125">
        <v>60</v>
      </c>
      <c r="CJ140" s="125">
        <v>74</v>
      </c>
      <c r="CK140" s="125"/>
      <c r="CL140" s="125"/>
      <c r="CM140" s="125"/>
      <c r="CN140" s="125"/>
      <c r="CO140" s="125"/>
      <c r="CP140" s="125"/>
      <c r="CQ140" s="125"/>
      <c r="CR140" s="125"/>
      <c r="CS140" s="125"/>
      <c r="CT140" s="125"/>
      <c r="CU140" s="125"/>
      <c r="CV140" s="125"/>
      <c r="CW140" s="125"/>
      <c r="CX140" s="125"/>
      <c r="CY140" s="125" t="s">
        <v>370</v>
      </c>
      <c r="CZ140" s="125" t="s">
        <v>370</v>
      </c>
      <c r="DA140" s="125" t="s">
        <v>370</v>
      </c>
      <c r="DB140" s="125">
        <v>0</v>
      </c>
      <c r="DC140" s="125">
        <v>0</v>
      </c>
      <c r="DD140" s="125">
        <v>0</v>
      </c>
      <c r="DE140">
        <f t="shared" si="38"/>
        <v>507205</v>
      </c>
      <c r="DG140" s="1">
        <f t="shared" si="52"/>
        <v>302778</v>
      </c>
      <c r="DH140" s="1">
        <f t="shared" si="39"/>
        <v>189764</v>
      </c>
      <c r="DI140" s="127">
        <f t="shared" si="40"/>
        <v>492542</v>
      </c>
      <c r="DK140" s="1">
        <f t="shared" si="41"/>
        <v>57803</v>
      </c>
      <c r="DL140" s="1">
        <f t="shared" si="42"/>
        <v>95743</v>
      </c>
      <c r="DM140" s="1">
        <f t="shared" si="43"/>
        <v>13976</v>
      </c>
      <c r="DN140" s="1">
        <f t="shared" si="44"/>
        <v>21782</v>
      </c>
      <c r="DO140" s="1">
        <f t="shared" si="45"/>
        <v>240504</v>
      </c>
      <c r="DP140" s="1">
        <f t="shared" si="46"/>
        <v>40157</v>
      </c>
      <c r="DQ140" s="1">
        <f t="shared" si="53"/>
        <v>0</v>
      </c>
      <c r="DR140" s="1">
        <f t="shared" si="47"/>
        <v>12323</v>
      </c>
      <c r="DS140" s="1">
        <f t="shared" si="48"/>
        <v>0</v>
      </c>
      <c r="DT140" s="1">
        <f t="shared" si="49"/>
        <v>9801</v>
      </c>
      <c r="DU140" s="1"/>
      <c r="DV140" s="1"/>
      <c r="DW140" s="1"/>
      <c r="DX140" s="1">
        <f t="shared" si="54"/>
        <v>492089</v>
      </c>
      <c r="DZ140" s="1">
        <f t="shared" si="55"/>
        <v>0</v>
      </c>
      <c r="EA140" s="1">
        <f t="shared" si="50"/>
        <v>16912</v>
      </c>
      <c r="EC140" s="1">
        <f t="shared" si="56"/>
        <v>509001</v>
      </c>
      <c r="ED140" s="1">
        <f t="shared" si="51"/>
        <v>1796</v>
      </c>
      <c r="EE140" s="1"/>
    </row>
    <row r="141" spans="1:135" x14ac:dyDescent="0.25">
      <c r="A141" s="124">
        <v>36495</v>
      </c>
      <c r="B141" s="125">
        <v>0</v>
      </c>
      <c r="C141" s="125">
        <v>0</v>
      </c>
      <c r="D141" s="125">
        <v>0</v>
      </c>
      <c r="E141" s="125" t="s">
        <v>370</v>
      </c>
      <c r="F141" s="125" t="s">
        <v>370</v>
      </c>
      <c r="G141" s="125">
        <v>0</v>
      </c>
      <c r="H141" s="125">
        <v>0</v>
      </c>
      <c r="I141" s="125">
        <v>0</v>
      </c>
      <c r="J141" s="125">
        <v>18139</v>
      </c>
      <c r="K141" s="125"/>
      <c r="L141" s="125">
        <v>32447</v>
      </c>
      <c r="M141" s="125">
        <v>3228</v>
      </c>
      <c r="N141" s="125"/>
      <c r="O141" s="125">
        <v>2794</v>
      </c>
      <c r="P141" s="125">
        <v>7076</v>
      </c>
      <c r="Q141" s="125">
        <v>979</v>
      </c>
      <c r="R141" s="125">
        <v>9819</v>
      </c>
      <c r="S141" s="125">
        <v>13976</v>
      </c>
      <c r="T141" s="125"/>
      <c r="U141" s="125"/>
      <c r="V141" s="125">
        <v>1460</v>
      </c>
      <c r="W141" s="125">
        <v>0</v>
      </c>
      <c r="X141" s="125">
        <v>624</v>
      </c>
      <c r="Y141" s="125">
        <v>33</v>
      </c>
      <c r="Z141" s="126"/>
      <c r="AA141" s="125">
        <v>16</v>
      </c>
      <c r="AB141" s="125">
        <v>0</v>
      </c>
      <c r="AC141" s="125">
        <v>15</v>
      </c>
      <c r="AD141" s="125">
        <v>23</v>
      </c>
      <c r="AE141" s="125">
        <v>35</v>
      </c>
      <c r="AF141" s="125">
        <v>61</v>
      </c>
      <c r="AG141" s="125"/>
      <c r="AH141" s="125"/>
      <c r="AI141" s="125">
        <v>11</v>
      </c>
      <c r="AJ141" s="125">
        <v>0</v>
      </c>
      <c r="AK141" s="125">
        <v>82758</v>
      </c>
      <c r="AL141" s="125">
        <v>3481</v>
      </c>
      <c r="AM141" s="125">
        <v>8800</v>
      </c>
      <c r="AN141" s="125">
        <v>30</v>
      </c>
      <c r="AO141" s="125">
        <v>10</v>
      </c>
      <c r="AP141" s="125">
        <v>1882</v>
      </c>
      <c r="AQ141" s="125">
        <v>1216</v>
      </c>
      <c r="AR141" s="125">
        <v>1690</v>
      </c>
      <c r="AS141" s="125" t="s">
        <v>370</v>
      </c>
      <c r="AT141" s="125">
        <v>2025</v>
      </c>
      <c r="AU141" s="125">
        <v>1715</v>
      </c>
      <c r="AV141" s="125">
        <v>2992</v>
      </c>
      <c r="AW141" s="125">
        <v>9813</v>
      </c>
      <c r="AX141" s="126"/>
      <c r="AY141" s="126"/>
      <c r="AZ141" s="126">
        <v>0</v>
      </c>
      <c r="BA141" s="126"/>
      <c r="BB141" s="125">
        <v>755</v>
      </c>
      <c r="BC141" s="125"/>
      <c r="BD141" s="125">
        <v>23826</v>
      </c>
      <c r="BE141" s="125">
        <v>58331</v>
      </c>
      <c r="BF141" s="125">
        <v>360</v>
      </c>
      <c r="BG141" s="125">
        <v>907</v>
      </c>
      <c r="BH141" s="125">
        <v>998</v>
      </c>
      <c r="BI141" s="125">
        <v>6059</v>
      </c>
      <c r="BJ141" s="125">
        <v>44</v>
      </c>
      <c r="BK141" s="125">
        <v>3180</v>
      </c>
      <c r="BL141" s="125"/>
      <c r="BM141" s="125">
        <v>819</v>
      </c>
      <c r="BN141" s="125">
        <v>28</v>
      </c>
      <c r="BO141" s="125">
        <v>0</v>
      </c>
      <c r="BP141" s="125">
        <v>14115</v>
      </c>
      <c r="BQ141" s="125">
        <v>17043</v>
      </c>
      <c r="BR141" s="125">
        <v>19</v>
      </c>
      <c r="BS141" s="125">
        <v>483</v>
      </c>
      <c r="BT141" s="125">
        <v>418</v>
      </c>
      <c r="BU141" s="125"/>
      <c r="BV141" s="125">
        <v>9</v>
      </c>
      <c r="BW141" s="125">
        <v>202</v>
      </c>
      <c r="BX141" s="125"/>
      <c r="BY141" s="125">
        <v>114</v>
      </c>
      <c r="BZ141" s="125">
        <v>0</v>
      </c>
      <c r="CA141" s="125">
        <v>2440</v>
      </c>
      <c r="CB141" s="125">
        <v>12264</v>
      </c>
      <c r="CC141" s="125">
        <v>57476</v>
      </c>
      <c r="CD141" s="125">
        <v>89195</v>
      </c>
      <c r="CE141" s="125">
        <v>14248</v>
      </c>
      <c r="CF141" s="125">
        <v>0</v>
      </c>
      <c r="CG141" s="125">
        <v>0</v>
      </c>
      <c r="CH141" s="125">
        <v>59</v>
      </c>
      <c r="CI141" s="125">
        <v>58</v>
      </c>
      <c r="CJ141" s="125">
        <v>83</v>
      </c>
      <c r="CK141" s="125"/>
      <c r="CL141" s="125"/>
      <c r="CM141" s="125"/>
      <c r="CN141" s="125"/>
      <c r="CO141" s="125"/>
      <c r="CP141" s="125"/>
      <c r="CQ141" s="125"/>
      <c r="CR141" s="125"/>
      <c r="CS141" s="125"/>
      <c r="CT141" s="125"/>
      <c r="CU141" s="125"/>
      <c r="CV141" s="125"/>
      <c r="CW141" s="125"/>
      <c r="CX141" s="125"/>
      <c r="CY141" s="125" t="s">
        <v>370</v>
      </c>
      <c r="CZ141" s="125" t="s">
        <v>370</v>
      </c>
      <c r="DA141" s="125" t="s">
        <v>370</v>
      </c>
      <c r="DB141" s="125">
        <v>0</v>
      </c>
      <c r="DC141" s="125">
        <v>0</v>
      </c>
      <c r="DD141" s="125">
        <v>0</v>
      </c>
      <c r="DE141">
        <f t="shared" si="38"/>
        <v>510681</v>
      </c>
      <c r="DG141" s="1">
        <f t="shared" si="52"/>
        <v>299271</v>
      </c>
      <c r="DH141" s="1">
        <f t="shared" si="39"/>
        <v>186340</v>
      </c>
      <c r="DI141" s="127">
        <f t="shared" si="40"/>
        <v>485611</v>
      </c>
      <c r="DK141" s="1">
        <f t="shared" si="41"/>
        <v>57600</v>
      </c>
      <c r="DL141" s="1">
        <f t="shared" si="42"/>
        <v>96203</v>
      </c>
      <c r="DM141" s="1">
        <f t="shared" si="43"/>
        <v>13955</v>
      </c>
      <c r="DN141" s="1">
        <f t="shared" si="44"/>
        <v>18692</v>
      </c>
      <c r="DO141" s="1">
        <f t="shared" si="45"/>
        <v>237936</v>
      </c>
      <c r="DP141" s="1">
        <f t="shared" si="46"/>
        <v>40150</v>
      </c>
      <c r="DQ141" s="1">
        <f t="shared" si="53"/>
        <v>0</v>
      </c>
      <c r="DR141" s="1">
        <f t="shared" si="47"/>
        <v>12151</v>
      </c>
      <c r="DS141" s="1">
        <f t="shared" si="48"/>
        <v>0</v>
      </c>
      <c r="DT141" s="1">
        <f t="shared" si="49"/>
        <v>9767</v>
      </c>
      <c r="DU141" s="1"/>
      <c r="DV141" s="1"/>
      <c r="DW141" s="1"/>
      <c r="DX141" s="1">
        <f t="shared" si="54"/>
        <v>486454</v>
      </c>
      <c r="DZ141" s="1">
        <f t="shared" si="55"/>
        <v>0</v>
      </c>
      <c r="EA141" s="1">
        <f t="shared" si="50"/>
        <v>18139</v>
      </c>
      <c r="EC141" s="1">
        <f t="shared" si="56"/>
        <v>504593</v>
      </c>
      <c r="ED141" s="1">
        <f t="shared" si="51"/>
        <v>-6088</v>
      </c>
      <c r="EE141" s="1"/>
    </row>
    <row r="142" spans="1:135" x14ac:dyDescent="0.25">
      <c r="A142" s="124">
        <v>36526</v>
      </c>
      <c r="B142" s="125">
        <v>0</v>
      </c>
      <c r="C142" s="125">
        <v>0</v>
      </c>
      <c r="D142" s="125">
        <v>0</v>
      </c>
      <c r="E142" s="125" t="s">
        <v>370</v>
      </c>
      <c r="F142" s="125" t="s">
        <v>370</v>
      </c>
      <c r="G142" s="125">
        <v>0</v>
      </c>
      <c r="H142" s="125">
        <v>0</v>
      </c>
      <c r="I142" s="125">
        <v>0</v>
      </c>
      <c r="J142" s="125">
        <v>18952</v>
      </c>
      <c r="K142" s="125"/>
      <c r="L142" s="125">
        <v>32386</v>
      </c>
      <c r="M142" s="125">
        <v>3227</v>
      </c>
      <c r="N142" s="125"/>
      <c r="O142" s="125">
        <v>2745</v>
      </c>
      <c r="P142" s="125">
        <v>7067</v>
      </c>
      <c r="Q142" s="125">
        <v>967</v>
      </c>
      <c r="R142" s="125">
        <v>9784</v>
      </c>
      <c r="S142" s="125">
        <v>13955</v>
      </c>
      <c r="T142" s="125"/>
      <c r="U142" s="125"/>
      <c r="V142" s="125">
        <v>1424</v>
      </c>
      <c r="W142" s="125">
        <v>0</v>
      </c>
      <c r="X142" s="125">
        <v>626</v>
      </c>
      <c r="Y142" s="125">
        <v>33</v>
      </c>
      <c r="Z142" s="126"/>
      <c r="AA142" s="125">
        <v>17</v>
      </c>
      <c r="AB142" s="125">
        <v>0</v>
      </c>
      <c r="AC142" s="125">
        <v>15</v>
      </c>
      <c r="AD142" s="125">
        <v>23</v>
      </c>
      <c r="AE142" s="125">
        <v>33</v>
      </c>
      <c r="AF142" s="125">
        <v>61</v>
      </c>
      <c r="AG142" s="125"/>
      <c r="AH142" s="125"/>
      <c r="AI142" s="125">
        <v>11</v>
      </c>
      <c r="AJ142" s="125">
        <v>0</v>
      </c>
      <c r="AK142" s="125">
        <v>82667</v>
      </c>
      <c r="AL142" s="125">
        <v>3478</v>
      </c>
      <c r="AM142" s="125">
        <v>8809</v>
      </c>
      <c r="AN142" s="125">
        <v>22</v>
      </c>
      <c r="AO142" s="125">
        <v>14</v>
      </c>
      <c r="AP142" s="125">
        <v>21</v>
      </c>
      <c r="AQ142" s="125">
        <v>4</v>
      </c>
      <c r="AR142" s="125">
        <v>1677</v>
      </c>
      <c r="AS142" s="125" t="s">
        <v>370</v>
      </c>
      <c r="AT142" s="125">
        <v>2023</v>
      </c>
      <c r="AU142" s="125">
        <v>1726</v>
      </c>
      <c r="AV142" s="125">
        <v>3008</v>
      </c>
      <c r="AW142" s="125">
        <v>9783</v>
      </c>
      <c r="AX142" s="126"/>
      <c r="AY142" s="126"/>
      <c r="AZ142" s="126">
        <v>0</v>
      </c>
      <c r="BA142" s="126"/>
      <c r="BB142" s="125">
        <v>734</v>
      </c>
      <c r="BC142" s="125"/>
      <c r="BD142" s="125">
        <v>23216</v>
      </c>
      <c r="BE142" s="125">
        <v>57020</v>
      </c>
      <c r="BF142" s="125">
        <v>358</v>
      </c>
      <c r="BG142" s="125">
        <v>899</v>
      </c>
      <c r="BH142" s="125">
        <v>983</v>
      </c>
      <c r="BI142" s="125">
        <v>6047</v>
      </c>
      <c r="BJ142" s="125">
        <v>37</v>
      </c>
      <c r="BK142" s="125">
        <v>3167</v>
      </c>
      <c r="BL142" s="125"/>
      <c r="BM142" s="125">
        <v>817</v>
      </c>
      <c r="BN142" s="125">
        <v>25</v>
      </c>
      <c r="BO142" s="125">
        <v>0</v>
      </c>
      <c r="BP142" s="125">
        <v>14001</v>
      </c>
      <c r="BQ142" s="125">
        <v>16942</v>
      </c>
      <c r="BR142" s="125">
        <v>21</v>
      </c>
      <c r="BS142" s="125">
        <v>484</v>
      </c>
      <c r="BT142" s="125">
        <v>434</v>
      </c>
      <c r="BU142" s="125"/>
      <c r="BV142" s="125">
        <v>9</v>
      </c>
      <c r="BW142" s="125">
        <v>195</v>
      </c>
      <c r="BX142" s="125"/>
      <c r="BY142" s="125">
        <v>108</v>
      </c>
      <c r="BZ142" s="125">
        <v>0</v>
      </c>
      <c r="CA142" s="125">
        <v>2567</v>
      </c>
      <c r="CB142" s="125">
        <v>12100</v>
      </c>
      <c r="CC142" s="125">
        <v>56720</v>
      </c>
      <c r="CD142" s="125">
        <v>88697</v>
      </c>
      <c r="CE142" s="125">
        <v>14232</v>
      </c>
      <c r="CF142" s="125">
        <v>0</v>
      </c>
      <c r="CG142" s="125">
        <v>0</v>
      </c>
      <c r="CH142" s="125">
        <v>51</v>
      </c>
      <c r="CI142" s="125">
        <v>59</v>
      </c>
      <c r="CJ142" s="125">
        <v>82</v>
      </c>
      <c r="CK142" s="125"/>
      <c r="CL142" s="125"/>
      <c r="CM142" s="125"/>
      <c r="CN142" s="125"/>
      <c r="CO142" s="125"/>
      <c r="CP142" s="125"/>
      <c r="CQ142" s="125"/>
      <c r="CR142" s="125"/>
      <c r="CS142" s="125"/>
      <c r="CT142" s="125"/>
      <c r="CU142" s="125"/>
      <c r="CV142" s="125"/>
      <c r="CW142" s="125"/>
      <c r="CX142" s="125"/>
      <c r="CY142" s="125" t="s">
        <v>370</v>
      </c>
      <c r="CZ142" s="125" t="s">
        <v>370</v>
      </c>
      <c r="DA142" s="125" t="s">
        <v>370</v>
      </c>
      <c r="DB142" s="125">
        <v>0</v>
      </c>
      <c r="DC142" s="125">
        <v>0</v>
      </c>
      <c r="DD142" s="125">
        <v>0</v>
      </c>
      <c r="DE142">
        <f t="shared" si="38"/>
        <v>504563</v>
      </c>
      <c r="DG142" s="1">
        <f t="shared" si="52"/>
        <v>299162</v>
      </c>
      <c r="DH142" s="1">
        <f t="shared" si="39"/>
        <v>186737</v>
      </c>
      <c r="DI142" s="127">
        <f t="shared" si="40"/>
        <v>485899</v>
      </c>
      <c r="DK142" s="1">
        <f t="shared" si="41"/>
        <v>57358</v>
      </c>
      <c r="DL142" s="1">
        <f t="shared" si="42"/>
        <v>96093</v>
      </c>
      <c r="DM142" s="1">
        <f t="shared" si="43"/>
        <v>13930</v>
      </c>
      <c r="DN142" s="1">
        <f t="shared" si="44"/>
        <v>19227</v>
      </c>
      <c r="DO142" s="1">
        <f t="shared" si="45"/>
        <v>238094</v>
      </c>
      <c r="DP142" s="1">
        <f t="shared" si="46"/>
        <v>39417</v>
      </c>
      <c r="DQ142" s="1">
        <f t="shared" si="53"/>
        <v>0</v>
      </c>
      <c r="DR142" s="1">
        <f t="shared" si="47"/>
        <v>12051</v>
      </c>
      <c r="DS142" s="1">
        <f t="shared" si="48"/>
        <v>0</v>
      </c>
      <c r="DT142" s="1">
        <f t="shared" si="49"/>
        <v>9791</v>
      </c>
      <c r="DU142" s="1"/>
      <c r="DV142" s="1"/>
      <c r="DW142" s="1"/>
      <c r="DX142" s="1">
        <f t="shared" si="54"/>
        <v>485961</v>
      </c>
      <c r="DZ142" s="1">
        <f t="shared" si="55"/>
        <v>0</v>
      </c>
      <c r="EA142" s="1">
        <f t="shared" si="50"/>
        <v>18952</v>
      </c>
      <c r="EC142" s="1">
        <f t="shared" si="56"/>
        <v>504913</v>
      </c>
      <c r="ED142" s="1">
        <f t="shared" si="51"/>
        <v>350</v>
      </c>
      <c r="EE142" s="1"/>
    </row>
    <row r="143" spans="1:135" x14ac:dyDescent="0.25">
      <c r="A143" s="124">
        <v>36557</v>
      </c>
      <c r="B143" s="125">
        <v>0</v>
      </c>
      <c r="C143" s="125">
        <v>0</v>
      </c>
      <c r="D143" s="125">
        <v>0</v>
      </c>
      <c r="E143" s="125" t="s">
        <v>370</v>
      </c>
      <c r="F143" s="125" t="s">
        <v>370</v>
      </c>
      <c r="G143" s="125">
        <v>0</v>
      </c>
      <c r="H143" s="125">
        <v>0</v>
      </c>
      <c r="I143" s="125">
        <v>0</v>
      </c>
      <c r="J143" s="125">
        <v>20088</v>
      </c>
      <c r="K143" s="125"/>
      <c r="L143" s="125">
        <v>32370</v>
      </c>
      <c r="M143" s="125">
        <v>3204</v>
      </c>
      <c r="N143" s="125"/>
      <c r="O143" s="125">
        <v>2729</v>
      </c>
      <c r="P143" s="125">
        <v>7010</v>
      </c>
      <c r="Q143" s="125">
        <v>951</v>
      </c>
      <c r="R143" s="125">
        <v>9710</v>
      </c>
      <c r="S143" s="125">
        <v>13930</v>
      </c>
      <c r="T143" s="125"/>
      <c r="U143" s="125"/>
      <c r="V143" s="125">
        <v>1384</v>
      </c>
      <c r="W143" s="125">
        <v>0</v>
      </c>
      <c r="X143" s="125">
        <v>623</v>
      </c>
      <c r="Y143" s="125">
        <v>33</v>
      </c>
      <c r="Z143" s="126"/>
      <c r="AA143" s="125">
        <v>14</v>
      </c>
      <c r="AB143" s="125">
        <v>0</v>
      </c>
      <c r="AC143" s="125">
        <v>15</v>
      </c>
      <c r="AD143" s="125">
        <v>23</v>
      </c>
      <c r="AE143" s="125">
        <v>32</v>
      </c>
      <c r="AF143" s="125">
        <v>60</v>
      </c>
      <c r="AG143" s="125"/>
      <c r="AH143" s="125"/>
      <c r="AI143" s="125">
        <v>11</v>
      </c>
      <c r="AJ143" s="125">
        <v>0</v>
      </c>
      <c r="AK143" s="125">
        <v>82781</v>
      </c>
      <c r="AL143" s="125">
        <v>3458</v>
      </c>
      <c r="AM143" s="125">
        <v>8899</v>
      </c>
      <c r="AN143" s="125">
        <v>22</v>
      </c>
      <c r="AO143" s="125">
        <v>15</v>
      </c>
      <c r="AP143" s="125">
        <v>344</v>
      </c>
      <c r="AQ143" s="125">
        <v>89</v>
      </c>
      <c r="AR143" s="125">
        <v>1679</v>
      </c>
      <c r="AS143" s="125" t="s">
        <v>370</v>
      </c>
      <c r="AT143" s="125">
        <v>2051</v>
      </c>
      <c r="AU143" s="125">
        <v>1726</v>
      </c>
      <c r="AV143" s="125">
        <v>3019</v>
      </c>
      <c r="AW143" s="125">
        <v>9820</v>
      </c>
      <c r="AX143" s="126"/>
      <c r="AY143" s="126"/>
      <c r="AZ143" s="126">
        <v>0</v>
      </c>
      <c r="BA143" s="126"/>
      <c r="BB143" s="125">
        <v>735</v>
      </c>
      <c r="BC143" s="125"/>
      <c r="BD143" s="125">
        <v>22854</v>
      </c>
      <c r="BE143" s="125">
        <v>56268</v>
      </c>
      <c r="BF143" s="125">
        <v>364</v>
      </c>
      <c r="BG143" s="125">
        <v>893</v>
      </c>
      <c r="BH143" s="125">
        <v>974</v>
      </c>
      <c r="BI143" s="125">
        <v>6046</v>
      </c>
      <c r="BJ143" s="125">
        <v>34</v>
      </c>
      <c r="BK143" s="125">
        <v>3180</v>
      </c>
      <c r="BL143" s="125"/>
      <c r="BM143" s="125">
        <v>710</v>
      </c>
      <c r="BN143" s="125">
        <v>23</v>
      </c>
      <c r="BO143" s="125">
        <v>0</v>
      </c>
      <c r="BP143" s="125">
        <v>14233</v>
      </c>
      <c r="BQ143" s="125">
        <v>17266</v>
      </c>
      <c r="BR143" s="125">
        <v>23</v>
      </c>
      <c r="BS143" s="125">
        <v>536</v>
      </c>
      <c r="BT143" s="125">
        <v>491</v>
      </c>
      <c r="BU143" s="125"/>
      <c r="BV143" s="125">
        <v>7</v>
      </c>
      <c r="BW143" s="125">
        <v>201</v>
      </c>
      <c r="BX143" s="125"/>
      <c r="BY143" s="125">
        <v>102</v>
      </c>
      <c r="BZ143" s="125">
        <v>0</v>
      </c>
      <c r="CA143" s="125">
        <v>2749</v>
      </c>
      <c r="CB143" s="125">
        <v>12006</v>
      </c>
      <c r="CC143" s="125">
        <v>56629</v>
      </c>
      <c r="CD143" s="125">
        <v>88942</v>
      </c>
      <c r="CE143" s="125">
        <v>14430</v>
      </c>
      <c r="CF143" s="125">
        <v>0</v>
      </c>
      <c r="CG143" s="125">
        <v>0</v>
      </c>
      <c r="CH143" s="125">
        <v>45</v>
      </c>
      <c r="CI143" s="125">
        <v>61</v>
      </c>
      <c r="CJ143" s="125">
        <v>95</v>
      </c>
      <c r="CK143" s="125"/>
      <c r="CL143" s="125"/>
      <c r="CM143" s="125"/>
      <c r="CN143" s="125"/>
      <c r="CO143" s="125"/>
      <c r="CP143" s="125"/>
      <c r="CQ143" s="125"/>
      <c r="CR143" s="125"/>
      <c r="CS143" s="125"/>
      <c r="CT143" s="125"/>
      <c r="CU143" s="125"/>
      <c r="CV143" s="125"/>
      <c r="CW143" s="125"/>
      <c r="CX143" s="125"/>
      <c r="CY143" s="125" t="s">
        <v>370</v>
      </c>
      <c r="CZ143" s="125" t="s">
        <v>370</v>
      </c>
      <c r="DA143" s="125" t="s">
        <v>370</v>
      </c>
      <c r="DB143" s="125">
        <v>0</v>
      </c>
      <c r="DC143" s="125">
        <v>0</v>
      </c>
      <c r="DD143" s="125">
        <v>0</v>
      </c>
      <c r="DE143">
        <f t="shared" si="38"/>
        <v>505987</v>
      </c>
      <c r="DG143" s="1">
        <f t="shared" si="52"/>
        <v>299038</v>
      </c>
      <c r="DH143" s="1">
        <f t="shared" si="39"/>
        <v>187391</v>
      </c>
      <c r="DI143" s="127">
        <f t="shared" si="40"/>
        <v>486429</v>
      </c>
      <c r="DK143" s="1">
        <f t="shared" si="41"/>
        <v>57151</v>
      </c>
      <c r="DL143" s="1">
        <f t="shared" si="42"/>
        <v>96222</v>
      </c>
      <c r="DM143" s="1">
        <f t="shared" si="43"/>
        <v>13956</v>
      </c>
      <c r="DN143" s="1">
        <f t="shared" si="44"/>
        <v>20032</v>
      </c>
      <c r="DO143" s="1">
        <f t="shared" si="45"/>
        <v>238172</v>
      </c>
      <c r="DP143" s="1">
        <f t="shared" si="46"/>
        <v>39226</v>
      </c>
      <c r="DQ143" s="1">
        <f t="shared" si="53"/>
        <v>0</v>
      </c>
      <c r="DR143" s="1">
        <f t="shared" si="47"/>
        <v>12148</v>
      </c>
      <c r="DS143" s="1">
        <f t="shared" si="48"/>
        <v>0</v>
      </c>
      <c r="DT143" s="1">
        <f t="shared" si="49"/>
        <v>9856</v>
      </c>
      <c r="DU143" s="1"/>
      <c r="DV143" s="1"/>
      <c r="DW143" s="1"/>
      <c r="DX143" s="1">
        <f t="shared" si="54"/>
        <v>486763</v>
      </c>
      <c r="DZ143" s="1">
        <f t="shared" si="55"/>
        <v>0</v>
      </c>
      <c r="EA143" s="1">
        <f t="shared" si="50"/>
        <v>20088</v>
      </c>
      <c r="EC143" s="1">
        <f t="shared" si="56"/>
        <v>506851</v>
      </c>
      <c r="ED143" s="1">
        <f t="shared" si="51"/>
        <v>864</v>
      </c>
      <c r="EE143" s="1"/>
    </row>
    <row r="144" spans="1:135" x14ac:dyDescent="0.25">
      <c r="A144" s="124">
        <v>36586</v>
      </c>
      <c r="B144" s="125">
        <v>0</v>
      </c>
      <c r="C144" s="125">
        <v>0</v>
      </c>
      <c r="D144" s="125">
        <v>0</v>
      </c>
      <c r="E144" s="125" t="s">
        <v>370</v>
      </c>
      <c r="F144" s="125" t="s">
        <v>370</v>
      </c>
      <c r="G144" s="125">
        <v>0</v>
      </c>
      <c r="H144" s="125">
        <v>0</v>
      </c>
      <c r="I144" s="125">
        <v>0</v>
      </c>
      <c r="J144" s="125">
        <v>20784</v>
      </c>
      <c r="K144" s="125"/>
      <c r="L144" s="125">
        <v>32323</v>
      </c>
      <c r="M144" s="125">
        <v>3199</v>
      </c>
      <c r="N144" s="125"/>
      <c r="O144" s="125">
        <v>2672</v>
      </c>
      <c r="P144" s="125">
        <v>7028</v>
      </c>
      <c r="Q144" s="125">
        <v>928</v>
      </c>
      <c r="R144" s="125">
        <v>9679</v>
      </c>
      <c r="S144" s="125">
        <v>13956</v>
      </c>
      <c r="T144" s="125"/>
      <c r="U144" s="125"/>
      <c r="V144" s="125">
        <v>1322</v>
      </c>
      <c r="W144" s="125">
        <v>0</v>
      </c>
      <c r="X144" s="125">
        <v>622</v>
      </c>
      <c r="Y144" s="125">
        <v>34</v>
      </c>
      <c r="Z144" s="126"/>
      <c r="AA144" s="125">
        <v>14</v>
      </c>
      <c r="AB144" s="125">
        <v>0</v>
      </c>
      <c r="AC144" s="125">
        <v>15</v>
      </c>
      <c r="AD144" s="125">
        <v>24</v>
      </c>
      <c r="AE144" s="125">
        <v>32</v>
      </c>
      <c r="AF144" s="125">
        <v>60</v>
      </c>
      <c r="AG144" s="125"/>
      <c r="AH144" s="125"/>
      <c r="AI144" s="125">
        <v>10</v>
      </c>
      <c r="AJ144" s="125">
        <v>0</v>
      </c>
      <c r="AK144" s="125">
        <v>82808</v>
      </c>
      <c r="AL144" s="125">
        <v>3446</v>
      </c>
      <c r="AM144" s="125">
        <v>8895</v>
      </c>
      <c r="AN144" s="125">
        <v>21</v>
      </c>
      <c r="AO144" s="125">
        <v>10</v>
      </c>
      <c r="AP144" s="125">
        <v>906</v>
      </c>
      <c r="AQ144" s="125">
        <v>284</v>
      </c>
      <c r="AR144" s="125">
        <v>1641</v>
      </c>
      <c r="AS144" s="125" t="s">
        <v>370</v>
      </c>
      <c r="AT144" s="125">
        <v>2064</v>
      </c>
      <c r="AU144" s="125">
        <v>1729</v>
      </c>
      <c r="AV144" s="125">
        <v>3065</v>
      </c>
      <c r="AW144" s="125">
        <v>9877</v>
      </c>
      <c r="AX144" s="126"/>
      <c r="AY144" s="126"/>
      <c r="AZ144" s="126">
        <v>0</v>
      </c>
      <c r="BA144" s="126"/>
      <c r="BB144" s="125">
        <v>727</v>
      </c>
      <c r="BC144" s="125"/>
      <c r="BD144" s="125">
        <v>22219</v>
      </c>
      <c r="BE144" s="125">
        <v>55047</v>
      </c>
      <c r="BF144" s="125">
        <v>370</v>
      </c>
      <c r="BG144" s="125">
        <v>913</v>
      </c>
      <c r="BH144" s="125">
        <v>995</v>
      </c>
      <c r="BI144" s="125">
        <v>6061</v>
      </c>
      <c r="BJ144" s="125">
        <v>34</v>
      </c>
      <c r="BK144" s="125">
        <v>3221</v>
      </c>
      <c r="BL144" s="125"/>
      <c r="BM144" s="125">
        <v>695</v>
      </c>
      <c r="BN144" s="125">
        <v>23</v>
      </c>
      <c r="BO144" s="125">
        <v>0</v>
      </c>
      <c r="BP144" s="125">
        <v>14517</v>
      </c>
      <c r="BQ144" s="125">
        <v>17594</v>
      </c>
      <c r="BR144" s="125">
        <v>25</v>
      </c>
      <c r="BS144" s="125">
        <v>518</v>
      </c>
      <c r="BT144" s="125">
        <v>463</v>
      </c>
      <c r="BU144" s="125"/>
      <c r="BV144" s="125">
        <v>7</v>
      </c>
      <c r="BW144" s="125">
        <v>204</v>
      </c>
      <c r="BX144" s="125"/>
      <c r="BY144" s="125">
        <v>99</v>
      </c>
      <c r="BZ144" s="125">
        <v>0</v>
      </c>
      <c r="CA144" s="125">
        <v>2932</v>
      </c>
      <c r="CB144" s="125">
        <v>12114</v>
      </c>
      <c r="CC144" s="125">
        <v>56773</v>
      </c>
      <c r="CD144" s="125">
        <v>89475</v>
      </c>
      <c r="CE144" s="125">
        <v>14548</v>
      </c>
      <c r="CF144" s="125">
        <v>0</v>
      </c>
      <c r="CG144" s="125">
        <v>0</v>
      </c>
      <c r="CH144" s="125">
        <v>34</v>
      </c>
      <c r="CI144" s="125">
        <v>60</v>
      </c>
      <c r="CJ144" s="125">
        <v>97</v>
      </c>
      <c r="CK144" s="125"/>
      <c r="CL144" s="125"/>
      <c r="CM144" s="125"/>
      <c r="CN144" s="125"/>
      <c r="CO144" s="125"/>
      <c r="CP144" s="125"/>
      <c r="CQ144" s="125"/>
      <c r="CR144" s="125"/>
      <c r="CS144" s="125"/>
      <c r="CT144" s="125"/>
      <c r="CU144" s="125"/>
      <c r="CV144" s="125"/>
      <c r="CW144" s="125"/>
      <c r="CX144" s="125"/>
      <c r="CY144" s="125" t="s">
        <v>370</v>
      </c>
      <c r="CZ144" s="125" t="s">
        <v>370</v>
      </c>
      <c r="DA144" s="125" t="s">
        <v>370</v>
      </c>
      <c r="DB144" s="125">
        <v>0</v>
      </c>
      <c r="DC144" s="125">
        <v>0</v>
      </c>
      <c r="DD144" s="125">
        <v>0</v>
      </c>
      <c r="DE144">
        <f t="shared" si="38"/>
        <v>507213</v>
      </c>
      <c r="DG144" s="1">
        <f t="shared" si="52"/>
        <v>300548</v>
      </c>
      <c r="DH144" s="1">
        <f t="shared" si="39"/>
        <v>188743</v>
      </c>
      <c r="DI144" s="127">
        <f t="shared" si="40"/>
        <v>489291</v>
      </c>
      <c r="DK144" s="1">
        <f t="shared" si="41"/>
        <v>57315</v>
      </c>
      <c r="DL144" s="1">
        <f t="shared" si="42"/>
        <v>96252</v>
      </c>
      <c r="DM144" s="1">
        <f t="shared" si="43"/>
        <v>14015</v>
      </c>
      <c r="DN144" s="1">
        <f t="shared" si="44"/>
        <v>20723</v>
      </c>
      <c r="DO144" s="1">
        <f t="shared" si="45"/>
        <v>239151</v>
      </c>
      <c r="DP144" s="1">
        <f t="shared" si="46"/>
        <v>38862</v>
      </c>
      <c r="DQ144" s="1">
        <f t="shared" si="53"/>
        <v>0</v>
      </c>
      <c r="DR144" s="1">
        <f t="shared" si="47"/>
        <v>12511</v>
      </c>
      <c r="DS144" s="1">
        <f t="shared" si="48"/>
        <v>0</v>
      </c>
      <c r="DT144" s="1">
        <f t="shared" si="49"/>
        <v>10009</v>
      </c>
      <c r="DU144" s="1"/>
      <c r="DV144" s="1"/>
      <c r="DW144" s="1"/>
      <c r="DX144" s="1">
        <f t="shared" si="54"/>
        <v>488838</v>
      </c>
      <c r="DZ144" s="1">
        <f t="shared" si="55"/>
        <v>0</v>
      </c>
      <c r="EA144" s="1">
        <f t="shared" si="50"/>
        <v>20784</v>
      </c>
      <c r="EC144" s="1">
        <f t="shared" si="56"/>
        <v>509622</v>
      </c>
      <c r="ED144" s="1">
        <f t="shared" si="51"/>
        <v>2409</v>
      </c>
      <c r="EE144" s="1"/>
    </row>
    <row r="145" spans="1:135" x14ac:dyDescent="0.25">
      <c r="A145" s="124">
        <v>36617</v>
      </c>
      <c r="B145" s="125">
        <v>0</v>
      </c>
      <c r="C145" s="125">
        <v>0</v>
      </c>
      <c r="D145" s="125">
        <v>0</v>
      </c>
      <c r="E145" s="125" t="s">
        <v>370</v>
      </c>
      <c r="F145" s="125" t="s">
        <v>370</v>
      </c>
      <c r="G145" s="125">
        <v>0</v>
      </c>
      <c r="H145" s="125">
        <v>0</v>
      </c>
      <c r="I145" s="125">
        <v>0</v>
      </c>
      <c r="J145" s="125">
        <v>21867</v>
      </c>
      <c r="K145" s="125"/>
      <c r="L145" s="125">
        <v>32367</v>
      </c>
      <c r="M145" s="125">
        <v>3194</v>
      </c>
      <c r="N145" s="125"/>
      <c r="O145" s="125">
        <v>2646</v>
      </c>
      <c r="P145" s="125">
        <v>7170</v>
      </c>
      <c r="Q145" s="125">
        <v>923</v>
      </c>
      <c r="R145" s="125">
        <v>9736</v>
      </c>
      <c r="S145" s="125">
        <v>14015</v>
      </c>
      <c r="T145" s="125"/>
      <c r="U145" s="125"/>
      <c r="V145" s="125">
        <v>1279</v>
      </c>
      <c r="W145" s="125">
        <v>0</v>
      </c>
      <c r="X145" s="125">
        <v>615</v>
      </c>
      <c r="Y145" s="125">
        <v>33</v>
      </c>
      <c r="Z145" s="126"/>
      <c r="AA145" s="125">
        <v>13</v>
      </c>
      <c r="AB145" s="125">
        <v>0</v>
      </c>
      <c r="AC145" s="125">
        <v>14</v>
      </c>
      <c r="AD145" s="125">
        <v>24</v>
      </c>
      <c r="AE145" s="125">
        <v>33</v>
      </c>
      <c r="AF145" s="125">
        <v>58</v>
      </c>
      <c r="AG145" s="125"/>
      <c r="AH145" s="125"/>
      <c r="AI145" s="125">
        <v>11</v>
      </c>
      <c r="AJ145" s="125">
        <v>0</v>
      </c>
      <c r="AK145" s="125">
        <v>83070</v>
      </c>
      <c r="AL145" s="125">
        <v>3501</v>
      </c>
      <c r="AM145" s="125">
        <v>9007</v>
      </c>
      <c r="AN145" s="125">
        <v>21</v>
      </c>
      <c r="AO145" s="125">
        <v>11</v>
      </c>
      <c r="AP145" s="125">
        <v>1272</v>
      </c>
      <c r="AQ145" s="125">
        <v>430</v>
      </c>
      <c r="AR145" s="125">
        <v>1679</v>
      </c>
      <c r="AS145" s="125" t="s">
        <v>370</v>
      </c>
      <c r="AT145" s="125">
        <v>2121</v>
      </c>
      <c r="AU145" s="125">
        <v>1734</v>
      </c>
      <c r="AV145" s="125">
        <v>3104</v>
      </c>
      <c r="AW145" s="125">
        <v>9945</v>
      </c>
      <c r="AX145" s="126"/>
      <c r="AY145" s="126"/>
      <c r="AZ145" s="126">
        <v>0</v>
      </c>
      <c r="BA145" s="126"/>
      <c r="BB145" s="125">
        <v>717</v>
      </c>
      <c r="BC145" s="125"/>
      <c r="BD145" s="125">
        <v>21748</v>
      </c>
      <c r="BE145" s="125">
        <v>54009</v>
      </c>
      <c r="BF145" s="125">
        <v>386</v>
      </c>
      <c r="BG145" s="125">
        <v>877</v>
      </c>
      <c r="BH145" s="125">
        <v>956</v>
      </c>
      <c r="BI145" s="125">
        <v>6132</v>
      </c>
      <c r="BJ145" s="125">
        <v>35</v>
      </c>
      <c r="BK145" s="125">
        <v>3300</v>
      </c>
      <c r="BL145" s="125"/>
      <c r="BM145" s="125">
        <v>680</v>
      </c>
      <c r="BN145" s="125">
        <v>23</v>
      </c>
      <c r="BO145" s="125">
        <v>0</v>
      </c>
      <c r="BP145" s="125">
        <v>15004</v>
      </c>
      <c r="BQ145" s="125">
        <v>18293</v>
      </c>
      <c r="BR145" s="125">
        <v>27</v>
      </c>
      <c r="BS145" s="125">
        <v>568</v>
      </c>
      <c r="BT145" s="125">
        <v>481</v>
      </c>
      <c r="BU145" s="125"/>
      <c r="BV145" s="125">
        <v>8</v>
      </c>
      <c r="BW145" s="125">
        <v>191</v>
      </c>
      <c r="BX145" s="125"/>
      <c r="BY145" s="125">
        <v>101</v>
      </c>
      <c r="BZ145" s="125">
        <v>0</v>
      </c>
      <c r="CA145" s="125">
        <v>3211</v>
      </c>
      <c r="CB145" s="125">
        <v>12479</v>
      </c>
      <c r="CC145" s="125">
        <v>56878</v>
      </c>
      <c r="CD145" s="125">
        <v>90369</v>
      </c>
      <c r="CE145" s="125">
        <v>14602</v>
      </c>
      <c r="CF145" s="125">
        <v>0</v>
      </c>
      <c r="CG145" s="125">
        <v>0</v>
      </c>
      <c r="CH145" s="125">
        <v>32</v>
      </c>
      <c r="CI145" s="125">
        <v>57</v>
      </c>
      <c r="CJ145" s="125">
        <v>101</v>
      </c>
      <c r="CK145" s="125"/>
      <c r="CL145" s="125"/>
      <c r="CM145" s="125"/>
      <c r="CN145" s="125"/>
      <c r="CO145" s="125"/>
      <c r="CP145" s="125"/>
      <c r="CQ145" s="125"/>
      <c r="CR145" s="125"/>
      <c r="CS145" s="125"/>
      <c r="CT145" s="125"/>
      <c r="CU145" s="125"/>
      <c r="CV145" s="125"/>
      <c r="CW145" s="125"/>
      <c r="CX145" s="125"/>
      <c r="CY145" s="125" t="s">
        <v>370</v>
      </c>
      <c r="CZ145" s="125" t="s">
        <v>370</v>
      </c>
      <c r="DA145" s="125" t="s">
        <v>370</v>
      </c>
      <c r="DB145" s="125">
        <v>0</v>
      </c>
      <c r="DC145" s="125">
        <v>0</v>
      </c>
      <c r="DD145" s="125">
        <v>0</v>
      </c>
      <c r="DE145">
        <f t="shared" si="38"/>
        <v>511158</v>
      </c>
      <c r="DG145" s="1">
        <f t="shared" si="52"/>
        <v>294127</v>
      </c>
      <c r="DH145" s="1">
        <f t="shared" si="39"/>
        <v>188459</v>
      </c>
      <c r="DI145" s="127">
        <f t="shared" si="40"/>
        <v>482586</v>
      </c>
      <c r="DK145" s="1">
        <f t="shared" si="41"/>
        <v>57260</v>
      </c>
      <c r="DL145" s="1">
        <f t="shared" si="42"/>
        <v>96690</v>
      </c>
      <c r="DM145" s="1">
        <f t="shared" si="43"/>
        <v>14007</v>
      </c>
      <c r="DN145" s="1">
        <f t="shared" si="44"/>
        <v>21146</v>
      </c>
      <c r="DO145" s="1">
        <f t="shared" si="45"/>
        <v>234379</v>
      </c>
      <c r="DP145" s="1">
        <f t="shared" si="46"/>
        <v>38877</v>
      </c>
      <c r="DQ145" s="1">
        <f t="shared" si="53"/>
        <v>0</v>
      </c>
      <c r="DR145" s="1">
        <f t="shared" si="47"/>
        <v>12337</v>
      </c>
      <c r="DS145" s="1">
        <f t="shared" si="48"/>
        <v>0</v>
      </c>
      <c r="DT145" s="1">
        <f t="shared" si="49"/>
        <v>9977</v>
      </c>
      <c r="DU145" s="1"/>
      <c r="DV145" s="1"/>
      <c r="DW145" s="1"/>
      <c r="DX145" s="1">
        <f t="shared" si="54"/>
        <v>484673</v>
      </c>
      <c r="DZ145" s="1">
        <f t="shared" si="55"/>
        <v>0</v>
      </c>
      <c r="EA145" s="1">
        <f t="shared" si="50"/>
        <v>21867</v>
      </c>
      <c r="EC145" s="1">
        <f t="shared" si="56"/>
        <v>506540</v>
      </c>
      <c r="ED145" s="1">
        <f t="shared" si="51"/>
        <v>-4618</v>
      </c>
      <c r="EE145" s="1"/>
    </row>
    <row r="146" spans="1:135" x14ac:dyDescent="0.25">
      <c r="A146" s="124">
        <v>36647</v>
      </c>
      <c r="B146" s="125">
        <v>0</v>
      </c>
      <c r="C146" s="125">
        <v>0</v>
      </c>
      <c r="D146" s="125">
        <v>0</v>
      </c>
      <c r="E146" s="125" t="s">
        <v>370</v>
      </c>
      <c r="F146" s="125" t="s">
        <v>370</v>
      </c>
      <c r="G146" s="125">
        <v>0</v>
      </c>
      <c r="H146" s="125">
        <v>0</v>
      </c>
      <c r="I146" s="125">
        <v>0</v>
      </c>
      <c r="J146" s="125">
        <v>22494</v>
      </c>
      <c r="K146" s="125"/>
      <c r="L146" s="125">
        <v>32355</v>
      </c>
      <c r="M146" s="125">
        <v>3179</v>
      </c>
      <c r="N146" s="125"/>
      <c r="O146" s="125">
        <v>2566</v>
      </c>
      <c r="P146" s="125">
        <v>7247</v>
      </c>
      <c r="Q146" s="125">
        <v>908</v>
      </c>
      <c r="R146" s="125">
        <v>9775</v>
      </c>
      <c r="S146" s="125">
        <v>14007</v>
      </c>
      <c r="T146" s="125"/>
      <c r="U146" s="125"/>
      <c r="V146" s="125">
        <v>1230</v>
      </c>
      <c r="W146" s="125">
        <v>0</v>
      </c>
      <c r="X146" s="125">
        <v>611</v>
      </c>
      <c r="Y146" s="125">
        <v>33</v>
      </c>
      <c r="Z146" s="126"/>
      <c r="AA146" s="125">
        <v>14</v>
      </c>
      <c r="AB146" s="125">
        <v>0</v>
      </c>
      <c r="AC146" s="125">
        <v>12</v>
      </c>
      <c r="AD146" s="125">
        <v>25</v>
      </c>
      <c r="AE146" s="125">
        <v>33</v>
      </c>
      <c r="AF146" s="125">
        <v>60</v>
      </c>
      <c r="AG146" s="125"/>
      <c r="AH146" s="125"/>
      <c r="AI146" s="125">
        <v>11</v>
      </c>
      <c r="AJ146" s="125">
        <v>0</v>
      </c>
      <c r="AK146" s="125">
        <v>82362</v>
      </c>
      <c r="AL146" s="125">
        <v>3531</v>
      </c>
      <c r="AM146" s="125">
        <v>9017</v>
      </c>
      <c r="AN146" s="125">
        <v>22</v>
      </c>
      <c r="AO146" s="125">
        <v>13</v>
      </c>
      <c r="AP146" s="125">
        <v>1519</v>
      </c>
      <c r="AQ146" s="125">
        <v>583</v>
      </c>
      <c r="AR146" s="125">
        <v>1648</v>
      </c>
      <c r="AS146" s="125" t="s">
        <v>370</v>
      </c>
      <c r="AT146" s="125">
        <v>2155</v>
      </c>
      <c r="AU146" s="125">
        <v>1750</v>
      </c>
      <c r="AV146" s="125">
        <v>3123</v>
      </c>
      <c r="AW146" s="125">
        <v>9954</v>
      </c>
      <c r="AX146" s="126"/>
      <c r="AY146" s="126"/>
      <c r="AZ146" s="126">
        <v>0</v>
      </c>
      <c r="BA146" s="126"/>
      <c r="BB146" s="125">
        <v>716</v>
      </c>
      <c r="BC146" s="125"/>
      <c r="BD146" s="125">
        <v>20597</v>
      </c>
      <c r="BE146" s="125">
        <v>51893</v>
      </c>
      <c r="BF146" s="125">
        <v>396</v>
      </c>
      <c r="BG146" s="125">
        <v>859</v>
      </c>
      <c r="BH146" s="125">
        <v>934</v>
      </c>
      <c r="BI146" s="125">
        <v>6123</v>
      </c>
      <c r="BJ146" s="125">
        <v>42</v>
      </c>
      <c r="BK146" s="125">
        <v>3266</v>
      </c>
      <c r="BL146" s="125"/>
      <c r="BM146" s="125">
        <v>538</v>
      </c>
      <c r="BN146" s="125">
        <v>23</v>
      </c>
      <c r="BO146" s="125">
        <v>0</v>
      </c>
      <c r="BP146" s="125">
        <v>14902</v>
      </c>
      <c r="BQ146" s="125">
        <v>18213</v>
      </c>
      <c r="BR146" s="125">
        <v>29</v>
      </c>
      <c r="BS146" s="125">
        <v>538</v>
      </c>
      <c r="BT146" s="125">
        <v>480</v>
      </c>
      <c r="BU146" s="125"/>
      <c r="BV146" s="125">
        <v>9</v>
      </c>
      <c r="BW146" s="125">
        <v>192</v>
      </c>
      <c r="BX146" s="125"/>
      <c r="BY146" s="125">
        <v>94</v>
      </c>
      <c r="BZ146" s="125">
        <v>0</v>
      </c>
      <c r="CA146" s="125">
        <v>3314</v>
      </c>
      <c r="CB146" s="125">
        <v>12317</v>
      </c>
      <c r="CC146" s="125">
        <v>55803</v>
      </c>
      <c r="CD146" s="125">
        <v>89120</v>
      </c>
      <c r="CE146" s="125">
        <v>14275</v>
      </c>
      <c r="CF146" s="125">
        <v>0</v>
      </c>
      <c r="CG146" s="125">
        <v>0</v>
      </c>
      <c r="CH146" s="125">
        <v>20</v>
      </c>
      <c r="CI146" s="125">
        <v>55</v>
      </c>
      <c r="CJ146" s="125">
        <v>95</v>
      </c>
      <c r="CK146" s="125"/>
      <c r="CL146" s="125"/>
      <c r="CM146" s="125"/>
      <c r="CN146" s="125"/>
      <c r="CO146" s="125"/>
      <c r="CP146" s="125"/>
      <c r="CQ146" s="125"/>
      <c r="CR146" s="125"/>
      <c r="CS146" s="125"/>
      <c r="CT146" s="125"/>
      <c r="CU146" s="125"/>
      <c r="CV146" s="125"/>
      <c r="CW146" s="125"/>
      <c r="CX146" s="125"/>
      <c r="CY146" s="125" t="s">
        <v>370</v>
      </c>
      <c r="CZ146" s="125" t="s">
        <v>370</v>
      </c>
      <c r="DA146" s="125" t="s">
        <v>370</v>
      </c>
      <c r="DB146" s="125">
        <v>0</v>
      </c>
      <c r="DC146" s="125">
        <v>0</v>
      </c>
      <c r="DD146" s="125">
        <v>0</v>
      </c>
      <c r="DE146">
        <f t="shared" si="38"/>
        <v>505080</v>
      </c>
      <c r="DG146" s="1">
        <f t="shared" si="52"/>
        <v>292056</v>
      </c>
      <c r="DH146" s="1">
        <f t="shared" si="39"/>
        <v>188610</v>
      </c>
      <c r="DI146" s="127">
        <f t="shared" si="40"/>
        <v>480666</v>
      </c>
      <c r="DK146" s="1">
        <f t="shared" si="41"/>
        <v>57257</v>
      </c>
      <c r="DL146" s="1">
        <f t="shared" si="42"/>
        <v>96046</v>
      </c>
      <c r="DM146" s="1">
        <f t="shared" si="43"/>
        <v>14009</v>
      </c>
      <c r="DN146" s="1">
        <f t="shared" si="44"/>
        <v>21547</v>
      </c>
      <c r="DO146" s="1">
        <f t="shared" si="45"/>
        <v>232790</v>
      </c>
      <c r="DP146" s="1">
        <f t="shared" si="46"/>
        <v>37434</v>
      </c>
      <c r="DQ146" s="1">
        <f t="shared" si="53"/>
        <v>0</v>
      </c>
      <c r="DR146" s="1">
        <f t="shared" si="47"/>
        <v>12366</v>
      </c>
      <c r="DS146" s="1">
        <f t="shared" si="48"/>
        <v>0</v>
      </c>
      <c r="DT146" s="1">
        <f t="shared" si="49"/>
        <v>10096</v>
      </c>
      <c r="DU146" s="1"/>
      <c r="DV146" s="1"/>
      <c r="DW146" s="1"/>
      <c r="DX146" s="1">
        <f t="shared" si="54"/>
        <v>481545</v>
      </c>
      <c r="DZ146" s="1">
        <f t="shared" si="55"/>
        <v>0</v>
      </c>
      <c r="EA146" s="1">
        <f t="shared" si="50"/>
        <v>22494</v>
      </c>
      <c r="EC146" s="1">
        <f t="shared" si="56"/>
        <v>504039</v>
      </c>
      <c r="ED146" s="1">
        <f t="shared" si="51"/>
        <v>-1041</v>
      </c>
      <c r="EE146" s="1"/>
    </row>
    <row r="147" spans="1:135" x14ac:dyDescent="0.25">
      <c r="A147" s="124">
        <v>36678</v>
      </c>
      <c r="B147" s="125">
        <v>0</v>
      </c>
      <c r="C147" s="125">
        <v>0</v>
      </c>
      <c r="D147" s="125">
        <v>0</v>
      </c>
      <c r="E147" s="125" t="s">
        <v>370</v>
      </c>
      <c r="F147" s="125" t="s">
        <v>370</v>
      </c>
      <c r="G147" s="125">
        <v>0</v>
      </c>
      <c r="H147" s="125">
        <v>0</v>
      </c>
      <c r="I147" s="125">
        <v>0</v>
      </c>
      <c r="J147" s="125">
        <v>23587</v>
      </c>
      <c r="K147" s="125"/>
      <c r="L147" s="125">
        <v>32312</v>
      </c>
      <c r="M147" s="125">
        <v>3177</v>
      </c>
      <c r="N147" s="125"/>
      <c r="O147" s="125">
        <v>2564</v>
      </c>
      <c r="P147" s="125">
        <v>7344</v>
      </c>
      <c r="Q147" s="125">
        <v>900</v>
      </c>
      <c r="R147" s="125">
        <v>9777</v>
      </c>
      <c r="S147" s="125">
        <v>14009</v>
      </c>
      <c r="T147" s="125"/>
      <c r="U147" s="125"/>
      <c r="V147" s="125">
        <v>1183</v>
      </c>
      <c r="W147" s="125">
        <v>0</v>
      </c>
      <c r="X147" s="125">
        <v>600</v>
      </c>
      <c r="Y147" s="125">
        <v>32</v>
      </c>
      <c r="Z147" s="126"/>
      <c r="AA147" s="125">
        <v>14</v>
      </c>
      <c r="AB147" s="125">
        <v>0</v>
      </c>
      <c r="AC147" s="125">
        <v>11</v>
      </c>
      <c r="AD147" s="125">
        <v>25</v>
      </c>
      <c r="AE147" s="125">
        <v>33</v>
      </c>
      <c r="AF147" s="125">
        <v>61</v>
      </c>
      <c r="AG147" s="125"/>
      <c r="AH147" s="125"/>
      <c r="AI147" s="125">
        <v>11</v>
      </c>
      <c r="AJ147" s="125">
        <v>0</v>
      </c>
      <c r="AK147" s="125">
        <v>81991</v>
      </c>
      <c r="AL147" s="125">
        <v>3554</v>
      </c>
      <c r="AM147" s="125">
        <v>9098</v>
      </c>
      <c r="AN147" s="125">
        <v>24</v>
      </c>
      <c r="AO147" s="125">
        <v>11</v>
      </c>
      <c r="AP147" s="125">
        <v>1684</v>
      </c>
      <c r="AQ147" s="125">
        <v>726</v>
      </c>
      <c r="AR147" s="125">
        <v>1688</v>
      </c>
      <c r="AS147" s="125" t="s">
        <v>370</v>
      </c>
      <c r="AT147" s="125">
        <v>2203</v>
      </c>
      <c r="AU147" s="125">
        <v>1755</v>
      </c>
      <c r="AV147" s="125">
        <v>3161</v>
      </c>
      <c r="AW147" s="125">
        <v>9967</v>
      </c>
      <c r="AX147" s="126"/>
      <c r="AY147" s="126"/>
      <c r="AZ147" s="126">
        <v>0</v>
      </c>
      <c r="BA147" s="126"/>
      <c r="BB147" s="125">
        <v>695</v>
      </c>
      <c r="BC147" s="125"/>
      <c r="BD147" s="125">
        <v>19897</v>
      </c>
      <c r="BE147" s="125">
        <v>50504</v>
      </c>
      <c r="BF147" s="125">
        <v>392</v>
      </c>
      <c r="BG147" s="125">
        <v>825</v>
      </c>
      <c r="BH147" s="125">
        <v>905</v>
      </c>
      <c r="BI147" s="125">
        <v>6169</v>
      </c>
      <c r="BJ147" s="125">
        <v>44</v>
      </c>
      <c r="BK147" s="125">
        <v>3335</v>
      </c>
      <c r="BL147" s="125"/>
      <c r="BM147" s="125">
        <v>554</v>
      </c>
      <c r="BN147" s="125">
        <v>22</v>
      </c>
      <c r="BO147" s="125">
        <v>0</v>
      </c>
      <c r="BP147" s="125">
        <v>14998</v>
      </c>
      <c r="BQ147" s="125">
        <v>18351</v>
      </c>
      <c r="BR147" s="125">
        <v>26</v>
      </c>
      <c r="BS147" s="125">
        <v>530</v>
      </c>
      <c r="BT147" s="125">
        <v>451</v>
      </c>
      <c r="BU147" s="125"/>
      <c r="BV147" s="125">
        <v>9</v>
      </c>
      <c r="BW147" s="125">
        <v>200</v>
      </c>
      <c r="BX147" s="125"/>
      <c r="BY147" s="125">
        <v>94</v>
      </c>
      <c r="BZ147" s="125">
        <v>0</v>
      </c>
      <c r="CA147" s="125">
        <v>3366</v>
      </c>
      <c r="CB147" s="125">
        <v>12347</v>
      </c>
      <c r="CC147" s="125">
        <v>55493</v>
      </c>
      <c r="CD147" s="125">
        <v>89094</v>
      </c>
      <c r="CE147" s="125">
        <v>14276</v>
      </c>
      <c r="CF147" s="125">
        <v>0</v>
      </c>
      <c r="CG147" s="125">
        <v>0</v>
      </c>
      <c r="CH147" s="125">
        <v>19</v>
      </c>
      <c r="CI147" s="125">
        <v>54</v>
      </c>
      <c r="CJ147" s="125">
        <v>101</v>
      </c>
      <c r="CK147" s="125"/>
      <c r="CL147" s="125"/>
      <c r="CM147" s="125"/>
      <c r="CN147" s="125"/>
      <c r="CO147" s="125"/>
      <c r="CP147" s="125"/>
      <c r="CQ147" s="125"/>
      <c r="CR147" s="125"/>
      <c r="CS147" s="125"/>
      <c r="CT147" s="125"/>
      <c r="CU147" s="125"/>
      <c r="CV147" s="125"/>
      <c r="CW147" s="125"/>
      <c r="CX147" s="125"/>
      <c r="CY147" s="125" t="s">
        <v>370</v>
      </c>
      <c r="CZ147" s="125" t="s">
        <v>370</v>
      </c>
      <c r="DA147" s="125" t="s">
        <v>370</v>
      </c>
      <c r="DB147" s="125">
        <v>0</v>
      </c>
      <c r="DC147" s="125">
        <v>0</v>
      </c>
      <c r="DD147" s="125">
        <v>0</v>
      </c>
      <c r="DE147">
        <f t="shared" si="38"/>
        <v>504253</v>
      </c>
      <c r="DG147" s="1">
        <f t="shared" si="52"/>
        <v>290383</v>
      </c>
      <c r="DH147" s="1">
        <f t="shared" si="39"/>
        <v>188815</v>
      </c>
      <c r="DI147" s="127">
        <f t="shared" si="40"/>
        <v>479198</v>
      </c>
      <c r="DK147" s="1">
        <f t="shared" si="41"/>
        <v>57257</v>
      </c>
      <c r="DL147" s="1">
        <f t="shared" si="42"/>
        <v>95797</v>
      </c>
      <c r="DM147" s="1">
        <f t="shared" si="43"/>
        <v>13992</v>
      </c>
      <c r="DN147" s="1">
        <f t="shared" si="44"/>
        <v>21732</v>
      </c>
      <c r="DO147" s="1">
        <f t="shared" si="45"/>
        <v>231325</v>
      </c>
      <c r="DP147" s="1">
        <f t="shared" si="46"/>
        <v>36804</v>
      </c>
      <c r="DQ147" s="1">
        <f t="shared" si="53"/>
        <v>0</v>
      </c>
      <c r="DR147" s="1">
        <f t="shared" si="47"/>
        <v>12476</v>
      </c>
      <c r="DS147" s="1">
        <f t="shared" si="48"/>
        <v>0</v>
      </c>
      <c r="DT147" s="1">
        <f t="shared" si="49"/>
        <v>10161</v>
      </c>
      <c r="DU147" s="1"/>
      <c r="DV147" s="1"/>
      <c r="DW147" s="1"/>
      <c r="DX147" s="1">
        <f t="shared" si="54"/>
        <v>479544</v>
      </c>
      <c r="DZ147" s="1">
        <f t="shared" si="55"/>
        <v>0</v>
      </c>
      <c r="EA147" s="1">
        <f t="shared" si="50"/>
        <v>23587</v>
      </c>
      <c r="EC147" s="1">
        <f t="shared" si="56"/>
        <v>503131</v>
      </c>
      <c r="ED147" s="1">
        <f t="shared" si="51"/>
        <v>-1122</v>
      </c>
      <c r="EE147" s="1"/>
    </row>
    <row r="148" spans="1:135" x14ac:dyDescent="0.25">
      <c r="A148" s="124">
        <v>36708</v>
      </c>
      <c r="B148" s="125">
        <v>0</v>
      </c>
      <c r="C148" s="125">
        <v>0</v>
      </c>
      <c r="D148" s="125">
        <v>0</v>
      </c>
      <c r="E148" s="125" t="s">
        <v>370</v>
      </c>
      <c r="F148" s="125" t="s">
        <v>370</v>
      </c>
      <c r="G148" s="125">
        <v>2791</v>
      </c>
      <c r="H148" s="125">
        <v>5368</v>
      </c>
      <c r="I148" s="125">
        <v>2279</v>
      </c>
      <c r="J148" s="125">
        <v>13697</v>
      </c>
      <c r="K148" s="125"/>
      <c r="L148" s="125">
        <v>32219</v>
      </c>
      <c r="M148" s="125">
        <v>3179</v>
      </c>
      <c r="N148" s="125"/>
      <c r="O148" s="125">
        <v>2547</v>
      </c>
      <c r="P148" s="125">
        <v>7417</v>
      </c>
      <c r="Q148" s="125">
        <v>883</v>
      </c>
      <c r="R148" s="125">
        <v>9839</v>
      </c>
      <c r="S148" s="125">
        <v>13992</v>
      </c>
      <c r="T148" s="125"/>
      <c r="U148" s="125"/>
      <c r="V148" s="125">
        <v>1173</v>
      </c>
      <c r="W148" s="125">
        <v>0</v>
      </c>
      <c r="X148" s="125">
        <v>597</v>
      </c>
      <c r="Y148" s="125">
        <v>32</v>
      </c>
      <c r="Z148" s="126"/>
      <c r="AA148" s="125">
        <v>15</v>
      </c>
      <c r="AB148" s="125">
        <v>0</v>
      </c>
      <c r="AC148" s="125">
        <v>12</v>
      </c>
      <c r="AD148" s="125">
        <v>25</v>
      </c>
      <c r="AE148" s="125">
        <v>32</v>
      </c>
      <c r="AF148" s="125">
        <v>58</v>
      </c>
      <c r="AG148" s="125"/>
      <c r="AH148" s="125"/>
      <c r="AI148" s="125">
        <v>11</v>
      </c>
      <c r="AJ148" s="125">
        <v>0</v>
      </c>
      <c r="AK148" s="125">
        <v>81963</v>
      </c>
      <c r="AL148" s="125">
        <v>3544</v>
      </c>
      <c r="AM148" s="125">
        <v>9077</v>
      </c>
      <c r="AN148" s="125">
        <v>25</v>
      </c>
      <c r="AO148" s="125">
        <v>11</v>
      </c>
      <c r="AP148" s="125">
        <v>1802</v>
      </c>
      <c r="AQ148" s="125">
        <v>824</v>
      </c>
      <c r="AR148" s="125">
        <v>1685</v>
      </c>
      <c r="AS148" s="125" t="s">
        <v>370</v>
      </c>
      <c r="AT148" s="125">
        <v>2225</v>
      </c>
      <c r="AU148" s="125">
        <v>1783</v>
      </c>
      <c r="AV148" s="125">
        <v>3173</v>
      </c>
      <c r="AW148" s="125">
        <v>9960</v>
      </c>
      <c r="AX148" s="126"/>
      <c r="AY148" s="126"/>
      <c r="AZ148" s="126">
        <v>0</v>
      </c>
      <c r="BA148" s="126"/>
      <c r="BB148" s="125">
        <v>712</v>
      </c>
      <c r="BC148" s="125"/>
      <c r="BD148" s="125">
        <v>19478</v>
      </c>
      <c r="BE148" s="125">
        <v>49639</v>
      </c>
      <c r="BF148" s="125">
        <v>392</v>
      </c>
      <c r="BG148" s="125">
        <v>796</v>
      </c>
      <c r="BH148" s="125">
        <v>862</v>
      </c>
      <c r="BI148" s="125">
        <v>6234</v>
      </c>
      <c r="BJ148" s="125">
        <v>42</v>
      </c>
      <c r="BK148" s="125">
        <v>3337</v>
      </c>
      <c r="BL148" s="125"/>
      <c r="BM148" s="125">
        <v>610</v>
      </c>
      <c r="BN148" s="125">
        <v>23</v>
      </c>
      <c r="BO148" s="125">
        <v>0</v>
      </c>
      <c r="BP148" s="125">
        <v>14987</v>
      </c>
      <c r="BQ148" s="125">
        <v>18201</v>
      </c>
      <c r="BR148" s="125">
        <v>27</v>
      </c>
      <c r="BS148" s="125">
        <v>550</v>
      </c>
      <c r="BT148" s="125">
        <v>456</v>
      </c>
      <c r="BU148" s="125"/>
      <c r="BV148" s="125">
        <v>6</v>
      </c>
      <c r="BW148" s="125">
        <v>198</v>
      </c>
      <c r="BX148" s="125"/>
      <c r="BY148" s="125">
        <v>85</v>
      </c>
      <c r="BZ148" s="125">
        <v>0</v>
      </c>
      <c r="CA148" s="125">
        <v>3507</v>
      </c>
      <c r="CB148" s="125">
        <v>12460</v>
      </c>
      <c r="CC148" s="125">
        <v>55146</v>
      </c>
      <c r="CD148" s="125">
        <v>88749</v>
      </c>
      <c r="CE148" s="125">
        <v>14430</v>
      </c>
      <c r="CF148" s="125">
        <v>0</v>
      </c>
      <c r="CG148" s="125">
        <v>0</v>
      </c>
      <c r="CH148" s="125">
        <v>16</v>
      </c>
      <c r="CI148" s="125">
        <v>53</v>
      </c>
      <c r="CJ148" s="125">
        <v>99</v>
      </c>
      <c r="CK148" s="125"/>
      <c r="CL148" s="125"/>
      <c r="CM148" s="125"/>
      <c r="CN148" s="125"/>
      <c r="CO148" s="125"/>
      <c r="CP148" s="125"/>
      <c r="CQ148" s="125"/>
      <c r="CR148" s="125"/>
      <c r="CS148" s="125"/>
      <c r="CT148" s="125"/>
      <c r="CU148" s="125"/>
      <c r="CV148" s="125"/>
      <c r="CW148" s="125"/>
      <c r="CX148" s="125"/>
      <c r="CY148" s="125" t="s">
        <v>370</v>
      </c>
      <c r="CZ148" s="125" t="s">
        <v>370</v>
      </c>
      <c r="DA148" s="125" t="s">
        <v>370</v>
      </c>
      <c r="DB148" s="125">
        <v>0</v>
      </c>
      <c r="DC148" s="125">
        <v>0</v>
      </c>
      <c r="DD148" s="125">
        <v>0</v>
      </c>
      <c r="DE148">
        <f t="shared" si="38"/>
        <v>503333</v>
      </c>
      <c r="DG148" s="1">
        <f t="shared" si="52"/>
        <v>288550</v>
      </c>
      <c r="DH148" s="1">
        <f t="shared" si="39"/>
        <v>189077</v>
      </c>
      <c r="DI148" s="127">
        <f t="shared" si="40"/>
        <v>477627</v>
      </c>
      <c r="DK148" s="1">
        <f t="shared" si="41"/>
        <v>57191</v>
      </c>
      <c r="DL148" s="1">
        <f t="shared" si="42"/>
        <v>95834</v>
      </c>
      <c r="DM148" s="1">
        <f t="shared" si="43"/>
        <v>13989</v>
      </c>
      <c r="DN148" s="1">
        <f t="shared" si="44"/>
        <v>22153</v>
      </c>
      <c r="DO148" s="1">
        <f t="shared" si="45"/>
        <v>230074</v>
      </c>
      <c r="DP148" s="1">
        <f t="shared" si="46"/>
        <v>36421</v>
      </c>
      <c r="DQ148" s="1">
        <f t="shared" si="53"/>
        <v>0</v>
      </c>
      <c r="DR148" s="1">
        <f t="shared" si="47"/>
        <v>12443</v>
      </c>
      <c r="DS148" s="1">
        <f t="shared" si="48"/>
        <v>0</v>
      </c>
      <c r="DT148" s="1">
        <f t="shared" si="49"/>
        <v>10153</v>
      </c>
      <c r="DU148" s="1"/>
      <c r="DV148" s="1"/>
      <c r="DW148" s="1"/>
      <c r="DX148" s="1">
        <f t="shared" si="54"/>
        <v>478258</v>
      </c>
      <c r="DZ148" s="1">
        <f t="shared" si="55"/>
        <v>0</v>
      </c>
      <c r="EA148" s="1">
        <f t="shared" si="50"/>
        <v>24135</v>
      </c>
      <c r="EC148" s="1">
        <f t="shared" si="56"/>
        <v>502393</v>
      </c>
      <c r="ED148" s="1">
        <f t="shared" si="51"/>
        <v>-940</v>
      </c>
      <c r="EE148" s="1"/>
    </row>
    <row r="149" spans="1:135" x14ac:dyDescent="0.25">
      <c r="A149" s="124">
        <v>36739</v>
      </c>
      <c r="B149" s="125">
        <v>0</v>
      </c>
      <c r="C149" s="125">
        <v>0</v>
      </c>
      <c r="D149" s="125">
        <v>0</v>
      </c>
      <c r="E149" s="125" t="s">
        <v>370</v>
      </c>
      <c r="F149" s="125" t="s">
        <v>370</v>
      </c>
      <c r="G149" s="125">
        <v>2923</v>
      </c>
      <c r="H149" s="125">
        <v>5634</v>
      </c>
      <c r="I149" s="125">
        <v>2394</v>
      </c>
      <c r="J149" s="125">
        <v>14314</v>
      </c>
      <c r="K149" s="125"/>
      <c r="L149" s="125">
        <v>32224</v>
      </c>
      <c r="M149" s="125">
        <v>3172</v>
      </c>
      <c r="N149" s="125"/>
      <c r="O149" s="125">
        <v>2509</v>
      </c>
      <c r="P149" s="125">
        <v>7449</v>
      </c>
      <c r="Q149" s="125">
        <v>877</v>
      </c>
      <c r="R149" s="125">
        <v>9822</v>
      </c>
      <c r="S149" s="125">
        <v>13989</v>
      </c>
      <c r="T149" s="125"/>
      <c r="U149" s="125"/>
      <c r="V149" s="125">
        <v>1138</v>
      </c>
      <c r="W149" s="125">
        <v>0</v>
      </c>
      <c r="X149" s="125">
        <v>584</v>
      </c>
      <c r="Y149" s="125">
        <v>33</v>
      </c>
      <c r="Z149" s="126"/>
      <c r="AA149" s="125">
        <v>15</v>
      </c>
      <c r="AB149" s="125">
        <v>0</v>
      </c>
      <c r="AC149" s="125">
        <v>12</v>
      </c>
      <c r="AD149" s="125">
        <v>26</v>
      </c>
      <c r="AE149" s="125">
        <v>33</v>
      </c>
      <c r="AF149" s="125">
        <v>59</v>
      </c>
      <c r="AG149" s="125"/>
      <c r="AH149" s="125"/>
      <c r="AI149" s="125">
        <v>11</v>
      </c>
      <c r="AJ149" s="125">
        <v>0</v>
      </c>
      <c r="AK149" s="125">
        <v>81967</v>
      </c>
      <c r="AL149" s="125">
        <v>3547</v>
      </c>
      <c r="AM149" s="125">
        <v>9214</v>
      </c>
      <c r="AN149" s="125">
        <v>26</v>
      </c>
      <c r="AO149" s="125">
        <v>14</v>
      </c>
      <c r="AP149" s="125">
        <v>1938</v>
      </c>
      <c r="AQ149" s="125">
        <v>927</v>
      </c>
      <c r="AR149" s="125">
        <v>1622</v>
      </c>
      <c r="AS149" s="125" t="s">
        <v>370</v>
      </c>
      <c r="AT149" s="125">
        <v>2245</v>
      </c>
      <c r="AU149" s="125">
        <v>1779</v>
      </c>
      <c r="AV149" s="125">
        <v>3150</v>
      </c>
      <c r="AW149" s="125">
        <v>10001</v>
      </c>
      <c r="AX149" s="126"/>
      <c r="AY149" s="126"/>
      <c r="AZ149" s="126">
        <v>0</v>
      </c>
      <c r="BA149" s="126"/>
      <c r="BB149" s="125">
        <v>694</v>
      </c>
      <c r="BC149" s="125"/>
      <c r="BD149" s="125">
        <v>16901</v>
      </c>
      <c r="BE149" s="125">
        <v>43574</v>
      </c>
      <c r="BF149" s="125">
        <v>405</v>
      </c>
      <c r="BG149" s="125">
        <v>607</v>
      </c>
      <c r="BH149" s="125">
        <v>645</v>
      </c>
      <c r="BI149" s="125">
        <v>6193</v>
      </c>
      <c r="BJ149" s="125">
        <v>42</v>
      </c>
      <c r="BK149" s="125">
        <v>3356</v>
      </c>
      <c r="BL149" s="125"/>
      <c r="BM149" s="125">
        <v>651</v>
      </c>
      <c r="BN149" s="125">
        <v>27</v>
      </c>
      <c r="BO149" s="125">
        <v>0</v>
      </c>
      <c r="BP149" s="125">
        <v>16990</v>
      </c>
      <c r="BQ149" s="125">
        <v>18820</v>
      </c>
      <c r="BR149" s="125">
        <v>33</v>
      </c>
      <c r="BS149" s="125">
        <v>731</v>
      </c>
      <c r="BT149" s="125">
        <v>497</v>
      </c>
      <c r="BU149" s="125"/>
      <c r="BV149" s="125">
        <v>8</v>
      </c>
      <c r="BW149" s="125">
        <v>199</v>
      </c>
      <c r="BX149" s="125"/>
      <c r="BY149" s="125">
        <v>86</v>
      </c>
      <c r="BZ149" s="125">
        <v>0</v>
      </c>
      <c r="CA149" s="125">
        <v>3688</v>
      </c>
      <c r="CB149" s="125">
        <v>12428</v>
      </c>
      <c r="CC149" s="125">
        <v>56476</v>
      </c>
      <c r="CD149" s="125">
        <v>91500</v>
      </c>
      <c r="CE149" s="125">
        <v>14522</v>
      </c>
      <c r="CF149" s="125">
        <v>0</v>
      </c>
      <c r="CG149" s="125">
        <v>0</v>
      </c>
      <c r="CH149" s="125">
        <v>15</v>
      </c>
      <c r="CI149" s="125">
        <v>51</v>
      </c>
      <c r="CJ149" s="125">
        <v>105</v>
      </c>
      <c r="CK149" s="125"/>
      <c r="CL149" s="125"/>
      <c r="CM149" s="125"/>
      <c r="CN149" s="125"/>
      <c r="CO149" s="125"/>
      <c r="CP149" s="125"/>
      <c r="CQ149" s="125"/>
      <c r="CR149" s="125"/>
      <c r="CS149" s="125"/>
      <c r="CT149" s="125"/>
      <c r="CU149" s="125"/>
      <c r="CV149" s="125"/>
      <c r="CW149" s="125"/>
      <c r="CX149" s="125"/>
      <c r="CY149" s="125" t="s">
        <v>370</v>
      </c>
      <c r="CZ149" s="125" t="s">
        <v>370</v>
      </c>
      <c r="DA149" s="125" t="s">
        <v>370</v>
      </c>
      <c r="DB149" s="125">
        <v>0</v>
      </c>
      <c r="DC149" s="125">
        <v>0</v>
      </c>
      <c r="DD149" s="125">
        <v>0</v>
      </c>
      <c r="DE149">
        <f t="shared" si="38"/>
        <v>502892</v>
      </c>
      <c r="DG149" s="1">
        <f t="shared" si="52"/>
        <v>288857</v>
      </c>
      <c r="DH149" s="1">
        <f t="shared" si="39"/>
        <v>189590</v>
      </c>
      <c r="DI149" s="127">
        <f t="shared" si="40"/>
        <v>478447</v>
      </c>
      <c r="DK149" s="1">
        <f t="shared" si="41"/>
        <v>57322</v>
      </c>
      <c r="DL149" s="1">
        <f t="shared" si="42"/>
        <v>95744</v>
      </c>
      <c r="DM149" s="1">
        <f t="shared" si="43"/>
        <v>13985</v>
      </c>
      <c r="DN149" s="1">
        <f t="shared" si="44"/>
        <v>22440</v>
      </c>
      <c r="DO149" s="1">
        <f t="shared" si="45"/>
        <v>230327</v>
      </c>
      <c r="DP149" s="1">
        <f t="shared" si="46"/>
        <v>35880</v>
      </c>
      <c r="DQ149" s="1">
        <f t="shared" si="53"/>
        <v>0</v>
      </c>
      <c r="DR149" s="1">
        <f t="shared" si="47"/>
        <v>12607</v>
      </c>
      <c r="DS149" s="1">
        <f t="shared" si="48"/>
        <v>0</v>
      </c>
      <c r="DT149" s="1">
        <f t="shared" si="49"/>
        <v>10276</v>
      </c>
      <c r="DU149" s="1"/>
      <c r="DV149" s="1"/>
      <c r="DW149" s="1"/>
      <c r="DX149" s="1">
        <f t="shared" si="54"/>
        <v>478581</v>
      </c>
      <c r="DZ149" s="1">
        <f t="shared" si="55"/>
        <v>0</v>
      </c>
      <c r="EA149" s="1">
        <f t="shared" si="50"/>
        <v>25265</v>
      </c>
      <c r="EC149" s="1">
        <f t="shared" si="56"/>
        <v>503846</v>
      </c>
      <c r="ED149" s="1">
        <f t="shared" si="51"/>
        <v>954</v>
      </c>
      <c r="EE149" s="1"/>
    </row>
    <row r="150" spans="1:135" x14ac:dyDescent="0.25">
      <c r="A150" s="124">
        <v>36770</v>
      </c>
      <c r="B150" s="125">
        <v>0</v>
      </c>
      <c r="C150" s="125">
        <v>0</v>
      </c>
      <c r="D150" s="125">
        <v>0</v>
      </c>
      <c r="E150" s="125" t="s">
        <v>370</v>
      </c>
      <c r="F150" s="125" t="s">
        <v>370</v>
      </c>
      <c r="G150" s="125">
        <v>2990</v>
      </c>
      <c r="H150" s="125">
        <v>5791</v>
      </c>
      <c r="I150" s="125">
        <v>2461</v>
      </c>
      <c r="J150" s="125">
        <v>14769</v>
      </c>
      <c r="K150" s="125"/>
      <c r="L150" s="125">
        <v>32225</v>
      </c>
      <c r="M150" s="125">
        <v>3187</v>
      </c>
      <c r="N150" s="125"/>
      <c r="O150" s="125">
        <v>2461</v>
      </c>
      <c r="P150" s="125">
        <v>7544</v>
      </c>
      <c r="Q150" s="125">
        <v>896</v>
      </c>
      <c r="R150" s="125">
        <v>9881</v>
      </c>
      <c r="S150" s="125">
        <v>13985</v>
      </c>
      <c r="T150" s="125"/>
      <c r="U150" s="125"/>
      <c r="V150" s="125">
        <v>1128</v>
      </c>
      <c r="W150" s="125">
        <v>0</v>
      </c>
      <c r="X150" s="125">
        <v>581</v>
      </c>
      <c r="Y150" s="125">
        <v>32</v>
      </c>
      <c r="Z150" s="126"/>
      <c r="AA150" s="125">
        <v>18</v>
      </c>
      <c r="AB150" s="125">
        <v>0</v>
      </c>
      <c r="AC150" s="125">
        <v>12</v>
      </c>
      <c r="AD150" s="125">
        <v>22</v>
      </c>
      <c r="AE150" s="125">
        <v>36</v>
      </c>
      <c r="AF150" s="125">
        <v>60</v>
      </c>
      <c r="AG150" s="125"/>
      <c r="AH150" s="125"/>
      <c r="AI150" s="125">
        <v>9</v>
      </c>
      <c r="AJ150" s="125">
        <v>0</v>
      </c>
      <c r="AK150" s="125">
        <v>82030</v>
      </c>
      <c r="AL150" s="125">
        <v>3547</v>
      </c>
      <c r="AM150" s="125">
        <v>9240</v>
      </c>
      <c r="AN150" s="125">
        <v>29</v>
      </c>
      <c r="AO150" s="125">
        <v>17</v>
      </c>
      <c r="AP150" s="125">
        <v>2078</v>
      </c>
      <c r="AQ150" s="125">
        <v>1004</v>
      </c>
      <c r="AR150" s="125">
        <v>1600</v>
      </c>
      <c r="AS150" s="125" t="s">
        <v>370</v>
      </c>
      <c r="AT150" s="125">
        <v>2292</v>
      </c>
      <c r="AU150" s="125">
        <v>1787</v>
      </c>
      <c r="AV150" s="125">
        <v>3169</v>
      </c>
      <c r="AW150" s="125">
        <v>10041</v>
      </c>
      <c r="AX150" s="126"/>
      <c r="AY150" s="126"/>
      <c r="AZ150" s="126">
        <v>0</v>
      </c>
      <c r="BA150" s="126"/>
      <c r="BB150" s="125">
        <v>679</v>
      </c>
      <c r="BC150" s="125"/>
      <c r="BD150" s="125">
        <v>13958</v>
      </c>
      <c r="BE150" s="125">
        <v>36709</v>
      </c>
      <c r="BF150" s="125">
        <v>406</v>
      </c>
      <c r="BG150" s="125">
        <v>466</v>
      </c>
      <c r="BH150" s="125">
        <v>495</v>
      </c>
      <c r="BI150" s="125">
        <v>6254</v>
      </c>
      <c r="BJ150" s="125">
        <v>46</v>
      </c>
      <c r="BK150" s="125">
        <v>3415</v>
      </c>
      <c r="BL150" s="125"/>
      <c r="BM150" s="125">
        <v>751</v>
      </c>
      <c r="BN150" s="125">
        <v>30</v>
      </c>
      <c r="BO150" s="125">
        <v>0</v>
      </c>
      <c r="BP150" s="125">
        <v>19593</v>
      </c>
      <c r="BQ150" s="125">
        <v>18938</v>
      </c>
      <c r="BR150" s="125">
        <v>33</v>
      </c>
      <c r="BS150" s="125">
        <v>879</v>
      </c>
      <c r="BT150" s="125">
        <v>516</v>
      </c>
      <c r="BU150" s="125"/>
      <c r="BV150" s="125">
        <v>7</v>
      </c>
      <c r="BW150" s="125">
        <v>201</v>
      </c>
      <c r="BX150" s="125"/>
      <c r="BY150" s="125">
        <v>80</v>
      </c>
      <c r="BZ150" s="125">
        <v>0</v>
      </c>
      <c r="CA150" s="125">
        <v>3984</v>
      </c>
      <c r="CB150" s="125">
        <v>12590</v>
      </c>
      <c r="CC150" s="125">
        <v>58946</v>
      </c>
      <c r="CD150" s="125">
        <v>95612</v>
      </c>
      <c r="CE150" s="125">
        <v>14787</v>
      </c>
      <c r="CF150" s="125">
        <v>0</v>
      </c>
      <c r="CG150" s="125">
        <v>0</v>
      </c>
      <c r="CH150" s="125">
        <v>17</v>
      </c>
      <c r="CI150" s="125">
        <v>50</v>
      </c>
      <c r="CJ150" s="125">
        <v>94</v>
      </c>
      <c r="CK150" s="125"/>
      <c r="CL150" s="125"/>
      <c r="CM150" s="125"/>
      <c r="CN150" s="125"/>
      <c r="CO150" s="125"/>
      <c r="CP150" s="125"/>
      <c r="CQ150" s="125"/>
      <c r="CR150" s="125"/>
      <c r="CS150" s="125"/>
      <c r="CT150" s="125"/>
      <c r="CU150" s="125"/>
      <c r="CV150" s="125"/>
      <c r="CW150" s="125"/>
      <c r="CX150" s="125"/>
      <c r="CY150" s="125" t="s">
        <v>370</v>
      </c>
      <c r="CZ150" s="125" t="s">
        <v>370</v>
      </c>
      <c r="DA150" s="125" t="s">
        <v>370</v>
      </c>
      <c r="DB150" s="125">
        <v>0</v>
      </c>
      <c r="DC150" s="125">
        <v>0</v>
      </c>
      <c r="DD150" s="125">
        <v>0</v>
      </c>
      <c r="DE150">
        <f t="shared" si="38"/>
        <v>504458</v>
      </c>
      <c r="DG150" s="1">
        <f t="shared" si="52"/>
        <v>287073</v>
      </c>
      <c r="DH150" s="1">
        <f t="shared" si="39"/>
        <v>189661</v>
      </c>
      <c r="DI150" s="127">
        <f t="shared" si="40"/>
        <v>476734</v>
      </c>
      <c r="DK150" s="1">
        <f t="shared" si="41"/>
        <v>57297</v>
      </c>
      <c r="DL150" s="1">
        <f t="shared" si="42"/>
        <v>95843</v>
      </c>
      <c r="DM150" s="1">
        <f t="shared" si="43"/>
        <v>13928</v>
      </c>
      <c r="DN150" s="1">
        <f t="shared" si="44"/>
        <v>22690</v>
      </c>
      <c r="DO150" s="1">
        <f t="shared" si="45"/>
        <v>229151</v>
      </c>
      <c r="DP150" s="1">
        <f t="shared" si="46"/>
        <v>35647</v>
      </c>
      <c r="DQ150" s="1">
        <f t="shared" si="53"/>
        <v>0</v>
      </c>
      <c r="DR150" s="1">
        <f t="shared" si="47"/>
        <v>12554</v>
      </c>
      <c r="DS150" s="1">
        <f t="shared" si="48"/>
        <v>0</v>
      </c>
      <c r="DT150" s="1">
        <f t="shared" si="49"/>
        <v>10248</v>
      </c>
      <c r="DU150" s="1"/>
      <c r="DV150" s="1"/>
      <c r="DW150" s="1"/>
      <c r="DX150" s="1">
        <f t="shared" si="54"/>
        <v>477358</v>
      </c>
      <c r="DZ150" s="1">
        <f t="shared" si="55"/>
        <v>0</v>
      </c>
      <c r="EA150" s="1">
        <f t="shared" si="50"/>
        <v>26011</v>
      </c>
      <c r="EC150" s="1">
        <f t="shared" si="56"/>
        <v>503369</v>
      </c>
      <c r="ED150" s="1">
        <f t="shared" si="51"/>
        <v>-1089</v>
      </c>
      <c r="EE150" s="1"/>
    </row>
    <row r="151" spans="1:135" x14ac:dyDescent="0.25">
      <c r="A151" s="124">
        <v>36800</v>
      </c>
      <c r="B151" s="125">
        <v>0</v>
      </c>
      <c r="C151" s="125">
        <v>0</v>
      </c>
      <c r="D151" s="125">
        <v>0</v>
      </c>
      <c r="E151" s="125" t="s">
        <v>370</v>
      </c>
      <c r="F151" s="125" t="s">
        <v>370</v>
      </c>
      <c r="G151" s="125">
        <v>3042</v>
      </c>
      <c r="H151" s="125">
        <v>5986</v>
      </c>
      <c r="I151" s="125">
        <v>2568</v>
      </c>
      <c r="J151" s="125">
        <v>15247</v>
      </c>
      <c r="K151" s="125"/>
      <c r="L151" s="125">
        <v>32193</v>
      </c>
      <c r="M151" s="125">
        <v>3156</v>
      </c>
      <c r="N151" s="125"/>
      <c r="O151" s="125">
        <v>2468</v>
      </c>
      <c r="P151" s="125">
        <v>7614</v>
      </c>
      <c r="Q151" s="125">
        <v>875</v>
      </c>
      <c r="R151" s="125">
        <v>9898</v>
      </c>
      <c r="S151" s="125">
        <v>13928</v>
      </c>
      <c r="T151" s="125"/>
      <c r="U151" s="125"/>
      <c r="V151" s="125">
        <v>1093</v>
      </c>
      <c r="W151" s="125">
        <v>0</v>
      </c>
      <c r="X151" s="125">
        <v>571</v>
      </c>
      <c r="Y151" s="125">
        <v>32</v>
      </c>
      <c r="Z151" s="126"/>
      <c r="AA151" s="125">
        <v>16</v>
      </c>
      <c r="AB151" s="125">
        <v>0</v>
      </c>
      <c r="AC151" s="125">
        <v>13</v>
      </c>
      <c r="AD151" s="125">
        <v>22</v>
      </c>
      <c r="AE151" s="125">
        <v>37</v>
      </c>
      <c r="AF151" s="125">
        <v>58</v>
      </c>
      <c r="AG151" s="125"/>
      <c r="AH151" s="125"/>
      <c r="AI151" s="125">
        <v>8</v>
      </c>
      <c r="AJ151" s="125">
        <v>0</v>
      </c>
      <c r="AK151" s="125">
        <v>81913</v>
      </c>
      <c r="AL151" s="125">
        <v>3549</v>
      </c>
      <c r="AM151" s="125">
        <v>9257</v>
      </c>
      <c r="AN151" s="125">
        <v>34</v>
      </c>
      <c r="AO151" s="125">
        <v>18</v>
      </c>
      <c r="AP151" s="125">
        <v>2214</v>
      </c>
      <c r="AQ151" s="125">
        <v>1104</v>
      </c>
      <c r="AR151" s="125">
        <v>1623</v>
      </c>
      <c r="AS151" s="125" t="s">
        <v>370</v>
      </c>
      <c r="AT151" s="125">
        <v>2306</v>
      </c>
      <c r="AU151" s="125">
        <v>1790</v>
      </c>
      <c r="AV151" s="125">
        <v>3173</v>
      </c>
      <c r="AW151" s="125">
        <v>10039</v>
      </c>
      <c r="AX151" s="126"/>
      <c r="AY151" s="126"/>
      <c r="AZ151" s="126">
        <v>0</v>
      </c>
      <c r="BA151" s="126"/>
      <c r="BB151" s="125">
        <v>659</v>
      </c>
      <c r="BC151" s="125"/>
      <c r="BD151" s="125">
        <v>11476</v>
      </c>
      <c r="BE151" s="125">
        <v>30866</v>
      </c>
      <c r="BF151" s="125">
        <v>410</v>
      </c>
      <c r="BG151" s="125">
        <v>362</v>
      </c>
      <c r="BH151" s="125">
        <v>392</v>
      </c>
      <c r="BI151" s="125">
        <v>6242</v>
      </c>
      <c r="BJ151" s="125">
        <v>48</v>
      </c>
      <c r="BK151" s="125">
        <v>3398</v>
      </c>
      <c r="BL151" s="125"/>
      <c r="BM151" s="125">
        <v>785</v>
      </c>
      <c r="BN151" s="125">
        <v>30</v>
      </c>
      <c r="BO151" s="125">
        <v>0</v>
      </c>
      <c r="BP151" s="125">
        <v>21515</v>
      </c>
      <c r="BQ151" s="125">
        <v>18626</v>
      </c>
      <c r="BR151" s="125">
        <v>32</v>
      </c>
      <c r="BS151" s="125">
        <v>982</v>
      </c>
      <c r="BT151" s="125">
        <v>522</v>
      </c>
      <c r="BU151" s="125"/>
      <c r="BV151" s="125">
        <v>9</v>
      </c>
      <c r="BW151" s="125">
        <v>198</v>
      </c>
      <c r="BX151" s="125"/>
      <c r="BY151" s="125">
        <v>75</v>
      </c>
      <c r="BZ151" s="125">
        <v>0</v>
      </c>
      <c r="CA151" s="125">
        <v>4232</v>
      </c>
      <c r="CB151" s="125">
        <v>12530</v>
      </c>
      <c r="CC151" s="125">
        <v>60640</v>
      </c>
      <c r="CD151" s="125">
        <v>98616</v>
      </c>
      <c r="CE151" s="125">
        <v>14913</v>
      </c>
      <c r="CF151" s="125">
        <v>0</v>
      </c>
      <c r="CG151" s="125">
        <v>0</v>
      </c>
      <c r="CH151" s="125">
        <v>24</v>
      </c>
      <c r="CI151" s="125">
        <v>51</v>
      </c>
      <c r="CJ151" s="125">
        <v>99</v>
      </c>
      <c r="CK151" s="125"/>
      <c r="CL151" s="125"/>
      <c r="CM151" s="125"/>
      <c r="CN151" s="125"/>
      <c r="CO151" s="125"/>
      <c r="CP151" s="125"/>
      <c r="CQ151" s="125"/>
      <c r="CR151" s="125"/>
      <c r="CS151" s="125"/>
      <c r="CT151" s="125"/>
      <c r="CU151" s="125"/>
      <c r="CV151" s="125"/>
      <c r="CW151" s="125"/>
      <c r="CX151" s="125"/>
      <c r="CY151" s="125" t="s">
        <v>370</v>
      </c>
      <c r="CZ151" s="125" t="s">
        <v>370</v>
      </c>
      <c r="DA151" s="125" t="s">
        <v>370</v>
      </c>
      <c r="DB151" s="125">
        <v>0</v>
      </c>
      <c r="DC151" s="125">
        <v>0</v>
      </c>
      <c r="DD151" s="125">
        <v>0</v>
      </c>
      <c r="DE151">
        <f t="shared" si="38"/>
        <v>503577</v>
      </c>
      <c r="DG151" s="1">
        <f t="shared" si="52"/>
        <v>287213</v>
      </c>
      <c r="DH151" s="1">
        <f t="shared" si="39"/>
        <v>190254</v>
      </c>
      <c r="DI151" s="127">
        <f t="shared" si="40"/>
        <v>477467</v>
      </c>
      <c r="DK151" s="1">
        <f t="shared" si="41"/>
        <v>57347</v>
      </c>
      <c r="DL151" s="1">
        <f t="shared" si="42"/>
        <v>95746</v>
      </c>
      <c r="DM151" s="1">
        <f t="shared" si="43"/>
        <v>13933</v>
      </c>
      <c r="DN151" s="1">
        <f t="shared" si="44"/>
        <v>22979</v>
      </c>
      <c r="DO151" s="1">
        <f t="shared" si="45"/>
        <v>229718</v>
      </c>
      <c r="DP151" s="1">
        <f t="shared" si="46"/>
        <v>35120</v>
      </c>
      <c r="DQ151" s="1">
        <f t="shared" si="53"/>
        <v>0</v>
      </c>
      <c r="DR151" s="1">
        <f t="shared" si="47"/>
        <v>12505</v>
      </c>
      <c r="DS151" s="1">
        <f t="shared" si="48"/>
        <v>0</v>
      </c>
      <c r="DT151" s="1">
        <f t="shared" si="49"/>
        <v>10221</v>
      </c>
      <c r="DU151" s="1"/>
      <c r="DV151" s="1"/>
      <c r="DW151" s="1"/>
      <c r="DX151" s="1">
        <f t="shared" si="54"/>
        <v>477569</v>
      </c>
      <c r="DZ151" s="1">
        <f t="shared" si="55"/>
        <v>0</v>
      </c>
      <c r="EA151" s="1">
        <f t="shared" si="50"/>
        <v>26843</v>
      </c>
      <c r="EC151" s="1">
        <f t="shared" si="56"/>
        <v>504412</v>
      </c>
      <c r="ED151" s="1">
        <f t="shared" si="51"/>
        <v>835</v>
      </c>
      <c r="EE151" s="1"/>
    </row>
    <row r="152" spans="1:135" x14ac:dyDescent="0.25">
      <c r="A152" s="124">
        <v>36831</v>
      </c>
      <c r="B152" s="125">
        <v>0</v>
      </c>
      <c r="C152" s="125">
        <v>0</v>
      </c>
      <c r="D152" s="125">
        <v>0</v>
      </c>
      <c r="E152" s="125" t="s">
        <v>370</v>
      </c>
      <c r="F152" s="125" t="s">
        <v>370</v>
      </c>
      <c r="G152" s="125">
        <v>3164</v>
      </c>
      <c r="H152" s="125">
        <v>6211</v>
      </c>
      <c r="I152" s="125">
        <v>2633</v>
      </c>
      <c r="J152" s="125">
        <v>15850</v>
      </c>
      <c r="K152" s="125"/>
      <c r="L152" s="125">
        <v>32138</v>
      </c>
      <c r="M152" s="125">
        <v>3158</v>
      </c>
      <c r="N152" s="125"/>
      <c r="O152" s="125">
        <v>2461</v>
      </c>
      <c r="P152" s="125">
        <v>7672</v>
      </c>
      <c r="Q152" s="125">
        <v>863</v>
      </c>
      <c r="R152" s="125">
        <v>9964</v>
      </c>
      <c r="S152" s="125">
        <v>13933</v>
      </c>
      <c r="T152" s="125"/>
      <c r="U152" s="125"/>
      <c r="V152" s="125">
        <v>1091</v>
      </c>
      <c r="W152" s="125">
        <v>0</v>
      </c>
      <c r="X152" s="125">
        <v>576</v>
      </c>
      <c r="Y152" s="125">
        <v>31</v>
      </c>
      <c r="Z152" s="126"/>
      <c r="AA152" s="125">
        <v>16</v>
      </c>
      <c r="AB152" s="125">
        <v>0</v>
      </c>
      <c r="AC152" s="125">
        <v>14</v>
      </c>
      <c r="AD152" s="125">
        <v>21</v>
      </c>
      <c r="AE152" s="125">
        <v>36</v>
      </c>
      <c r="AF152" s="125">
        <v>58</v>
      </c>
      <c r="AG152" s="125"/>
      <c r="AH152" s="125"/>
      <c r="AI152" s="125">
        <v>6</v>
      </c>
      <c r="AJ152" s="125">
        <v>0</v>
      </c>
      <c r="AK152" s="125">
        <v>82021</v>
      </c>
      <c r="AL152" s="125">
        <v>3541</v>
      </c>
      <c r="AM152" s="125">
        <v>9367</v>
      </c>
      <c r="AN152" s="125">
        <v>33</v>
      </c>
      <c r="AO152" s="125">
        <v>15</v>
      </c>
      <c r="AP152" s="125">
        <v>2327</v>
      </c>
      <c r="AQ152" s="125">
        <v>1183</v>
      </c>
      <c r="AR152" s="125">
        <v>1637</v>
      </c>
      <c r="AS152" s="125" t="s">
        <v>370</v>
      </c>
      <c r="AT152" s="125">
        <v>2283</v>
      </c>
      <c r="AU152" s="125">
        <v>1807</v>
      </c>
      <c r="AV152" s="125">
        <v>3299</v>
      </c>
      <c r="AW152" s="125">
        <v>10029</v>
      </c>
      <c r="AX152" s="126"/>
      <c r="AY152" s="126"/>
      <c r="AZ152" s="126">
        <v>0</v>
      </c>
      <c r="BA152" s="126"/>
      <c r="BB152" s="125">
        <v>674</v>
      </c>
      <c r="BC152" s="125"/>
      <c r="BD152" s="125">
        <v>9250</v>
      </c>
      <c r="BE152" s="125">
        <v>25185</v>
      </c>
      <c r="BF152" s="125">
        <v>413</v>
      </c>
      <c r="BG152" s="125">
        <v>275</v>
      </c>
      <c r="BH152" s="125">
        <v>296</v>
      </c>
      <c r="BI152" s="125">
        <v>6214</v>
      </c>
      <c r="BJ152" s="125">
        <v>47</v>
      </c>
      <c r="BK152" s="125">
        <v>3400</v>
      </c>
      <c r="BL152" s="125"/>
      <c r="BM152" s="125">
        <v>792</v>
      </c>
      <c r="BN152" s="125">
        <v>28</v>
      </c>
      <c r="BO152" s="125">
        <v>0</v>
      </c>
      <c r="BP152" s="125">
        <v>23372</v>
      </c>
      <c r="BQ152" s="125">
        <v>18304</v>
      </c>
      <c r="BR152" s="125">
        <v>31</v>
      </c>
      <c r="BS152" s="125">
        <v>1080</v>
      </c>
      <c r="BT152" s="125">
        <v>539</v>
      </c>
      <c r="BU152" s="125"/>
      <c r="BV152" s="125">
        <v>6</v>
      </c>
      <c r="BW152" s="125">
        <v>194</v>
      </c>
      <c r="BX152" s="125"/>
      <c r="BY152" s="125">
        <v>85</v>
      </c>
      <c r="BZ152" s="125">
        <v>0</v>
      </c>
      <c r="CA152" s="125">
        <v>4449</v>
      </c>
      <c r="CB152" s="125">
        <v>12482</v>
      </c>
      <c r="CC152" s="125">
        <v>62768</v>
      </c>
      <c r="CD152" s="125">
        <v>102774</v>
      </c>
      <c r="CE152" s="125">
        <v>15065</v>
      </c>
      <c r="CF152" s="125">
        <v>0</v>
      </c>
      <c r="CG152" s="125">
        <v>0</v>
      </c>
      <c r="CH152" s="125">
        <v>23</v>
      </c>
      <c r="CI152" s="125">
        <v>49</v>
      </c>
      <c r="CJ152" s="125">
        <v>92</v>
      </c>
      <c r="CK152" s="125"/>
      <c r="CL152" s="125"/>
      <c r="CM152" s="125"/>
      <c r="CN152" s="125"/>
      <c r="CO152" s="125"/>
      <c r="CP152" s="125"/>
      <c r="CQ152" s="125"/>
      <c r="CR152" s="125"/>
      <c r="CS152" s="125"/>
      <c r="CT152" s="125"/>
      <c r="CU152" s="125"/>
      <c r="CV152" s="125"/>
      <c r="CW152" s="125"/>
      <c r="CX152" s="125"/>
      <c r="CY152" s="125" t="s">
        <v>370</v>
      </c>
      <c r="CZ152" s="125" t="s">
        <v>370</v>
      </c>
      <c r="DA152" s="125" t="s">
        <v>370</v>
      </c>
      <c r="DB152" s="125">
        <v>0</v>
      </c>
      <c r="DC152" s="125">
        <v>0</v>
      </c>
      <c r="DD152" s="125">
        <v>0</v>
      </c>
      <c r="DE152">
        <f t="shared" si="38"/>
        <v>505325</v>
      </c>
      <c r="DG152" s="1">
        <f t="shared" si="52"/>
        <v>288104</v>
      </c>
      <c r="DH152" s="1">
        <f t="shared" si="39"/>
        <v>190817</v>
      </c>
      <c r="DI152" s="127">
        <f t="shared" si="40"/>
        <v>478921</v>
      </c>
      <c r="DK152" s="1">
        <f t="shared" si="41"/>
        <v>57237</v>
      </c>
      <c r="DL152" s="1">
        <f t="shared" si="42"/>
        <v>95995</v>
      </c>
      <c r="DM152" s="1">
        <f t="shared" si="43"/>
        <v>13994</v>
      </c>
      <c r="DN152" s="1">
        <f t="shared" si="44"/>
        <v>23325</v>
      </c>
      <c r="DO152" s="1">
        <f t="shared" si="45"/>
        <v>230961</v>
      </c>
      <c r="DP152" s="1">
        <f t="shared" si="46"/>
        <v>34769</v>
      </c>
      <c r="DQ152" s="1">
        <f t="shared" si="53"/>
        <v>0</v>
      </c>
      <c r="DR152" s="1">
        <f t="shared" si="47"/>
        <v>12366</v>
      </c>
      <c r="DS152" s="1">
        <f t="shared" si="48"/>
        <v>0</v>
      </c>
      <c r="DT152" s="1">
        <f t="shared" si="49"/>
        <v>10274</v>
      </c>
      <c r="DU152" s="1"/>
      <c r="DV152" s="1"/>
      <c r="DW152" s="1"/>
      <c r="DX152" s="1">
        <f t="shared" si="54"/>
        <v>478921</v>
      </c>
      <c r="DZ152" s="1">
        <f t="shared" si="55"/>
        <v>0</v>
      </c>
      <c r="EA152" s="1">
        <f t="shared" si="50"/>
        <v>27858</v>
      </c>
      <c r="EC152" s="1">
        <f t="shared" si="56"/>
        <v>506779</v>
      </c>
      <c r="ED152" s="1">
        <f t="shared" si="51"/>
        <v>1454</v>
      </c>
      <c r="EE152" s="1"/>
    </row>
    <row r="153" spans="1:135" x14ac:dyDescent="0.25">
      <c r="A153" s="124">
        <v>36861</v>
      </c>
      <c r="B153" s="125">
        <v>0</v>
      </c>
      <c r="C153" s="125">
        <v>0</v>
      </c>
      <c r="D153" s="125">
        <v>0</v>
      </c>
      <c r="E153" s="125" t="s">
        <v>370</v>
      </c>
      <c r="F153" s="125" t="s">
        <v>370</v>
      </c>
      <c r="G153" s="125">
        <v>3220</v>
      </c>
      <c r="H153" s="125">
        <v>6495</v>
      </c>
      <c r="I153" s="125">
        <v>2667</v>
      </c>
      <c r="J153" s="125">
        <v>16294</v>
      </c>
      <c r="K153" s="125"/>
      <c r="L153" s="125">
        <v>32122</v>
      </c>
      <c r="M153" s="125">
        <v>3160</v>
      </c>
      <c r="N153" s="125"/>
      <c r="O153" s="125">
        <v>2508</v>
      </c>
      <c r="P153" s="125">
        <v>7670</v>
      </c>
      <c r="Q153" s="125">
        <v>873</v>
      </c>
      <c r="R153" s="125">
        <v>9840</v>
      </c>
      <c r="S153" s="125">
        <v>13994</v>
      </c>
      <c r="T153" s="125"/>
      <c r="U153" s="125"/>
      <c r="V153" s="125">
        <v>1064</v>
      </c>
      <c r="W153" s="125">
        <v>0</v>
      </c>
      <c r="X153" s="125">
        <v>573</v>
      </c>
      <c r="Y153" s="125">
        <v>28</v>
      </c>
      <c r="Z153" s="126"/>
      <c r="AA153" s="125">
        <v>15</v>
      </c>
      <c r="AB153" s="125">
        <v>0</v>
      </c>
      <c r="AC153" s="125">
        <v>13</v>
      </c>
      <c r="AD153" s="125">
        <v>22</v>
      </c>
      <c r="AE153" s="125">
        <v>36</v>
      </c>
      <c r="AF153" s="125">
        <v>64</v>
      </c>
      <c r="AG153" s="125"/>
      <c r="AH153" s="125"/>
      <c r="AI153" s="125">
        <v>7</v>
      </c>
      <c r="AJ153" s="125">
        <v>0</v>
      </c>
      <c r="AK153" s="125">
        <v>82306</v>
      </c>
      <c r="AL153" s="125">
        <v>3548</v>
      </c>
      <c r="AM153" s="125">
        <v>9424</v>
      </c>
      <c r="AN153" s="125">
        <v>31</v>
      </c>
      <c r="AO153" s="125">
        <v>17</v>
      </c>
      <c r="AP153" s="125">
        <v>2445</v>
      </c>
      <c r="AQ153" s="125">
        <v>1289</v>
      </c>
      <c r="AR153" s="125">
        <v>1572</v>
      </c>
      <c r="AS153" s="125" t="s">
        <v>370</v>
      </c>
      <c r="AT153" s="125">
        <v>2309</v>
      </c>
      <c r="AU153" s="125">
        <v>1836</v>
      </c>
      <c r="AV153" s="125">
        <v>3326</v>
      </c>
      <c r="AW153" s="125">
        <v>10086</v>
      </c>
      <c r="AX153" s="126"/>
      <c r="AY153" s="126"/>
      <c r="AZ153" s="126">
        <v>0</v>
      </c>
      <c r="BA153" s="126"/>
      <c r="BB153" s="125">
        <v>639</v>
      </c>
      <c r="BC153" s="125"/>
      <c r="BD153" s="125">
        <v>6426</v>
      </c>
      <c r="BE153" s="125">
        <v>17260</v>
      </c>
      <c r="BF153" s="125">
        <v>419</v>
      </c>
      <c r="BG153" s="125">
        <v>187</v>
      </c>
      <c r="BH153" s="125">
        <v>211</v>
      </c>
      <c r="BI153" s="125">
        <v>6218</v>
      </c>
      <c r="BJ153" s="125">
        <v>51</v>
      </c>
      <c r="BK153" s="125">
        <v>3448</v>
      </c>
      <c r="BL153" s="125"/>
      <c r="BM153" s="125">
        <v>768</v>
      </c>
      <c r="BN153" s="125">
        <v>31</v>
      </c>
      <c r="BO153" s="125">
        <v>0</v>
      </c>
      <c r="BP153" s="125">
        <v>25983</v>
      </c>
      <c r="BQ153" s="125">
        <v>18422</v>
      </c>
      <c r="BR153" s="125">
        <v>33</v>
      </c>
      <c r="BS153" s="125">
        <v>1139</v>
      </c>
      <c r="BT153" s="125">
        <v>525</v>
      </c>
      <c r="BU153" s="125"/>
      <c r="BV153" s="125">
        <v>8</v>
      </c>
      <c r="BW153" s="125">
        <v>189</v>
      </c>
      <c r="BX153" s="125"/>
      <c r="BY153" s="125">
        <v>91</v>
      </c>
      <c r="BZ153" s="125">
        <v>0</v>
      </c>
      <c r="CA153" s="125">
        <v>4736</v>
      </c>
      <c r="CB153" s="125">
        <v>12342</v>
      </c>
      <c r="CC153" s="125">
        <v>65710</v>
      </c>
      <c r="CD153" s="125">
        <v>108527</v>
      </c>
      <c r="CE153" s="125">
        <v>15217</v>
      </c>
      <c r="CF153" s="125">
        <v>0</v>
      </c>
      <c r="CG153" s="125">
        <v>0</v>
      </c>
      <c r="CH153" s="125">
        <v>24</v>
      </c>
      <c r="CI153" s="125">
        <v>49</v>
      </c>
      <c r="CJ153" s="125">
        <v>90</v>
      </c>
      <c r="CK153" s="125"/>
      <c r="CL153" s="125"/>
      <c r="CM153" s="125"/>
      <c r="CN153" s="125"/>
      <c r="CO153" s="125"/>
      <c r="CP153" s="125"/>
      <c r="CQ153" s="125"/>
      <c r="CR153" s="125"/>
      <c r="CS153" s="125"/>
      <c r="CT153" s="125"/>
      <c r="CU153" s="125"/>
      <c r="CV153" s="125"/>
      <c r="CW153" s="125"/>
      <c r="CX153" s="125"/>
      <c r="CY153" s="125" t="s">
        <v>370</v>
      </c>
      <c r="CZ153" s="125" t="s">
        <v>370</v>
      </c>
      <c r="DA153" s="125" t="s">
        <v>370</v>
      </c>
      <c r="DB153" s="125">
        <v>0</v>
      </c>
      <c r="DC153" s="125">
        <v>0</v>
      </c>
      <c r="DD153" s="125">
        <v>0</v>
      </c>
      <c r="DE153">
        <f t="shared" si="38"/>
        <v>507597</v>
      </c>
      <c r="DG153" s="1">
        <f t="shared" si="52"/>
        <v>287259</v>
      </c>
      <c r="DH153" s="1">
        <f t="shared" si="39"/>
        <v>186614</v>
      </c>
      <c r="DI153" s="127">
        <f t="shared" si="40"/>
        <v>473873</v>
      </c>
      <c r="DK153" s="1">
        <f t="shared" si="41"/>
        <v>56972</v>
      </c>
      <c r="DL153" s="1">
        <f t="shared" si="42"/>
        <v>96261</v>
      </c>
      <c r="DM153" s="1">
        <f t="shared" si="43"/>
        <v>13900</v>
      </c>
      <c r="DN153" s="1">
        <f t="shared" si="44"/>
        <v>19625</v>
      </c>
      <c r="DO153" s="1">
        <f t="shared" si="45"/>
        <v>230659</v>
      </c>
      <c r="DP153" s="1">
        <f t="shared" si="46"/>
        <v>34503</v>
      </c>
      <c r="DQ153" s="1">
        <f t="shared" si="53"/>
        <v>0</v>
      </c>
      <c r="DR153" s="1">
        <f t="shared" si="47"/>
        <v>12159</v>
      </c>
      <c r="DS153" s="1">
        <f t="shared" si="48"/>
        <v>0</v>
      </c>
      <c r="DT153" s="1">
        <f t="shared" si="49"/>
        <v>10246</v>
      </c>
      <c r="DU153" s="1"/>
      <c r="DV153" s="1"/>
      <c r="DW153" s="1"/>
      <c r="DX153" s="1">
        <f t="shared" si="54"/>
        <v>474325</v>
      </c>
      <c r="DZ153" s="1">
        <f t="shared" si="55"/>
        <v>0</v>
      </c>
      <c r="EA153" s="1">
        <f t="shared" si="50"/>
        <v>28676</v>
      </c>
      <c r="EC153" s="1">
        <f t="shared" si="56"/>
        <v>503001</v>
      </c>
      <c r="ED153" s="1">
        <f t="shared" si="51"/>
        <v>-4596</v>
      </c>
      <c r="EE153" s="1"/>
    </row>
    <row r="154" spans="1:135" x14ac:dyDescent="0.25">
      <c r="A154" s="124">
        <v>36892</v>
      </c>
      <c r="B154" s="125">
        <v>0</v>
      </c>
      <c r="C154" s="125">
        <v>0</v>
      </c>
      <c r="D154" s="125">
        <v>0</v>
      </c>
      <c r="E154" s="125" t="s">
        <v>370</v>
      </c>
      <c r="F154" s="125" t="s">
        <v>370</v>
      </c>
      <c r="G154" s="125">
        <v>3275</v>
      </c>
      <c r="H154" s="125">
        <v>6695</v>
      </c>
      <c r="I154" s="125">
        <v>2712</v>
      </c>
      <c r="J154" s="125">
        <v>16498</v>
      </c>
      <c r="K154" s="125"/>
      <c r="L154" s="125">
        <v>32114</v>
      </c>
      <c r="M154" s="125">
        <v>3116</v>
      </c>
      <c r="N154" s="125"/>
      <c r="O154" s="125">
        <v>2459</v>
      </c>
      <c r="P154" s="125">
        <v>7654</v>
      </c>
      <c r="Q154" s="125">
        <v>874</v>
      </c>
      <c r="R154" s="125">
        <v>9718</v>
      </c>
      <c r="S154" s="125">
        <v>13900</v>
      </c>
      <c r="T154" s="125"/>
      <c r="U154" s="125"/>
      <c r="V154" s="125">
        <v>1037</v>
      </c>
      <c r="W154" s="125">
        <v>0</v>
      </c>
      <c r="X154" s="125">
        <v>564</v>
      </c>
      <c r="Y154" s="125">
        <v>28</v>
      </c>
      <c r="Z154" s="126"/>
      <c r="AA154" s="125">
        <v>14</v>
      </c>
      <c r="AB154" s="125">
        <v>0</v>
      </c>
      <c r="AC154" s="125">
        <v>13</v>
      </c>
      <c r="AD154" s="125">
        <v>24</v>
      </c>
      <c r="AE154" s="125">
        <v>35</v>
      </c>
      <c r="AF154" s="125">
        <v>61</v>
      </c>
      <c r="AG154" s="125"/>
      <c r="AH154" s="125"/>
      <c r="AI154" s="125">
        <v>7</v>
      </c>
      <c r="AJ154" s="125">
        <v>0</v>
      </c>
      <c r="AK154" s="125">
        <v>82289</v>
      </c>
      <c r="AL154" s="125">
        <v>3547</v>
      </c>
      <c r="AM154" s="125">
        <v>9436</v>
      </c>
      <c r="AN154" s="125">
        <v>28</v>
      </c>
      <c r="AO154" s="125">
        <v>16</v>
      </c>
      <c r="AP154" s="125">
        <v>33</v>
      </c>
      <c r="AQ154" s="125">
        <v>15</v>
      </c>
      <c r="AR154" s="125">
        <v>1530</v>
      </c>
      <c r="AS154" s="125" t="s">
        <v>370</v>
      </c>
      <c r="AT154" s="125">
        <v>2315</v>
      </c>
      <c r="AU154" s="125">
        <v>1839</v>
      </c>
      <c r="AV154" s="125">
        <v>3241</v>
      </c>
      <c r="AW154" s="125">
        <v>10064</v>
      </c>
      <c r="AX154" s="126"/>
      <c r="AY154" s="126"/>
      <c r="AZ154" s="126">
        <v>0</v>
      </c>
      <c r="BA154" s="126"/>
      <c r="BB154" s="125">
        <v>643</v>
      </c>
      <c r="BC154" s="125"/>
      <c r="BD154" s="125">
        <v>4202</v>
      </c>
      <c r="BE154" s="125">
        <v>11287</v>
      </c>
      <c r="BF154" s="125">
        <v>411</v>
      </c>
      <c r="BG154" s="125">
        <v>105</v>
      </c>
      <c r="BH154" s="125">
        <v>128</v>
      </c>
      <c r="BI154" s="125">
        <v>6232</v>
      </c>
      <c r="BJ154" s="125">
        <v>40</v>
      </c>
      <c r="BK154" s="125">
        <v>3425</v>
      </c>
      <c r="BL154" s="125"/>
      <c r="BM154" s="125">
        <v>754</v>
      </c>
      <c r="BN154" s="125">
        <v>37</v>
      </c>
      <c r="BO154" s="125">
        <v>0</v>
      </c>
      <c r="BP154" s="125">
        <v>27915</v>
      </c>
      <c r="BQ154" s="125">
        <v>17907</v>
      </c>
      <c r="BR154" s="125">
        <v>36</v>
      </c>
      <c r="BS154" s="125">
        <v>1219</v>
      </c>
      <c r="BT154" s="125">
        <v>563</v>
      </c>
      <c r="BU154" s="125"/>
      <c r="BV154" s="125">
        <v>9</v>
      </c>
      <c r="BW154" s="125">
        <v>178</v>
      </c>
      <c r="BX154" s="125"/>
      <c r="BY154" s="125">
        <v>88</v>
      </c>
      <c r="BZ154" s="125">
        <v>0</v>
      </c>
      <c r="CA154" s="125">
        <v>4894</v>
      </c>
      <c r="CB154" s="125">
        <v>12141</v>
      </c>
      <c r="CC154" s="125">
        <v>67652</v>
      </c>
      <c r="CD154" s="125">
        <v>112741</v>
      </c>
      <c r="CE154" s="125">
        <v>15148</v>
      </c>
      <c r="CF154" s="125">
        <v>0</v>
      </c>
      <c r="CG154" s="125">
        <v>0</v>
      </c>
      <c r="CH154" s="125">
        <v>18</v>
      </c>
      <c r="CI154" s="125">
        <v>45</v>
      </c>
      <c r="CJ154" s="125">
        <v>84</v>
      </c>
      <c r="CK154" s="125"/>
      <c r="CL154" s="125"/>
      <c r="CM154" s="125"/>
      <c r="CN154" s="125"/>
      <c r="CO154" s="125"/>
      <c r="CP154" s="125"/>
      <c r="CQ154" s="125"/>
      <c r="CR154" s="125"/>
      <c r="CS154" s="125"/>
      <c r="CT154" s="125"/>
      <c r="CU154" s="125"/>
      <c r="CV154" s="125"/>
      <c r="CW154" s="125"/>
      <c r="CX154" s="125"/>
      <c r="CY154" s="125" t="s">
        <v>370</v>
      </c>
      <c r="CZ154" s="125" t="s">
        <v>370</v>
      </c>
      <c r="DA154" s="125" t="s">
        <v>370</v>
      </c>
      <c r="DB154" s="125">
        <v>0</v>
      </c>
      <c r="DC154" s="125">
        <v>0</v>
      </c>
      <c r="DD154" s="125">
        <v>0</v>
      </c>
      <c r="DE154">
        <f t="shared" si="38"/>
        <v>503053</v>
      </c>
      <c r="DG154" s="1">
        <f t="shared" si="52"/>
        <v>289512</v>
      </c>
      <c r="DH154" s="1">
        <f t="shared" si="39"/>
        <v>187171</v>
      </c>
      <c r="DI154" s="127">
        <f t="shared" si="40"/>
        <v>476683</v>
      </c>
      <c r="DK154" s="1">
        <f t="shared" si="41"/>
        <v>56597</v>
      </c>
      <c r="DL154" s="1">
        <f t="shared" si="42"/>
        <v>96117</v>
      </c>
      <c r="DM154" s="1">
        <f t="shared" si="43"/>
        <v>13869</v>
      </c>
      <c r="DN154" s="1">
        <f t="shared" si="44"/>
        <v>20302</v>
      </c>
      <c r="DO154" s="1">
        <f t="shared" si="45"/>
        <v>232415</v>
      </c>
      <c r="DP154" s="1">
        <f t="shared" si="46"/>
        <v>34195</v>
      </c>
      <c r="DQ154" s="1">
        <f t="shared" si="53"/>
        <v>0</v>
      </c>
      <c r="DR154" s="1">
        <f t="shared" si="47"/>
        <v>12405</v>
      </c>
      <c r="DS154" s="1">
        <f t="shared" si="48"/>
        <v>0</v>
      </c>
      <c r="DT154" s="1">
        <f t="shared" si="49"/>
        <v>10320</v>
      </c>
      <c r="DU154" s="1"/>
      <c r="DV154" s="1"/>
      <c r="DW154" s="1"/>
      <c r="DX154" s="1">
        <f t="shared" si="54"/>
        <v>476220</v>
      </c>
      <c r="DZ154" s="1">
        <f t="shared" si="55"/>
        <v>0</v>
      </c>
      <c r="EA154" s="1">
        <f t="shared" si="50"/>
        <v>29180</v>
      </c>
      <c r="EC154" s="1">
        <f t="shared" si="56"/>
        <v>505400</v>
      </c>
      <c r="ED154" s="1">
        <f t="shared" si="51"/>
        <v>2347</v>
      </c>
      <c r="EE154" s="1"/>
    </row>
    <row r="155" spans="1:135" x14ac:dyDescent="0.25">
      <c r="A155" s="124">
        <v>36923</v>
      </c>
      <c r="B155" s="125">
        <v>0</v>
      </c>
      <c r="C155" s="125">
        <v>0</v>
      </c>
      <c r="D155" s="125">
        <v>0</v>
      </c>
      <c r="E155" s="125" t="s">
        <v>370</v>
      </c>
      <c r="F155" s="125" t="s">
        <v>370</v>
      </c>
      <c r="G155" s="125">
        <v>3429</v>
      </c>
      <c r="H155" s="125">
        <v>6948</v>
      </c>
      <c r="I155" s="125">
        <v>2806</v>
      </c>
      <c r="J155" s="125">
        <v>16977</v>
      </c>
      <c r="K155" s="125"/>
      <c r="L155" s="125">
        <v>32034</v>
      </c>
      <c r="M155" s="125">
        <v>3093</v>
      </c>
      <c r="N155" s="125"/>
      <c r="O155" s="125">
        <v>2438</v>
      </c>
      <c r="P155" s="125">
        <v>7625</v>
      </c>
      <c r="Q155" s="125">
        <v>863</v>
      </c>
      <c r="R155" s="125">
        <v>9533</v>
      </c>
      <c r="S155" s="125">
        <v>13869</v>
      </c>
      <c r="T155" s="125"/>
      <c r="U155" s="125"/>
      <c r="V155" s="125">
        <v>1011</v>
      </c>
      <c r="W155" s="125">
        <v>0</v>
      </c>
      <c r="X155" s="125">
        <v>565</v>
      </c>
      <c r="Y155" s="125">
        <v>27</v>
      </c>
      <c r="Z155" s="126"/>
      <c r="AA155" s="125">
        <v>11</v>
      </c>
      <c r="AB155" s="125">
        <v>0</v>
      </c>
      <c r="AC155" s="125">
        <v>14</v>
      </c>
      <c r="AD155" s="125">
        <v>24</v>
      </c>
      <c r="AE155" s="125">
        <v>35</v>
      </c>
      <c r="AF155" s="125">
        <v>58</v>
      </c>
      <c r="AG155" s="125"/>
      <c r="AH155" s="125"/>
      <c r="AI155" s="125">
        <v>8</v>
      </c>
      <c r="AJ155" s="125">
        <v>0</v>
      </c>
      <c r="AK155" s="125">
        <v>82593</v>
      </c>
      <c r="AL155" s="125">
        <v>3537</v>
      </c>
      <c r="AM155" s="125">
        <v>9564</v>
      </c>
      <c r="AN155" s="125">
        <v>29</v>
      </c>
      <c r="AO155" s="125">
        <v>13</v>
      </c>
      <c r="AP155" s="125">
        <v>419</v>
      </c>
      <c r="AQ155" s="125">
        <v>148</v>
      </c>
      <c r="AR155" s="125">
        <v>1513</v>
      </c>
      <c r="AS155" s="125" t="s">
        <v>370</v>
      </c>
      <c r="AT155" s="125">
        <v>2327</v>
      </c>
      <c r="AU155" s="125">
        <v>1842</v>
      </c>
      <c r="AV155" s="125">
        <v>3234</v>
      </c>
      <c r="AW155" s="125">
        <v>10100</v>
      </c>
      <c r="AX155" s="126"/>
      <c r="AY155" s="126"/>
      <c r="AZ155" s="126">
        <v>0</v>
      </c>
      <c r="BA155" s="126"/>
      <c r="BB155" s="125">
        <v>644</v>
      </c>
      <c r="BC155" s="125"/>
      <c r="BD155" s="125">
        <v>3633</v>
      </c>
      <c r="BE155" s="125">
        <v>9748</v>
      </c>
      <c r="BF155" s="125">
        <v>425</v>
      </c>
      <c r="BG155" s="125">
        <v>92</v>
      </c>
      <c r="BH155" s="125">
        <v>119</v>
      </c>
      <c r="BI155" s="125">
        <v>6278</v>
      </c>
      <c r="BJ155" s="125">
        <v>38</v>
      </c>
      <c r="BK155" s="125">
        <v>3445</v>
      </c>
      <c r="BL155" s="125"/>
      <c r="BM155" s="125">
        <v>723</v>
      </c>
      <c r="BN155" s="125">
        <v>44</v>
      </c>
      <c r="BO155" s="125">
        <v>0</v>
      </c>
      <c r="BP155" s="125">
        <v>28668</v>
      </c>
      <c r="BQ155" s="125">
        <v>17006</v>
      </c>
      <c r="BR155" s="125">
        <v>39</v>
      </c>
      <c r="BS155" s="125">
        <v>1256</v>
      </c>
      <c r="BT155" s="125">
        <v>538</v>
      </c>
      <c r="BU155" s="125"/>
      <c r="BV155" s="125">
        <v>8</v>
      </c>
      <c r="BW155" s="125">
        <v>172</v>
      </c>
      <c r="BX155" s="125"/>
      <c r="BY155" s="125">
        <v>87</v>
      </c>
      <c r="BZ155" s="125">
        <v>0</v>
      </c>
      <c r="CA155" s="125">
        <v>5073</v>
      </c>
      <c r="CB155" s="125">
        <v>12387</v>
      </c>
      <c r="CC155" s="125">
        <v>68966</v>
      </c>
      <c r="CD155" s="125">
        <v>115023</v>
      </c>
      <c r="CE155" s="125">
        <v>15594</v>
      </c>
      <c r="CF155" s="125">
        <v>0</v>
      </c>
      <c r="CG155" s="125">
        <v>0</v>
      </c>
      <c r="CH155" s="125">
        <v>18</v>
      </c>
      <c r="CI155" s="125">
        <v>44</v>
      </c>
      <c r="CJ155" s="125">
        <v>88</v>
      </c>
      <c r="CK155" s="125"/>
      <c r="CL155" s="125"/>
      <c r="CM155" s="125"/>
      <c r="CN155" s="125"/>
      <c r="CO155" s="125"/>
      <c r="CP155" s="125"/>
      <c r="CQ155" s="125"/>
      <c r="CR155" s="125"/>
      <c r="CS155" s="125"/>
      <c r="CT155" s="125"/>
      <c r="CU155" s="125"/>
      <c r="CV155" s="125"/>
      <c r="CW155" s="125"/>
      <c r="CX155" s="125"/>
      <c r="CY155" s="125" t="s">
        <v>370</v>
      </c>
      <c r="CZ155" s="125" t="s">
        <v>370</v>
      </c>
      <c r="DA155" s="125" t="s">
        <v>370</v>
      </c>
      <c r="DB155" s="125">
        <v>0</v>
      </c>
      <c r="DC155" s="125">
        <v>0</v>
      </c>
      <c r="DD155" s="125">
        <v>0</v>
      </c>
      <c r="DE155">
        <f t="shared" si="38"/>
        <v>506843</v>
      </c>
      <c r="DG155" s="1">
        <f t="shared" si="52"/>
        <v>288184</v>
      </c>
      <c r="DH155" s="1">
        <f t="shared" si="39"/>
        <v>188066</v>
      </c>
      <c r="DI155" s="127">
        <f t="shared" si="40"/>
        <v>476250</v>
      </c>
      <c r="DK155" s="1">
        <f t="shared" si="41"/>
        <v>56395</v>
      </c>
      <c r="DL155" s="1">
        <f t="shared" si="42"/>
        <v>96403</v>
      </c>
      <c r="DM155" s="1">
        <f t="shared" si="43"/>
        <v>13867</v>
      </c>
      <c r="DN155" s="1">
        <f t="shared" si="44"/>
        <v>21411</v>
      </c>
      <c r="DO155" s="1">
        <f t="shared" si="45"/>
        <v>231471</v>
      </c>
      <c r="DP155" s="1">
        <f t="shared" si="46"/>
        <v>34372</v>
      </c>
      <c r="DQ155" s="1">
        <f t="shared" si="53"/>
        <v>0</v>
      </c>
      <c r="DR155" s="1">
        <f t="shared" si="47"/>
        <v>12385</v>
      </c>
      <c r="DS155" s="1">
        <f t="shared" si="48"/>
        <v>0</v>
      </c>
      <c r="DT155" s="1">
        <f t="shared" si="49"/>
        <v>10345</v>
      </c>
      <c r="DU155" s="1"/>
      <c r="DV155" s="1"/>
      <c r="DW155" s="1"/>
      <c r="DX155" s="1">
        <f t="shared" si="54"/>
        <v>476649</v>
      </c>
      <c r="DZ155" s="1">
        <f t="shared" si="55"/>
        <v>0</v>
      </c>
      <c r="EA155" s="1">
        <f t="shared" si="50"/>
        <v>30160</v>
      </c>
      <c r="EC155" s="1">
        <f t="shared" si="56"/>
        <v>506809</v>
      </c>
      <c r="ED155" s="1">
        <f t="shared" si="51"/>
        <v>-34</v>
      </c>
      <c r="EE155" s="1"/>
    </row>
    <row r="156" spans="1:135" x14ac:dyDescent="0.25">
      <c r="A156" s="124">
        <v>36951</v>
      </c>
      <c r="B156" s="125">
        <v>0</v>
      </c>
      <c r="C156" s="125">
        <v>0</v>
      </c>
      <c r="D156" s="125">
        <v>0</v>
      </c>
      <c r="E156" s="125" t="s">
        <v>370</v>
      </c>
      <c r="F156" s="125" t="s">
        <v>370</v>
      </c>
      <c r="G156" s="125">
        <v>3421</v>
      </c>
      <c r="H156" s="125">
        <v>6957</v>
      </c>
      <c r="I156" s="125">
        <v>2867</v>
      </c>
      <c r="J156" s="125">
        <v>17068</v>
      </c>
      <c r="K156" s="125"/>
      <c r="L156" s="125">
        <v>31985</v>
      </c>
      <c r="M156" s="125">
        <v>3113</v>
      </c>
      <c r="N156" s="125"/>
      <c r="O156" s="125">
        <v>2403</v>
      </c>
      <c r="P156" s="125">
        <v>7610</v>
      </c>
      <c r="Q156" s="125">
        <v>857</v>
      </c>
      <c r="R156" s="125">
        <v>9440</v>
      </c>
      <c r="S156" s="125">
        <v>13867</v>
      </c>
      <c r="T156" s="125"/>
      <c r="U156" s="125"/>
      <c r="V156" s="125">
        <v>987</v>
      </c>
      <c r="W156" s="125">
        <v>0</v>
      </c>
      <c r="X156" s="125">
        <v>562</v>
      </c>
      <c r="Y156" s="125">
        <v>27</v>
      </c>
      <c r="Z156" s="126"/>
      <c r="AA156" s="125">
        <v>13</v>
      </c>
      <c r="AB156" s="125">
        <v>0</v>
      </c>
      <c r="AC156" s="125">
        <v>13</v>
      </c>
      <c r="AD156" s="125">
        <v>22</v>
      </c>
      <c r="AE156" s="125">
        <v>36</v>
      </c>
      <c r="AF156" s="125">
        <v>58</v>
      </c>
      <c r="AG156" s="125"/>
      <c r="AH156" s="125"/>
      <c r="AI156" s="125">
        <v>8</v>
      </c>
      <c r="AJ156" s="125">
        <v>0</v>
      </c>
      <c r="AK156" s="125">
        <v>82558</v>
      </c>
      <c r="AL156" s="125">
        <v>3552</v>
      </c>
      <c r="AM156" s="125">
        <v>9667</v>
      </c>
      <c r="AN156" s="125">
        <v>28</v>
      </c>
      <c r="AO156" s="125">
        <v>17</v>
      </c>
      <c r="AP156" s="125">
        <v>1218</v>
      </c>
      <c r="AQ156" s="125">
        <v>422</v>
      </c>
      <c r="AR156" s="125">
        <v>1474</v>
      </c>
      <c r="AS156" s="125" t="s">
        <v>370</v>
      </c>
      <c r="AT156" s="125">
        <v>2355</v>
      </c>
      <c r="AU156" s="125">
        <v>1857</v>
      </c>
      <c r="AV156" s="125">
        <v>3238</v>
      </c>
      <c r="AW156" s="125">
        <v>10029</v>
      </c>
      <c r="AX156" s="126"/>
      <c r="AY156" s="126"/>
      <c r="AZ156" s="126">
        <v>0</v>
      </c>
      <c r="BA156" s="126"/>
      <c r="BB156" s="125">
        <v>650</v>
      </c>
      <c r="BC156" s="125"/>
      <c r="BD156" s="125">
        <v>3178</v>
      </c>
      <c r="BE156" s="125">
        <v>8674</v>
      </c>
      <c r="BF156" s="125">
        <v>436</v>
      </c>
      <c r="BG156" s="125">
        <v>70</v>
      </c>
      <c r="BH156" s="125">
        <v>92</v>
      </c>
      <c r="BI156" s="125">
        <v>6296</v>
      </c>
      <c r="BJ156" s="125">
        <v>34</v>
      </c>
      <c r="BK156" s="125">
        <v>3451</v>
      </c>
      <c r="BL156" s="125"/>
      <c r="BM156" s="125">
        <v>680</v>
      </c>
      <c r="BN156" s="125">
        <v>60</v>
      </c>
      <c r="BO156" s="125">
        <v>0</v>
      </c>
      <c r="BP156" s="125">
        <v>28790</v>
      </c>
      <c r="BQ156" s="125">
        <v>16370</v>
      </c>
      <c r="BR156" s="125">
        <v>37</v>
      </c>
      <c r="BS156" s="125">
        <v>1265</v>
      </c>
      <c r="BT156" s="125">
        <v>510</v>
      </c>
      <c r="BU156" s="125"/>
      <c r="BV156" s="125">
        <v>10</v>
      </c>
      <c r="BW156" s="125">
        <v>162</v>
      </c>
      <c r="BX156" s="125"/>
      <c r="BY156" s="125">
        <v>93</v>
      </c>
      <c r="BZ156" s="125">
        <v>0</v>
      </c>
      <c r="CA156" s="125">
        <v>5079</v>
      </c>
      <c r="CB156" s="125">
        <v>12367</v>
      </c>
      <c r="CC156" s="125">
        <v>69272</v>
      </c>
      <c r="CD156" s="125">
        <v>115563</v>
      </c>
      <c r="CE156" s="125">
        <v>15545</v>
      </c>
      <c r="CF156" s="125">
        <v>0</v>
      </c>
      <c r="CG156" s="125">
        <v>0</v>
      </c>
      <c r="CH156" s="125">
        <v>18</v>
      </c>
      <c r="CI156" s="125">
        <v>45</v>
      </c>
      <c r="CJ156" s="125">
        <v>87</v>
      </c>
      <c r="CK156" s="125"/>
      <c r="CL156" s="125"/>
      <c r="CM156" s="125"/>
      <c r="CN156" s="125"/>
      <c r="CO156" s="125"/>
      <c r="CP156" s="125"/>
      <c r="CQ156" s="125"/>
      <c r="CR156" s="125"/>
      <c r="CS156" s="125"/>
      <c r="CT156" s="125"/>
      <c r="CU156" s="125"/>
      <c r="CV156" s="125"/>
      <c r="CW156" s="125"/>
      <c r="CX156" s="125"/>
      <c r="CY156" s="125" t="s">
        <v>370</v>
      </c>
      <c r="CZ156" s="125" t="s">
        <v>370</v>
      </c>
      <c r="DA156" s="125" t="s">
        <v>370</v>
      </c>
      <c r="DB156" s="125">
        <v>0</v>
      </c>
      <c r="DC156" s="125">
        <v>0</v>
      </c>
      <c r="DD156" s="125">
        <v>0</v>
      </c>
      <c r="DE156">
        <f t="shared" si="38"/>
        <v>506563</v>
      </c>
      <c r="DG156" s="1">
        <f t="shared" si="52"/>
        <v>289842</v>
      </c>
      <c r="DH156" s="1">
        <f t="shared" si="39"/>
        <v>189252</v>
      </c>
      <c r="DI156" s="127">
        <f t="shared" si="40"/>
        <v>479094</v>
      </c>
      <c r="DK156" s="1">
        <f t="shared" si="41"/>
        <v>56538</v>
      </c>
      <c r="DL156" s="1">
        <f t="shared" si="42"/>
        <v>96393</v>
      </c>
      <c r="DM156" s="1">
        <f t="shared" si="43"/>
        <v>13893</v>
      </c>
      <c r="DN156" s="1">
        <f t="shared" si="44"/>
        <v>22202</v>
      </c>
      <c r="DO156" s="1">
        <f t="shared" si="45"/>
        <v>232673</v>
      </c>
      <c r="DP156" s="1">
        <f t="shared" si="46"/>
        <v>33983</v>
      </c>
      <c r="DQ156" s="1">
        <f t="shared" si="53"/>
        <v>0</v>
      </c>
      <c r="DR156" s="1">
        <f t="shared" si="47"/>
        <v>12627</v>
      </c>
      <c r="DS156" s="1">
        <f t="shared" si="48"/>
        <v>0</v>
      </c>
      <c r="DT156" s="1">
        <f t="shared" si="49"/>
        <v>10440</v>
      </c>
      <c r="DU156" s="1"/>
      <c r="DV156" s="1"/>
      <c r="DW156" s="1"/>
      <c r="DX156" s="1">
        <f t="shared" si="54"/>
        <v>478749</v>
      </c>
      <c r="DZ156" s="1">
        <f t="shared" si="55"/>
        <v>0</v>
      </c>
      <c r="EA156" s="1">
        <f t="shared" si="50"/>
        <v>30313</v>
      </c>
      <c r="EC156" s="1">
        <f t="shared" si="56"/>
        <v>509062</v>
      </c>
      <c r="ED156" s="1">
        <f t="shared" si="51"/>
        <v>2499</v>
      </c>
      <c r="EE156" s="1"/>
    </row>
    <row r="157" spans="1:135" x14ac:dyDescent="0.25">
      <c r="A157" s="124">
        <v>36982</v>
      </c>
      <c r="B157" s="125">
        <v>0</v>
      </c>
      <c r="C157" s="125">
        <v>0</v>
      </c>
      <c r="D157" s="125">
        <v>0</v>
      </c>
      <c r="E157" s="125" t="s">
        <v>370</v>
      </c>
      <c r="F157" s="125" t="s">
        <v>370</v>
      </c>
      <c r="G157" s="125">
        <v>3497</v>
      </c>
      <c r="H157" s="125">
        <v>7074</v>
      </c>
      <c r="I157" s="125">
        <v>2945</v>
      </c>
      <c r="J157" s="125">
        <v>17404</v>
      </c>
      <c r="K157" s="125"/>
      <c r="L157" s="125">
        <v>32006</v>
      </c>
      <c r="M157" s="125">
        <v>3134</v>
      </c>
      <c r="N157" s="125"/>
      <c r="O157" s="125">
        <v>2361</v>
      </c>
      <c r="P157" s="125">
        <v>7754</v>
      </c>
      <c r="Q157" s="125">
        <v>843</v>
      </c>
      <c r="R157" s="125">
        <v>9493</v>
      </c>
      <c r="S157" s="125">
        <v>13893</v>
      </c>
      <c r="T157" s="125"/>
      <c r="U157" s="125"/>
      <c r="V157" s="125">
        <v>947</v>
      </c>
      <c r="W157" s="125">
        <v>0</v>
      </c>
      <c r="X157" s="125">
        <v>554</v>
      </c>
      <c r="Y157" s="125">
        <v>28</v>
      </c>
      <c r="Z157" s="126"/>
      <c r="AA157" s="125">
        <v>12</v>
      </c>
      <c r="AB157" s="125">
        <v>0</v>
      </c>
      <c r="AC157" s="125">
        <v>14</v>
      </c>
      <c r="AD157" s="125">
        <v>23</v>
      </c>
      <c r="AE157" s="125">
        <v>37</v>
      </c>
      <c r="AF157" s="125">
        <v>59</v>
      </c>
      <c r="AG157" s="125"/>
      <c r="AH157" s="125"/>
      <c r="AI157" s="125">
        <v>6</v>
      </c>
      <c r="AJ157" s="125">
        <v>0</v>
      </c>
      <c r="AK157" s="125">
        <v>82673</v>
      </c>
      <c r="AL157" s="125">
        <v>3566</v>
      </c>
      <c r="AM157" s="125">
        <v>9780</v>
      </c>
      <c r="AN157" s="125">
        <v>27</v>
      </c>
      <c r="AO157" s="125">
        <v>15</v>
      </c>
      <c r="AP157" s="125">
        <v>1627</v>
      </c>
      <c r="AQ157" s="125">
        <v>625</v>
      </c>
      <c r="AR157" s="125">
        <v>1523</v>
      </c>
      <c r="AS157" s="125" t="s">
        <v>370</v>
      </c>
      <c r="AT157" s="125">
        <v>2407</v>
      </c>
      <c r="AU157" s="125">
        <v>1867</v>
      </c>
      <c r="AV157" s="125">
        <v>3243</v>
      </c>
      <c r="AW157" s="125">
        <v>10096</v>
      </c>
      <c r="AX157" s="126"/>
      <c r="AY157" s="126"/>
      <c r="AZ157" s="126">
        <v>0</v>
      </c>
      <c r="BA157" s="126"/>
      <c r="BB157" s="125">
        <v>639</v>
      </c>
      <c r="BC157" s="125"/>
      <c r="BD157" s="125">
        <v>2501</v>
      </c>
      <c r="BE157" s="125">
        <v>6566</v>
      </c>
      <c r="BF157" s="125">
        <v>428</v>
      </c>
      <c r="BG157" s="125">
        <v>36</v>
      </c>
      <c r="BH157" s="125">
        <v>53</v>
      </c>
      <c r="BI157" s="125">
        <v>6362</v>
      </c>
      <c r="BJ157" s="125">
        <v>32</v>
      </c>
      <c r="BK157" s="125">
        <v>3506</v>
      </c>
      <c r="BL157" s="125"/>
      <c r="BM157" s="125">
        <v>693</v>
      </c>
      <c r="BN157" s="125">
        <v>63</v>
      </c>
      <c r="BO157" s="125">
        <v>0</v>
      </c>
      <c r="BP157" s="125">
        <v>29552</v>
      </c>
      <c r="BQ157" s="125">
        <v>15969</v>
      </c>
      <c r="BR157" s="125">
        <v>33</v>
      </c>
      <c r="BS157" s="125">
        <v>1320</v>
      </c>
      <c r="BT157" s="125">
        <v>506</v>
      </c>
      <c r="BU157" s="125"/>
      <c r="BV157" s="125">
        <v>9</v>
      </c>
      <c r="BW157" s="125">
        <v>144</v>
      </c>
      <c r="BX157" s="125"/>
      <c r="BY157" s="125">
        <v>93</v>
      </c>
      <c r="BZ157" s="125">
        <v>0</v>
      </c>
      <c r="CA157" s="125">
        <v>5128</v>
      </c>
      <c r="CB157" s="125">
        <v>12611</v>
      </c>
      <c r="CC157" s="125">
        <v>70414</v>
      </c>
      <c r="CD157" s="125">
        <v>118061</v>
      </c>
      <c r="CE157" s="125">
        <v>15610</v>
      </c>
      <c r="CF157" s="125">
        <v>0</v>
      </c>
      <c r="CG157" s="125">
        <v>0</v>
      </c>
      <c r="CH157" s="125">
        <v>16</v>
      </c>
      <c r="CI157" s="125">
        <v>47</v>
      </c>
      <c r="CJ157" s="125">
        <v>89</v>
      </c>
      <c r="CK157" s="125"/>
      <c r="CL157" s="125"/>
      <c r="CM157" s="125"/>
      <c r="CN157" s="125"/>
      <c r="CO157" s="125"/>
      <c r="CP157" s="125"/>
      <c r="CQ157" s="125"/>
      <c r="CR157" s="125"/>
      <c r="CS157" s="125"/>
      <c r="CT157" s="125"/>
      <c r="CU157" s="125"/>
      <c r="CV157" s="125"/>
      <c r="CW157" s="125"/>
      <c r="CX157" s="125"/>
      <c r="CY157" s="125" t="s">
        <v>370</v>
      </c>
      <c r="CZ157" s="125" t="s">
        <v>370</v>
      </c>
      <c r="DA157" s="125" t="s">
        <v>370</v>
      </c>
      <c r="DB157" s="125">
        <v>0</v>
      </c>
      <c r="DC157" s="125">
        <v>0</v>
      </c>
      <c r="DD157" s="125">
        <v>0</v>
      </c>
      <c r="DE157">
        <f t="shared" si="38"/>
        <v>510014</v>
      </c>
      <c r="DG157" s="1">
        <f t="shared" si="52"/>
        <v>289529</v>
      </c>
      <c r="DH157" s="1">
        <f t="shared" si="39"/>
        <v>189722</v>
      </c>
      <c r="DI157" s="127">
        <f t="shared" si="40"/>
        <v>479251</v>
      </c>
      <c r="DK157" s="1">
        <f t="shared" si="41"/>
        <v>56509</v>
      </c>
      <c r="DL157" s="1">
        <f t="shared" si="42"/>
        <v>96619</v>
      </c>
      <c r="DM157" s="1">
        <f t="shared" si="43"/>
        <v>13849</v>
      </c>
      <c r="DN157" s="1">
        <f t="shared" si="44"/>
        <v>22733</v>
      </c>
      <c r="DO157" s="1">
        <f t="shared" si="45"/>
        <v>232788</v>
      </c>
      <c r="DP157" s="1">
        <f t="shared" si="46"/>
        <v>34102</v>
      </c>
      <c r="DQ157" s="1">
        <f t="shared" si="53"/>
        <v>0</v>
      </c>
      <c r="DR157" s="1">
        <f t="shared" si="47"/>
        <v>12730</v>
      </c>
      <c r="DS157" s="1">
        <f t="shared" si="48"/>
        <v>0</v>
      </c>
      <c r="DT157" s="1">
        <f t="shared" si="49"/>
        <v>10358</v>
      </c>
      <c r="DU157" s="1"/>
      <c r="DV157" s="1"/>
      <c r="DW157" s="1"/>
      <c r="DX157" s="1">
        <f t="shared" si="54"/>
        <v>479688</v>
      </c>
      <c r="DZ157" s="1">
        <f t="shared" si="55"/>
        <v>0</v>
      </c>
      <c r="EA157" s="1">
        <f t="shared" si="50"/>
        <v>30920</v>
      </c>
      <c r="EC157" s="1">
        <f t="shared" si="56"/>
        <v>510608</v>
      </c>
      <c r="ED157" s="1">
        <f t="shared" si="51"/>
        <v>594</v>
      </c>
      <c r="EE157" s="1"/>
    </row>
    <row r="158" spans="1:135" x14ac:dyDescent="0.25">
      <c r="A158" s="124">
        <v>37012</v>
      </c>
      <c r="B158" s="125">
        <v>0</v>
      </c>
      <c r="C158" s="125">
        <v>0</v>
      </c>
      <c r="D158" s="125">
        <v>0</v>
      </c>
      <c r="E158" s="125" t="s">
        <v>370</v>
      </c>
      <c r="F158" s="125" t="s">
        <v>370</v>
      </c>
      <c r="G158" s="125">
        <v>3481</v>
      </c>
      <c r="H158" s="125">
        <v>7125</v>
      </c>
      <c r="I158" s="125">
        <v>2989</v>
      </c>
      <c r="J158" s="125">
        <v>17745</v>
      </c>
      <c r="K158" s="125"/>
      <c r="L158" s="125">
        <v>31960</v>
      </c>
      <c r="M158" s="125">
        <v>3148</v>
      </c>
      <c r="N158" s="125"/>
      <c r="O158" s="125">
        <v>2349</v>
      </c>
      <c r="P158" s="125">
        <v>7793</v>
      </c>
      <c r="Q158" s="125">
        <v>833</v>
      </c>
      <c r="R158" s="125">
        <v>9517</v>
      </c>
      <c r="S158" s="125">
        <v>13849</v>
      </c>
      <c r="T158" s="125"/>
      <c r="U158" s="125"/>
      <c r="V158" s="125">
        <v>909</v>
      </c>
      <c r="W158" s="125">
        <v>0</v>
      </c>
      <c r="X158" s="125">
        <v>545</v>
      </c>
      <c r="Y158" s="125">
        <v>28</v>
      </c>
      <c r="Z158" s="126"/>
      <c r="AA158" s="125">
        <v>11</v>
      </c>
      <c r="AB158" s="125">
        <v>0</v>
      </c>
      <c r="AC158" s="125">
        <v>12</v>
      </c>
      <c r="AD158" s="125">
        <v>26</v>
      </c>
      <c r="AE158" s="125">
        <v>35</v>
      </c>
      <c r="AF158" s="125">
        <v>59</v>
      </c>
      <c r="AG158" s="125"/>
      <c r="AH158" s="125"/>
      <c r="AI158" s="125">
        <v>6</v>
      </c>
      <c r="AJ158" s="125">
        <v>0</v>
      </c>
      <c r="AK158" s="125">
        <v>82672</v>
      </c>
      <c r="AL158" s="125">
        <v>3556</v>
      </c>
      <c r="AM158" s="125">
        <v>9838</v>
      </c>
      <c r="AN158" s="125">
        <v>29</v>
      </c>
      <c r="AO158" s="125">
        <v>15</v>
      </c>
      <c r="AP158" s="125">
        <v>1906</v>
      </c>
      <c r="AQ158" s="125">
        <v>821</v>
      </c>
      <c r="AR158" s="125">
        <v>1535</v>
      </c>
      <c r="AS158" s="125" t="s">
        <v>370</v>
      </c>
      <c r="AT158" s="125">
        <v>2439</v>
      </c>
      <c r="AU158" s="125">
        <v>1882</v>
      </c>
      <c r="AV158" s="125">
        <v>3217</v>
      </c>
      <c r="AW158" s="125">
        <v>10094</v>
      </c>
      <c r="AX158" s="126"/>
      <c r="AY158" s="126"/>
      <c r="AZ158" s="126">
        <v>0</v>
      </c>
      <c r="BA158" s="126"/>
      <c r="BB158" s="125">
        <v>638</v>
      </c>
      <c r="BC158" s="125"/>
      <c r="BD158" s="125">
        <v>1888</v>
      </c>
      <c r="BE158" s="125">
        <v>5043</v>
      </c>
      <c r="BF158" s="125">
        <v>423</v>
      </c>
      <c r="BG158" s="125">
        <v>27</v>
      </c>
      <c r="BH158" s="125">
        <v>41</v>
      </c>
      <c r="BI158" s="125">
        <v>6340</v>
      </c>
      <c r="BJ158" s="125">
        <v>34</v>
      </c>
      <c r="BK158" s="125">
        <v>3455</v>
      </c>
      <c r="BL158" s="125"/>
      <c r="BM158" s="125">
        <v>592</v>
      </c>
      <c r="BN158" s="125">
        <v>66</v>
      </c>
      <c r="BO158" s="125">
        <v>0</v>
      </c>
      <c r="BP158" s="125">
        <v>29819</v>
      </c>
      <c r="BQ158" s="125">
        <v>15363</v>
      </c>
      <c r="BR158" s="125">
        <v>33</v>
      </c>
      <c r="BS158" s="125">
        <v>1327</v>
      </c>
      <c r="BT158" s="125">
        <v>460</v>
      </c>
      <c r="BU158" s="125"/>
      <c r="BV158" s="125">
        <v>10</v>
      </c>
      <c r="BW158" s="125">
        <v>140</v>
      </c>
      <c r="BX158" s="125"/>
      <c r="BY158" s="125">
        <v>91</v>
      </c>
      <c r="BZ158" s="125">
        <v>0</v>
      </c>
      <c r="CA158" s="125">
        <v>5173</v>
      </c>
      <c r="CB158" s="125">
        <v>12710</v>
      </c>
      <c r="CC158" s="125">
        <v>71381</v>
      </c>
      <c r="CD158" s="125">
        <v>119285</v>
      </c>
      <c r="CE158" s="125">
        <v>15663</v>
      </c>
      <c r="CF158" s="125">
        <v>0</v>
      </c>
      <c r="CG158" s="125">
        <v>0</v>
      </c>
      <c r="CH158" s="125">
        <v>20</v>
      </c>
      <c r="CI158" s="125">
        <v>46</v>
      </c>
      <c r="CJ158" s="125">
        <v>99</v>
      </c>
      <c r="CK158" s="125"/>
      <c r="CL158" s="125"/>
      <c r="CM158" s="125"/>
      <c r="CN158" s="125"/>
      <c r="CO158" s="125"/>
      <c r="CP158" s="125"/>
      <c r="CQ158" s="125"/>
      <c r="CR158" s="125"/>
      <c r="CS158" s="125"/>
      <c r="CT158" s="125"/>
      <c r="CU158" s="125"/>
      <c r="CV158" s="125"/>
      <c r="CW158" s="125"/>
      <c r="CX158" s="125"/>
      <c r="CY158" s="125" t="s">
        <v>370</v>
      </c>
      <c r="CZ158" s="125" t="s">
        <v>370</v>
      </c>
      <c r="DA158" s="125" t="s">
        <v>370</v>
      </c>
      <c r="DB158" s="125">
        <v>0</v>
      </c>
      <c r="DC158" s="125">
        <v>0</v>
      </c>
      <c r="DD158" s="125">
        <v>0</v>
      </c>
      <c r="DE158">
        <f t="shared" si="38"/>
        <v>510591</v>
      </c>
      <c r="DG158" s="1">
        <f t="shared" si="52"/>
        <v>290283</v>
      </c>
      <c r="DH158" s="1">
        <f t="shared" si="39"/>
        <v>190036</v>
      </c>
      <c r="DI158" s="127">
        <f t="shared" si="40"/>
        <v>480319</v>
      </c>
      <c r="DK158" s="1">
        <f t="shared" si="41"/>
        <v>56609</v>
      </c>
      <c r="DL158" s="1">
        <f t="shared" si="42"/>
        <v>96631</v>
      </c>
      <c r="DM158" s="1">
        <f t="shared" si="43"/>
        <v>13853</v>
      </c>
      <c r="DN158" s="1">
        <f t="shared" si="44"/>
        <v>23154</v>
      </c>
      <c r="DO158" s="1">
        <f t="shared" si="45"/>
        <v>233155</v>
      </c>
      <c r="DP158" s="1">
        <f t="shared" si="46"/>
        <v>33653</v>
      </c>
      <c r="DQ158" s="1">
        <f t="shared" si="53"/>
        <v>0</v>
      </c>
      <c r="DR158" s="1">
        <f t="shared" si="47"/>
        <v>12820</v>
      </c>
      <c r="DS158" s="1">
        <f t="shared" si="48"/>
        <v>0</v>
      </c>
      <c r="DT158" s="1">
        <f t="shared" si="49"/>
        <v>10516</v>
      </c>
      <c r="DU158" s="1"/>
      <c r="DV158" s="1"/>
      <c r="DW158" s="1"/>
      <c r="DX158" s="1">
        <f t="shared" si="54"/>
        <v>480391</v>
      </c>
      <c r="DZ158" s="1">
        <f t="shared" si="55"/>
        <v>0</v>
      </c>
      <c r="EA158" s="1">
        <f t="shared" si="50"/>
        <v>31340</v>
      </c>
      <c r="EC158" s="1">
        <f t="shared" si="56"/>
        <v>511731</v>
      </c>
      <c r="ED158" s="1">
        <f t="shared" si="51"/>
        <v>1140</v>
      </c>
      <c r="EE158" s="1"/>
    </row>
    <row r="159" spans="1:135" x14ac:dyDescent="0.25">
      <c r="A159" s="124">
        <v>37043</v>
      </c>
      <c r="B159" s="125">
        <v>0</v>
      </c>
      <c r="C159" s="125">
        <v>0</v>
      </c>
      <c r="D159" s="125">
        <v>0</v>
      </c>
      <c r="E159" s="125" t="s">
        <v>370</v>
      </c>
      <c r="F159" s="125" t="s">
        <v>370</v>
      </c>
      <c r="G159" s="125">
        <v>3547</v>
      </c>
      <c r="H159" s="125">
        <v>7298</v>
      </c>
      <c r="I159" s="125">
        <v>3063</v>
      </c>
      <c r="J159" s="125">
        <v>17997</v>
      </c>
      <c r="K159" s="125"/>
      <c r="L159" s="125">
        <v>31996</v>
      </c>
      <c r="M159" s="125">
        <v>3132</v>
      </c>
      <c r="N159" s="125"/>
      <c r="O159" s="125">
        <v>2341</v>
      </c>
      <c r="P159" s="125">
        <v>7887</v>
      </c>
      <c r="Q159" s="125">
        <v>819</v>
      </c>
      <c r="R159" s="125">
        <v>9549</v>
      </c>
      <c r="S159" s="125">
        <v>13853</v>
      </c>
      <c r="T159" s="125"/>
      <c r="U159" s="125"/>
      <c r="V159" s="125">
        <v>885</v>
      </c>
      <c r="W159" s="125">
        <v>0</v>
      </c>
      <c r="X159" s="125">
        <v>543</v>
      </c>
      <c r="Y159" s="125">
        <v>26</v>
      </c>
      <c r="Z159" s="126"/>
      <c r="AA159" s="125">
        <v>10</v>
      </c>
      <c r="AB159" s="125">
        <v>0</v>
      </c>
      <c r="AC159" s="125">
        <v>14</v>
      </c>
      <c r="AD159" s="125">
        <v>27</v>
      </c>
      <c r="AE159" s="125">
        <v>37</v>
      </c>
      <c r="AF159" s="125">
        <v>57</v>
      </c>
      <c r="AG159" s="125"/>
      <c r="AH159" s="125"/>
      <c r="AI159" s="125">
        <v>6</v>
      </c>
      <c r="AJ159" s="125">
        <v>0</v>
      </c>
      <c r="AK159" s="125">
        <v>82424</v>
      </c>
      <c r="AL159" s="125">
        <v>3548</v>
      </c>
      <c r="AM159" s="125">
        <v>9893</v>
      </c>
      <c r="AN159" s="125">
        <v>31</v>
      </c>
      <c r="AO159" s="125">
        <v>13</v>
      </c>
      <c r="AP159" s="125">
        <v>2110</v>
      </c>
      <c r="AQ159" s="125">
        <v>939</v>
      </c>
      <c r="AR159" s="125">
        <v>1517</v>
      </c>
      <c r="AS159" s="125" t="s">
        <v>370</v>
      </c>
      <c r="AT159" s="125">
        <v>2479</v>
      </c>
      <c r="AU159" s="125">
        <v>1894</v>
      </c>
      <c r="AV159" s="125">
        <v>3239</v>
      </c>
      <c r="AW159" s="125">
        <v>10142</v>
      </c>
      <c r="AX159" s="126"/>
      <c r="AY159" s="126"/>
      <c r="AZ159" s="126">
        <v>0</v>
      </c>
      <c r="BA159" s="126"/>
      <c r="BB159" s="125">
        <v>625</v>
      </c>
      <c r="BC159" s="125"/>
      <c r="BD159" s="125">
        <v>1215</v>
      </c>
      <c r="BE159" s="125">
        <v>3389</v>
      </c>
      <c r="BF159" s="125">
        <v>440</v>
      </c>
      <c r="BG159" s="125">
        <v>25</v>
      </c>
      <c r="BH159" s="125">
        <v>33</v>
      </c>
      <c r="BI159" s="125">
        <v>6405</v>
      </c>
      <c r="BJ159" s="125">
        <v>30</v>
      </c>
      <c r="BK159" s="125">
        <v>3533</v>
      </c>
      <c r="BL159" s="125"/>
      <c r="BM159" s="125">
        <v>617</v>
      </c>
      <c r="BN159" s="125">
        <v>67</v>
      </c>
      <c r="BO159" s="125">
        <v>0</v>
      </c>
      <c r="BP159" s="125">
        <v>30569</v>
      </c>
      <c r="BQ159" s="125">
        <v>14871</v>
      </c>
      <c r="BR159" s="125">
        <v>39</v>
      </c>
      <c r="BS159" s="125">
        <v>1366</v>
      </c>
      <c r="BT159" s="125">
        <v>444</v>
      </c>
      <c r="BU159" s="125"/>
      <c r="BV159" s="125">
        <v>10</v>
      </c>
      <c r="BW159" s="125">
        <v>138</v>
      </c>
      <c r="BX159" s="125"/>
      <c r="BY159" s="125">
        <v>90</v>
      </c>
      <c r="BZ159" s="125">
        <v>0</v>
      </c>
      <c r="CA159" s="125">
        <v>5194</v>
      </c>
      <c r="CB159" s="125">
        <v>12797</v>
      </c>
      <c r="CC159" s="125">
        <v>72000</v>
      </c>
      <c r="CD159" s="125">
        <v>121193</v>
      </c>
      <c r="CE159" s="125">
        <v>15653</v>
      </c>
      <c r="CF159" s="125">
        <v>0</v>
      </c>
      <c r="CG159" s="125">
        <v>0</v>
      </c>
      <c r="CH159" s="125">
        <v>23</v>
      </c>
      <c r="CI159" s="125">
        <v>42</v>
      </c>
      <c r="CJ159" s="125">
        <v>100</v>
      </c>
      <c r="CK159" s="125"/>
      <c r="CL159" s="125"/>
      <c r="CM159" s="125"/>
      <c r="CN159" s="125"/>
      <c r="CO159" s="125"/>
      <c r="CP159" s="125"/>
      <c r="CQ159" s="125"/>
      <c r="CR159" s="125"/>
      <c r="CS159" s="125"/>
      <c r="CT159" s="125"/>
      <c r="CU159" s="125"/>
      <c r="CV159" s="125"/>
      <c r="CW159" s="125"/>
      <c r="CX159" s="125"/>
      <c r="CY159" s="125" t="s">
        <v>370</v>
      </c>
      <c r="CZ159" s="125" t="s">
        <v>370</v>
      </c>
      <c r="DA159" s="125" t="s">
        <v>370</v>
      </c>
      <c r="DB159" s="125">
        <v>0</v>
      </c>
      <c r="DC159" s="125">
        <v>0</v>
      </c>
      <c r="DD159" s="125">
        <v>0</v>
      </c>
      <c r="DE159">
        <f t="shared" si="38"/>
        <v>512224</v>
      </c>
      <c r="DG159" s="1">
        <f t="shared" si="52"/>
        <v>290877</v>
      </c>
      <c r="DH159" s="1">
        <f t="shared" si="39"/>
        <v>190540</v>
      </c>
      <c r="DI159" s="127">
        <f t="shared" si="40"/>
        <v>481417</v>
      </c>
      <c r="DK159" s="1">
        <f t="shared" si="41"/>
        <v>56604</v>
      </c>
      <c r="DL159" s="1">
        <f t="shared" si="42"/>
        <v>96420</v>
      </c>
      <c r="DM159" s="1">
        <f t="shared" si="43"/>
        <v>13774</v>
      </c>
      <c r="DN159" s="1">
        <f t="shared" si="44"/>
        <v>23509</v>
      </c>
      <c r="DO159" s="1">
        <f t="shared" si="45"/>
        <v>233724</v>
      </c>
      <c r="DP159" s="1">
        <f t="shared" si="46"/>
        <v>33792</v>
      </c>
      <c r="DQ159" s="1">
        <f t="shared" si="53"/>
        <v>0</v>
      </c>
      <c r="DR159" s="1">
        <f t="shared" si="47"/>
        <v>12908</v>
      </c>
      <c r="DS159" s="1">
        <f t="shared" si="48"/>
        <v>0</v>
      </c>
      <c r="DT159" s="1">
        <f t="shared" si="49"/>
        <v>10523</v>
      </c>
      <c r="DU159" s="1"/>
      <c r="DV159" s="1"/>
      <c r="DW159" s="1"/>
      <c r="DX159" s="1">
        <f t="shared" si="54"/>
        <v>481254</v>
      </c>
      <c r="DZ159" s="1">
        <f t="shared" si="55"/>
        <v>0</v>
      </c>
      <c r="EA159" s="1">
        <f t="shared" si="50"/>
        <v>31905</v>
      </c>
      <c r="EC159" s="1">
        <f t="shared" si="56"/>
        <v>513159</v>
      </c>
      <c r="ED159" s="1">
        <f t="shared" si="51"/>
        <v>935</v>
      </c>
      <c r="EE159" s="1"/>
    </row>
    <row r="160" spans="1:135" x14ac:dyDescent="0.25">
      <c r="A160" s="124">
        <v>37073</v>
      </c>
      <c r="B160" s="125">
        <v>0</v>
      </c>
      <c r="C160" s="125">
        <v>0</v>
      </c>
      <c r="D160" s="125">
        <v>0</v>
      </c>
      <c r="E160" s="125" t="s">
        <v>370</v>
      </c>
      <c r="F160" s="125" t="s">
        <v>370</v>
      </c>
      <c r="G160" s="125">
        <v>3585</v>
      </c>
      <c r="H160" s="125">
        <v>7369</v>
      </c>
      <c r="I160" s="125">
        <v>3106</v>
      </c>
      <c r="J160" s="125">
        <v>18254</v>
      </c>
      <c r="K160" s="125"/>
      <c r="L160" s="125">
        <v>32021</v>
      </c>
      <c r="M160" s="125">
        <v>3118</v>
      </c>
      <c r="N160" s="125"/>
      <c r="O160" s="125">
        <v>2317</v>
      </c>
      <c r="P160" s="125">
        <v>7868</v>
      </c>
      <c r="Q160" s="125">
        <v>821</v>
      </c>
      <c r="R160" s="125">
        <v>9549</v>
      </c>
      <c r="S160" s="125">
        <v>13774</v>
      </c>
      <c r="T160" s="125"/>
      <c r="U160" s="125"/>
      <c r="V160" s="125">
        <v>868</v>
      </c>
      <c r="W160" s="125">
        <v>42</v>
      </c>
      <c r="X160" s="125">
        <v>541</v>
      </c>
      <c r="Y160" s="125">
        <v>26</v>
      </c>
      <c r="Z160" s="126"/>
      <c r="AA160" s="125">
        <v>9</v>
      </c>
      <c r="AB160" s="125">
        <v>0</v>
      </c>
      <c r="AC160" s="125">
        <v>14</v>
      </c>
      <c r="AD160" s="125">
        <v>28</v>
      </c>
      <c r="AE160" s="125">
        <v>36</v>
      </c>
      <c r="AF160" s="125">
        <v>56</v>
      </c>
      <c r="AG160" s="125"/>
      <c r="AH160" s="125"/>
      <c r="AI160" s="125">
        <v>7</v>
      </c>
      <c r="AJ160" s="125">
        <v>35</v>
      </c>
      <c r="AK160" s="125">
        <v>82632</v>
      </c>
      <c r="AL160" s="125">
        <v>3541</v>
      </c>
      <c r="AM160" s="125">
        <v>9929</v>
      </c>
      <c r="AN160" s="125">
        <v>27</v>
      </c>
      <c r="AO160" s="125">
        <v>14</v>
      </c>
      <c r="AP160" s="125">
        <v>2279</v>
      </c>
      <c r="AQ160" s="125">
        <v>1094</v>
      </c>
      <c r="AR160" s="125">
        <v>1503</v>
      </c>
      <c r="AS160" s="125" t="s">
        <v>370</v>
      </c>
      <c r="AT160" s="125">
        <v>2501</v>
      </c>
      <c r="AU160" s="125">
        <v>1912</v>
      </c>
      <c r="AV160" s="125">
        <v>3241</v>
      </c>
      <c r="AW160" s="125">
        <v>10137</v>
      </c>
      <c r="AX160" s="126"/>
      <c r="AY160" s="126"/>
      <c r="AZ160" s="126">
        <v>0</v>
      </c>
      <c r="BA160" s="126"/>
      <c r="BB160" s="125">
        <v>600</v>
      </c>
      <c r="BC160" s="125"/>
      <c r="BD160" s="125">
        <v>1077</v>
      </c>
      <c r="BE160" s="125">
        <v>3103</v>
      </c>
      <c r="BF160" s="125">
        <v>443</v>
      </c>
      <c r="BG160" s="125">
        <v>23</v>
      </c>
      <c r="BH160" s="125">
        <v>32</v>
      </c>
      <c r="BI160" s="125">
        <v>6386</v>
      </c>
      <c r="BJ160" s="125">
        <v>34</v>
      </c>
      <c r="BK160" s="125">
        <v>3554</v>
      </c>
      <c r="BL160" s="125"/>
      <c r="BM160" s="125">
        <v>638</v>
      </c>
      <c r="BN160" s="125">
        <v>66</v>
      </c>
      <c r="BO160" s="125">
        <v>0</v>
      </c>
      <c r="BP160" s="125">
        <v>30598</v>
      </c>
      <c r="BQ160" s="125">
        <v>14294</v>
      </c>
      <c r="BR160" s="125">
        <v>40</v>
      </c>
      <c r="BS160" s="125">
        <v>1386</v>
      </c>
      <c r="BT160" s="125">
        <v>421</v>
      </c>
      <c r="BU160" s="125"/>
      <c r="BV160" s="125">
        <v>6</v>
      </c>
      <c r="BW160" s="125">
        <v>140</v>
      </c>
      <c r="BX160" s="125"/>
      <c r="BY160" s="125">
        <v>87</v>
      </c>
      <c r="BZ160" s="125">
        <v>0</v>
      </c>
      <c r="CA160" s="125">
        <v>5092</v>
      </c>
      <c r="CB160" s="125">
        <v>12884</v>
      </c>
      <c r="CC160" s="125">
        <v>72655</v>
      </c>
      <c r="CD160" s="125">
        <v>122172</v>
      </c>
      <c r="CE160" s="125">
        <v>15578</v>
      </c>
      <c r="CF160" s="125">
        <v>0</v>
      </c>
      <c r="CG160" s="125">
        <v>0</v>
      </c>
      <c r="CH160" s="125">
        <v>24</v>
      </c>
      <c r="CI160" s="125">
        <v>40</v>
      </c>
      <c r="CJ160" s="125">
        <v>104</v>
      </c>
      <c r="CK160" s="125"/>
      <c r="CL160" s="125"/>
      <c r="CM160" s="125"/>
      <c r="CN160" s="125"/>
      <c r="CO160" s="125"/>
      <c r="CP160" s="125"/>
      <c r="CQ160" s="125"/>
      <c r="CR160" s="125"/>
      <c r="CS160" s="125"/>
      <c r="CT160" s="125"/>
      <c r="CU160" s="125"/>
      <c r="CV160" s="125"/>
      <c r="CW160" s="125"/>
      <c r="CX160" s="125"/>
      <c r="CY160" s="125" t="s">
        <v>370</v>
      </c>
      <c r="CZ160" s="125" t="s">
        <v>370</v>
      </c>
      <c r="DA160" s="125" t="s">
        <v>370</v>
      </c>
      <c r="DB160" s="125">
        <v>0</v>
      </c>
      <c r="DC160" s="125">
        <v>0</v>
      </c>
      <c r="DD160" s="125">
        <v>0</v>
      </c>
      <c r="DE160">
        <f t="shared" si="38"/>
        <v>513731</v>
      </c>
      <c r="DG160" s="1">
        <f t="shared" si="52"/>
        <v>291676</v>
      </c>
      <c r="DH160" s="1">
        <f t="shared" si="39"/>
        <v>190828</v>
      </c>
      <c r="DI160" s="127">
        <f t="shared" si="40"/>
        <v>482504</v>
      </c>
      <c r="DK160" s="1">
        <f t="shared" si="41"/>
        <v>57344</v>
      </c>
      <c r="DL160" s="1">
        <f t="shared" si="42"/>
        <v>96653</v>
      </c>
      <c r="DM160" s="1">
        <f t="shared" si="43"/>
        <v>13025</v>
      </c>
      <c r="DN160" s="1">
        <f t="shared" si="44"/>
        <v>23148</v>
      </c>
      <c r="DO160" s="1">
        <f t="shared" si="45"/>
        <v>234230</v>
      </c>
      <c r="DP160" s="1">
        <f t="shared" si="46"/>
        <v>33722</v>
      </c>
      <c r="DQ160" s="1">
        <f t="shared" si="53"/>
        <v>0</v>
      </c>
      <c r="DR160" s="1">
        <f t="shared" si="47"/>
        <v>13097</v>
      </c>
      <c r="DS160" s="1">
        <f t="shared" si="48"/>
        <v>0</v>
      </c>
      <c r="DT160" s="1">
        <f t="shared" si="49"/>
        <v>10454</v>
      </c>
      <c r="DU160" s="1"/>
      <c r="DV160" s="1"/>
      <c r="DW160" s="1"/>
      <c r="DX160" s="1">
        <f t="shared" si="54"/>
        <v>481673</v>
      </c>
      <c r="DZ160" s="1">
        <f t="shared" si="55"/>
        <v>0</v>
      </c>
      <c r="EA160" s="1">
        <f t="shared" si="50"/>
        <v>32314</v>
      </c>
      <c r="EC160" s="1">
        <f t="shared" si="56"/>
        <v>513987</v>
      </c>
      <c r="ED160" s="1">
        <f t="shared" si="51"/>
        <v>256</v>
      </c>
      <c r="EE160" s="1"/>
    </row>
    <row r="161" spans="1:135" x14ac:dyDescent="0.25">
      <c r="A161" s="124">
        <v>37104</v>
      </c>
      <c r="B161" s="125">
        <v>0</v>
      </c>
      <c r="C161" s="125">
        <v>0</v>
      </c>
      <c r="D161" s="125">
        <v>0</v>
      </c>
      <c r="E161" s="125" t="s">
        <v>370</v>
      </c>
      <c r="F161" s="125" t="s">
        <v>370</v>
      </c>
      <c r="G161" s="125">
        <v>3611</v>
      </c>
      <c r="H161" s="125">
        <v>7554</v>
      </c>
      <c r="I161" s="125">
        <v>3154</v>
      </c>
      <c r="J161" s="125">
        <v>18268</v>
      </c>
      <c r="K161" s="125"/>
      <c r="L161" s="125">
        <v>32022</v>
      </c>
      <c r="M161" s="125">
        <v>3092</v>
      </c>
      <c r="N161" s="125"/>
      <c r="O161" s="125">
        <v>2318</v>
      </c>
      <c r="P161" s="125">
        <v>7903</v>
      </c>
      <c r="Q161" s="125">
        <v>804</v>
      </c>
      <c r="R161" s="125">
        <v>9458</v>
      </c>
      <c r="S161" s="125">
        <v>13025</v>
      </c>
      <c r="T161" s="125"/>
      <c r="U161" s="125"/>
      <c r="V161" s="125">
        <v>848</v>
      </c>
      <c r="W161" s="125">
        <v>899</v>
      </c>
      <c r="X161" s="125">
        <v>543</v>
      </c>
      <c r="Y161" s="125">
        <v>27</v>
      </c>
      <c r="Z161" s="126"/>
      <c r="AA161" s="125">
        <v>8</v>
      </c>
      <c r="AB161" s="125">
        <v>2</v>
      </c>
      <c r="AC161" s="125">
        <v>14</v>
      </c>
      <c r="AD161" s="125">
        <v>27</v>
      </c>
      <c r="AE161" s="125">
        <v>36</v>
      </c>
      <c r="AF161" s="125">
        <v>52</v>
      </c>
      <c r="AG161" s="125"/>
      <c r="AH161" s="125"/>
      <c r="AI161" s="125">
        <v>6</v>
      </c>
      <c r="AJ161" s="125">
        <v>775</v>
      </c>
      <c r="AK161" s="125">
        <v>82655</v>
      </c>
      <c r="AL161" s="125">
        <v>3537</v>
      </c>
      <c r="AM161" s="125">
        <v>9907</v>
      </c>
      <c r="AN161" s="125">
        <v>27</v>
      </c>
      <c r="AO161" s="125">
        <v>13</v>
      </c>
      <c r="AP161" s="125">
        <v>2377</v>
      </c>
      <c r="AQ161" s="125">
        <v>1179</v>
      </c>
      <c r="AR161" s="125">
        <v>1426</v>
      </c>
      <c r="AS161" s="125" t="s">
        <v>370</v>
      </c>
      <c r="AT161" s="125">
        <v>2525</v>
      </c>
      <c r="AU161" s="125">
        <v>1906</v>
      </c>
      <c r="AV161" s="125">
        <v>3195</v>
      </c>
      <c r="AW161" s="125">
        <v>9620</v>
      </c>
      <c r="AX161" s="126"/>
      <c r="AY161" s="126"/>
      <c r="AZ161" s="126">
        <v>12</v>
      </c>
      <c r="BA161" s="126"/>
      <c r="BB161" s="125">
        <v>590</v>
      </c>
      <c r="BC161" s="125"/>
      <c r="BD161" s="125">
        <v>1007</v>
      </c>
      <c r="BE161" s="125">
        <v>2912</v>
      </c>
      <c r="BF161" s="125">
        <v>434</v>
      </c>
      <c r="BG161" s="125">
        <v>23</v>
      </c>
      <c r="BH161" s="125">
        <v>31</v>
      </c>
      <c r="BI161" s="125">
        <v>6297</v>
      </c>
      <c r="BJ161" s="125">
        <v>32</v>
      </c>
      <c r="BK161" s="125">
        <v>3591</v>
      </c>
      <c r="BL161" s="125"/>
      <c r="BM161" s="125">
        <v>663</v>
      </c>
      <c r="BN161" s="125">
        <v>65</v>
      </c>
      <c r="BO161" s="125">
        <v>0</v>
      </c>
      <c r="BP161" s="125">
        <v>30805</v>
      </c>
      <c r="BQ161" s="125">
        <v>13754</v>
      </c>
      <c r="BR161" s="125">
        <v>44</v>
      </c>
      <c r="BS161" s="125">
        <v>1397</v>
      </c>
      <c r="BT161" s="125">
        <v>406</v>
      </c>
      <c r="BU161" s="125"/>
      <c r="BV161" s="125">
        <v>8</v>
      </c>
      <c r="BW161" s="125">
        <v>132</v>
      </c>
      <c r="BX161" s="125"/>
      <c r="BY161" s="125">
        <v>86</v>
      </c>
      <c r="BZ161" s="125">
        <v>0</v>
      </c>
      <c r="CA161" s="125">
        <v>4976</v>
      </c>
      <c r="CB161" s="125">
        <v>13076</v>
      </c>
      <c r="CC161" s="125">
        <v>73275</v>
      </c>
      <c r="CD161" s="125">
        <v>122863</v>
      </c>
      <c r="CE161" s="125">
        <v>15633</v>
      </c>
      <c r="CF161" s="125">
        <v>0</v>
      </c>
      <c r="CG161" s="125">
        <v>0</v>
      </c>
      <c r="CH161" s="125">
        <v>21</v>
      </c>
      <c r="CI161" s="125">
        <v>38</v>
      </c>
      <c r="CJ161" s="125">
        <v>107</v>
      </c>
      <c r="CK161" s="125"/>
      <c r="CL161" s="125"/>
      <c r="CM161" s="125"/>
      <c r="CN161" s="125"/>
      <c r="CO161" s="125"/>
      <c r="CP161" s="125"/>
      <c r="CQ161" s="125"/>
      <c r="CR161" s="125"/>
      <c r="CS161" s="125"/>
      <c r="CT161" s="125"/>
      <c r="CU161" s="125"/>
      <c r="CV161" s="125"/>
      <c r="CW161" s="125"/>
      <c r="CX161" s="125"/>
      <c r="CY161" s="125" t="s">
        <v>370</v>
      </c>
      <c r="CZ161" s="125" t="s">
        <v>370</v>
      </c>
      <c r="DA161" s="125" t="s">
        <v>370</v>
      </c>
      <c r="DB161" s="125">
        <v>0</v>
      </c>
      <c r="DC161" s="125">
        <v>0</v>
      </c>
      <c r="DD161" s="125">
        <v>0</v>
      </c>
      <c r="DE161">
        <f t="shared" si="38"/>
        <v>515091</v>
      </c>
      <c r="DG161" s="1">
        <f t="shared" si="52"/>
        <v>295430</v>
      </c>
      <c r="DH161" s="1">
        <f t="shared" si="39"/>
        <v>192352</v>
      </c>
      <c r="DI161" s="127">
        <f t="shared" si="40"/>
        <v>487782</v>
      </c>
      <c r="DK161" s="1">
        <f t="shared" si="41"/>
        <v>58202</v>
      </c>
      <c r="DL161" s="1">
        <f t="shared" si="42"/>
        <v>97311</v>
      </c>
      <c r="DM161" s="1">
        <f t="shared" si="43"/>
        <v>12451</v>
      </c>
      <c r="DN161" s="1">
        <f t="shared" si="44"/>
        <v>23080</v>
      </c>
      <c r="DO161" s="1">
        <f t="shared" si="45"/>
        <v>236852</v>
      </c>
      <c r="DP161" s="1">
        <f t="shared" si="46"/>
        <v>33895</v>
      </c>
      <c r="DQ161" s="1">
        <f t="shared" si="53"/>
        <v>0</v>
      </c>
      <c r="DR161" s="1">
        <f t="shared" si="47"/>
        <v>13364</v>
      </c>
      <c r="DS161" s="1">
        <f t="shared" si="48"/>
        <v>0</v>
      </c>
      <c r="DT161" s="1">
        <f t="shared" si="49"/>
        <v>10581</v>
      </c>
      <c r="DU161" s="1"/>
      <c r="DV161" s="1"/>
      <c r="DW161" s="1"/>
      <c r="DX161" s="1">
        <f t="shared" si="54"/>
        <v>485736</v>
      </c>
      <c r="DZ161" s="1">
        <f t="shared" si="55"/>
        <v>0</v>
      </c>
      <c r="EA161" s="1">
        <f t="shared" si="50"/>
        <v>32587</v>
      </c>
      <c r="EC161" s="1">
        <f t="shared" si="56"/>
        <v>518323</v>
      </c>
      <c r="ED161" s="1">
        <f t="shared" si="51"/>
        <v>3232</v>
      </c>
      <c r="EE161" s="1"/>
    </row>
    <row r="162" spans="1:135" x14ac:dyDescent="0.25">
      <c r="A162" s="124">
        <v>37135</v>
      </c>
      <c r="B162" s="125">
        <v>0</v>
      </c>
      <c r="C162" s="125">
        <v>0</v>
      </c>
      <c r="D162" s="125">
        <v>0</v>
      </c>
      <c r="E162" s="125" t="s">
        <v>370</v>
      </c>
      <c r="F162" s="125" t="s">
        <v>370</v>
      </c>
      <c r="G162" s="125">
        <v>3854</v>
      </c>
      <c r="H162" s="125">
        <v>7902</v>
      </c>
      <c r="I162" s="125">
        <v>3268</v>
      </c>
      <c r="J162" s="125">
        <v>18837</v>
      </c>
      <c r="K162" s="125"/>
      <c r="L162" s="125">
        <v>32128</v>
      </c>
      <c r="M162" s="125">
        <v>3112</v>
      </c>
      <c r="N162" s="125"/>
      <c r="O162" s="125">
        <v>2277</v>
      </c>
      <c r="P162" s="125">
        <v>8013</v>
      </c>
      <c r="Q162" s="125">
        <v>793</v>
      </c>
      <c r="R162" s="125">
        <v>9420</v>
      </c>
      <c r="S162" s="125">
        <v>12451</v>
      </c>
      <c r="T162" s="125"/>
      <c r="U162" s="125"/>
      <c r="V162" s="125">
        <v>787</v>
      </c>
      <c r="W162" s="125">
        <v>1672</v>
      </c>
      <c r="X162" s="125">
        <v>544</v>
      </c>
      <c r="Y162" s="125">
        <v>27</v>
      </c>
      <c r="Z162" s="126"/>
      <c r="AA162" s="125">
        <v>11</v>
      </c>
      <c r="AB162" s="125">
        <v>9</v>
      </c>
      <c r="AC162" s="125">
        <v>14</v>
      </c>
      <c r="AD162" s="125">
        <v>28</v>
      </c>
      <c r="AE162" s="125">
        <v>35</v>
      </c>
      <c r="AF162" s="125">
        <v>51</v>
      </c>
      <c r="AG162" s="125"/>
      <c r="AH162" s="125"/>
      <c r="AI162" s="125">
        <v>5</v>
      </c>
      <c r="AJ162" s="125">
        <v>1421</v>
      </c>
      <c r="AK162" s="125">
        <v>83284</v>
      </c>
      <c r="AL162" s="125">
        <v>3543</v>
      </c>
      <c r="AM162" s="125">
        <v>9953</v>
      </c>
      <c r="AN162" s="125">
        <v>31</v>
      </c>
      <c r="AO162" s="125">
        <v>17</v>
      </c>
      <c r="AP162" s="125">
        <v>2511</v>
      </c>
      <c r="AQ162" s="125">
        <v>1294</v>
      </c>
      <c r="AR162" s="125">
        <v>1422</v>
      </c>
      <c r="AS162" s="125" t="s">
        <v>370</v>
      </c>
      <c r="AT162" s="125">
        <v>2537</v>
      </c>
      <c r="AU162" s="125">
        <v>1918</v>
      </c>
      <c r="AV162" s="125">
        <v>3205</v>
      </c>
      <c r="AW162" s="125">
        <v>9254</v>
      </c>
      <c r="AX162" s="126"/>
      <c r="AY162" s="126"/>
      <c r="AZ162" s="126">
        <v>21</v>
      </c>
      <c r="BA162" s="126"/>
      <c r="BB162" s="125">
        <v>564</v>
      </c>
      <c r="BC162" s="125"/>
      <c r="BD162" s="125">
        <v>937</v>
      </c>
      <c r="BE162" s="125">
        <v>2737</v>
      </c>
      <c r="BF162" s="125">
        <v>447</v>
      </c>
      <c r="BG162" s="125">
        <v>23</v>
      </c>
      <c r="BH162" s="125">
        <v>33</v>
      </c>
      <c r="BI162" s="125">
        <v>6359</v>
      </c>
      <c r="BJ162" s="125">
        <v>36</v>
      </c>
      <c r="BK162" s="125">
        <v>3651</v>
      </c>
      <c r="BL162" s="125"/>
      <c r="BM162" s="125">
        <v>714</v>
      </c>
      <c r="BN162" s="125">
        <v>64</v>
      </c>
      <c r="BO162" s="125">
        <v>0</v>
      </c>
      <c r="BP162" s="125">
        <v>31546</v>
      </c>
      <c r="BQ162" s="125">
        <v>13271</v>
      </c>
      <c r="BR162" s="125">
        <v>44</v>
      </c>
      <c r="BS162" s="125">
        <v>1413</v>
      </c>
      <c r="BT162" s="125">
        <v>402</v>
      </c>
      <c r="BU162" s="125"/>
      <c r="BV162" s="125">
        <v>11</v>
      </c>
      <c r="BW162" s="125">
        <v>124</v>
      </c>
      <c r="BX162" s="125"/>
      <c r="BY162" s="125">
        <v>86</v>
      </c>
      <c r="BZ162" s="125">
        <v>0</v>
      </c>
      <c r="CA162" s="125">
        <v>4941</v>
      </c>
      <c r="CB162" s="125">
        <v>13344</v>
      </c>
      <c r="CC162" s="125">
        <v>74719</v>
      </c>
      <c r="CD162" s="125">
        <v>124422</v>
      </c>
      <c r="CE162" s="125">
        <v>15940</v>
      </c>
      <c r="CF162" s="125">
        <v>0</v>
      </c>
      <c r="CG162" s="125">
        <v>0</v>
      </c>
      <c r="CH162" s="125">
        <v>20</v>
      </c>
      <c r="CI162" s="125">
        <v>36</v>
      </c>
      <c r="CJ162" s="125">
        <v>110</v>
      </c>
      <c r="CK162" s="125"/>
      <c r="CL162" s="125"/>
      <c r="CM162" s="125"/>
      <c r="CN162" s="125"/>
      <c r="CO162" s="125"/>
      <c r="CP162" s="125"/>
      <c r="CQ162" s="125"/>
      <c r="CR162" s="125"/>
      <c r="CS162" s="125"/>
      <c r="CT162" s="125"/>
      <c r="CU162" s="125"/>
      <c r="CV162" s="125"/>
      <c r="CW162" s="125"/>
      <c r="CX162" s="125"/>
      <c r="CY162" s="125" t="s">
        <v>370</v>
      </c>
      <c r="CZ162" s="125" t="s">
        <v>370</v>
      </c>
      <c r="DA162" s="125" t="s">
        <v>370</v>
      </c>
      <c r="DB162" s="125">
        <v>0</v>
      </c>
      <c r="DC162" s="125">
        <v>0</v>
      </c>
      <c r="DD162" s="125">
        <v>0</v>
      </c>
      <c r="DE162">
        <f t="shared" si="38"/>
        <v>521643</v>
      </c>
      <c r="DG162" s="1">
        <f t="shared" si="52"/>
        <v>293357</v>
      </c>
      <c r="DH162" s="1">
        <f t="shared" si="39"/>
        <v>192103</v>
      </c>
      <c r="DI162" s="127">
        <f t="shared" si="40"/>
        <v>485460</v>
      </c>
      <c r="DK162" s="1">
        <f t="shared" si="41"/>
        <v>58408</v>
      </c>
      <c r="DL162" s="1">
        <f t="shared" si="42"/>
        <v>98619</v>
      </c>
      <c r="DM162" s="1">
        <f t="shared" si="43"/>
        <v>12044</v>
      </c>
      <c r="DN162" s="1">
        <f t="shared" si="44"/>
        <v>22968</v>
      </c>
      <c r="DO162" s="1">
        <f t="shared" si="45"/>
        <v>235186</v>
      </c>
      <c r="DP162" s="1">
        <f t="shared" si="46"/>
        <v>34633</v>
      </c>
      <c r="DQ162" s="1">
        <f t="shared" si="53"/>
        <v>0</v>
      </c>
      <c r="DR162" s="1">
        <f t="shared" si="47"/>
        <v>13204</v>
      </c>
      <c r="DS162" s="1">
        <f t="shared" si="48"/>
        <v>0</v>
      </c>
      <c r="DT162" s="1">
        <f t="shared" si="49"/>
        <v>10517</v>
      </c>
      <c r="DU162" s="1"/>
      <c r="DV162" s="1"/>
      <c r="DW162" s="1"/>
      <c r="DX162" s="1">
        <f t="shared" si="54"/>
        <v>485579</v>
      </c>
      <c r="DZ162" s="1">
        <f t="shared" si="55"/>
        <v>0</v>
      </c>
      <c r="EA162" s="1">
        <f t="shared" si="50"/>
        <v>33861</v>
      </c>
      <c r="EC162" s="1">
        <f t="shared" si="56"/>
        <v>519440</v>
      </c>
      <c r="ED162" s="1">
        <f t="shared" si="51"/>
        <v>-2203</v>
      </c>
      <c r="EE162" s="1"/>
    </row>
    <row r="163" spans="1:135" x14ac:dyDescent="0.25">
      <c r="A163" s="124">
        <v>37165</v>
      </c>
      <c r="B163" s="125">
        <v>0</v>
      </c>
      <c r="C163" s="125">
        <v>0</v>
      </c>
      <c r="D163" s="125">
        <v>0</v>
      </c>
      <c r="E163" s="125" t="s">
        <v>370</v>
      </c>
      <c r="F163" s="125" t="s">
        <v>370</v>
      </c>
      <c r="G163" s="125">
        <v>3961</v>
      </c>
      <c r="H163" s="125">
        <v>8353</v>
      </c>
      <c r="I163" s="125">
        <v>3214</v>
      </c>
      <c r="J163" s="125">
        <v>19074</v>
      </c>
      <c r="K163" s="125"/>
      <c r="L163" s="125">
        <v>31947</v>
      </c>
      <c r="M163" s="125">
        <v>3091</v>
      </c>
      <c r="N163" s="125"/>
      <c r="O163" s="125">
        <v>2240</v>
      </c>
      <c r="P163" s="125">
        <v>8021</v>
      </c>
      <c r="Q163" s="125">
        <v>774</v>
      </c>
      <c r="R163" s="125">
        <v>9312</v>
      </c>
      <c r="S163" s="125">
        <v>12044</v>
      </c>
      <c r="T163" s="125"/>
      <c r="U163" s="125"/>
      <c r="V163" s="125">
        <v>735</v>
      </c>
      <c r="W163" s="125">
        <v>2288</v>
      </c>
      <c r="X163" s="125">
        <v>537</v>
      </c>
      <c r="Y163" s="125">
        <v>27</v>
      </c>
      <c r="Z163" s="126"/>
      <c r="AA163" s="125">
        <v>11</v>
      </c>
      <c r="AB163" s="125">
        <v>13</v>
      </c>
      <c r="AC163" s="125">
        <v>15</v>
      </c>
      <c r="AD163" s="125">
        <v>30</v>
      </c>
      <c r="AE163" s="125">
        <v>32</v>
      </c>
      <c r="AF163" s="125">
        <v>51</v>
      </c>
      <c r="AG163" s="125"/>
      <c r="AH163" s="125"/>
      <c r="AI163" s="125">
        <v>6</v>
      </c>
      <c r="AJ163" s="125">
        <v>1876</v>
      </c>
      <c r="AK163" s="125">
        <v>83031</v>
      </c>
      <c r="AL163" s="125">
        <v>3514</v>
      </c>
      <c r="AM163" s="125">
        <v>9923</v>
      </c>
      <c r="AN163" s="125">
        <v>35</v>
      </c>
      <c r="AO163" s="125">
        <v>13</v>
      </c>
      <c r="AP163" s="125">
        <v>2662</v>
      </c>
      <c r="AQ163" s="125">
        <v>1412</v>
      </c>
      <c r="AR163" s="125">
        <v>1372</v>
      </c>
      <c r="AS163" s="125" t="s">
        <v>370</v>
      </c>
      <c r="AT163" s="125">
        <v>2566</v>
      </c>
      <c r="AU163" s="125">
        <v>1914</v>
      </c>
      <c r="AV163" s="125">
        <v>3146</v>
      </c>
      <c r="AW163" s="125">
        <v>8907</v>
      </c>
      <c r="AX163" s="126"/>
      <c r="AY163" s="126"/>
      <c r="AZ163" s="126">
        <v>29</v>
      </c>
      <c r="BA163" s="126"/>
      <c r="BB163" s="125">
        <v>529</v>
      </c>
      <c r="BC163" s="125"/>
      <c r="BD163" s="125">
        <v>891</v>
      </c>
      <c r="BE163" s="125">
        <v>2595</v>
      </c>
      <c r="BF163" s="125">
        <v>453</v>
      </c>
      <c r="BG163" s="125">
        <v>22</v>
      </c>
      <c r="BH163" s="125">
        <v>29</v>
      </c>
      <c r="BI163" s="125">
        <v>6319</v>
      </c>
      <c r="BJ163" s="125">
        <v>32</v>
      </c>
      <c r="BK163" s="125">
        <v>3624</v>
      </c>
      <c r="BL163" s="125"/>
      <c r="BM163" s="125">
        <v>660</v>
      </c>
      <c r="BN163" s="125">
        <v>64</v>
      </c>
      <c r="BO163" s="125">
        <v>0</v>
      </c>
      <c r="BP163" s="125">
        <v>31432</v>
      </c>
      <c r="BQ163" s="125">
        <v>12677</v>
      </c>
      <c r="BR163" s="125">
        <v>50</v>
      </c>
      <c r="BS163" s="125">
        <v>1445</v>
      </c>
      <c r="BT163" s="125">
        <v>389</v>
      </c>
      <c r="BU163" s="125"/>
      <c r="BV163" s="125">
        <v>5</v>
      </c>
      <c r="BW163" s="125">
        <v>121</v>
      </c>
      <c r="BX163" s="125"/>
      <c r="BY163" s="125">
        <v>90</v>
      </c>
      <c r="BZ163" s="125">
        <v>0</v>
      </c>
      <c r="CA163" s="125">
        <v>4758</v>
      </c>
      <c r="CB163" s="125">
        <v>13185</v>
      </c>
      <c r="CC163" s="125">
        <v>74680</v>
      </c>
      <c r="CD163" s="125">
        <v>123908</v>
      </c>
      <c r="CE163" s="125">
        <v>15761</v>
      </c>
      <c r="CF163" s="125">
        <v>0</v>
      </c>
      <c r="CG163" s="125">
        <v>0</v>
      </c>
      <c r="CH163" s="125">
        <v>19</v>
      </c>
      <c r="CI163" s="125">
        <v>34</v>
      </c>
      <c r="CJ163" s="125">
        <v>114</v>
      </c>
      <c r="CK163" s="125"/>
      <c r="CL163" s="125"/>
      <c r="CM163" s="125"/>
      <c r="CN163" s="125"/>
      <c r="CO163" s="125"/>
      <c r="CP163" s="125"/>
      <c r="CQ163" s="125"/>
      <c r="CR163" s="125"/>
      <c r="CS163" s="125"/>
      <c r="CT163" s="125"/>
      <c r="CU163" s="125"/>
      <c r="CV163" s="125"/>
      <c r="CW163" s="125"/>
      <c r="CX163" s="125"/>
      <c r="CY163" s="125" t="s">
        <v>370</v>
      </c>
      <c r="CZ163" s="125" t="s">
        <v>370</v>
      </c>
      <c r="DA163" s="125" t="s">
        <v>370</v>
      </c>
      <c r="DB163" s="125">
        <v>0</v>
      </c>
      <c r="DC163" s="125">
        <v>0</v>
      </c>
      <c r="DD163" s="125">
        <v>0</v>
      </c>
      <c r="DE163">
        <f t="shared" si="38"/>
        <v>520062</v>
      </c>
      <c r="DG163" s="1">
        <f t="shared" si="52"/>
        <v>297098</v>
      </c>
      <c r="DH163" s="1">
        <f t="shared" si="39"/>
        <v>193184</v>
      </c>
      <c r="DI163" s="127">
        <f t="shared" si="40"/>
        <v>490282</v>
      </c>
      <c r="DK163" s="1">
        <f t="shared" si="41"/>
        <v>58909</v>
      </c>
      <c r="DL163" s="1">
        <f t="shared" si="42"/>
        <v>98683</v>
      </c>
      <c r="DM163" s="1">
        <f t="shared" si="43"/>
        <v>11596</v>
      </c>
      <c r="DN163" s="1">
        <f t="shared" si="44"/>
        <v>23040</v>
      </c>
      <c r="DO163" s="1">
        <f t="shared" si="45"/>
        <v>237910</v>
      </c>
      <c r="DP163" s="1">
        <f t="shared" si="46"/>
        <v>34450</v>
      </c>
      <c r="DQ163" s="1">
        <f t="shared" si="53"/>
        <v>0</v>
      </c>
      <c r="DR163" s="1">
        <f t="shared" si="47"/>
        <v>13361</v>
      </c>
      <c r="DS163" s="1">
        <f t="shared" si="48"/>
        <v>0</v>
      </c>
      <c r="DT163" s="1">
        <f t="shared" si="49"/>
        <v>10607</v>
      </c>
      <c r="DU163" s="1"/>
      <c r="DV163" s="1"/>
      <c r="DW163" s="1"/>
      <c r="DX163" s="1">
        <f t="shared" si="54"/>
        <v>488556</v>
      </c>
      <c r="DZ163" s="1">
        <f t="shared" si="55"/>
        <v>0</v>
      </c>
      <c r="EA163" s="1">
        <f t="shared" si="50"/>
        <v>34602</v>
      </c>
      <c r="EC163" s="1">
        <f t="shared" si="56"/>
        <v>523158</v>
      </c>
      <c r="ED163" s="1">
        <f t="shared" si="51"/>
        <v>3096</v>
      </c>
      <c r="EE163" s="1"/>
    </row>
    <row r="164" spans="1:135" x14ac:dyDescent="0.25">
      <c r="A164" s="124">
        <v>37196</v>
      </c>
      <c r="B164" s="125">
        <v>0</v>
      </c>
      <c r="C164" s="125">
        <v>0</v>
      </c>
      <c r="D164" s="125">
        <v>0</v>
      </c>
      <c r="E164" s="125" t="s">
        <v>370</v>
      </c>
      <c r="F164" s="125" t="s">
        <v>370</v>
      </c>
      <c r="G164" s="125">
        <v>4093</v>
      </c>
      <c r="H164" s="125">
        <v>8653</v>
      </c>
      <c r="I164" s="125">
        <v>3234</v>
      </c>
      <c r="J164" s="125">
        <v>19321</v>
      </c>
      <c r="K164" s="125"/>
      <c r="L164" s="125">
        <v>31872</v>
      </c>
      <c r="M164" s="125">
        <v>3061</v>
      </c>
      <c r="N164" s="125"/>
      <c r="O164" s="125">
        <v>2240</v>
      </c>
      <c r="P164" s="125">
        <v>8090</v>
      </c>
      <c r="Q164" s="125">
        <v>763</v>
      </c>
      <c r="R164" s="125">
        <v>9219</v>
      </c>
      <c r="S164" s="125">
        <v>11596</v>
      </c>
      <c r="T164" s="125"/>
      <c r="U164" s="125"/>
      <c r="V164" s="125">
        <v>712</v>
      </c>
      <c r="W164" s="125">
        <v>2952</v>
      </c>
      <c r="X164" s="125">
        <v>541</v>
      </c>
      <c r="Y164" s="125">
        <v>27</v>
      </c>
      <c r="Z164" s="126"/>
      <c r="AA164" s="125">
        <v>10</v>
      </c>
      <c r="AB164" s="125">
        <v>19</v>
      </c>
      <c r="AC164" s="125">
        <v>18</v>
      </c>
      <c r="AD164" s="125">
        <v>33</v>
      </c>
      <c r="AE164" s="125">
        <v>28</v>
      </c>
      <c r="AF164" s="125">
        <v>50</v>
      </c>
      <c r="AG164" s="125"/>
      <c r="AH164" s="125"/>
      <c r="AI164" s="125">
        <v>6</v>
      </c>
      <c r="AJ164" s="125">
        <v>2410</v>
      </c>
      <c r="AK164" s="125">
        <v>83431</v>
      </c>
      <c r="AL164" s="125">
        <v>3518</v>
      </c>
      <c r="AM164" s="125">
        <v>9972</v>
      </c>
      <c r="AN164" s="125">
        <v>31</v>
      </c>
      <c r="AO164" s="125">
        <v>13</v>
      </c>
      <c r="AP164" s="125">
        <v>2809</v>
      </c>
      <c r="AQ164" s="125">
        <v>1539</v>
      </c>
      <c r="AR164" s="125">
        <v>1349</v>
      </c>
      <c r="AS164" s="125" t="s">
        <v>370</v>
      </c>
      <c r="AT164" s="125">
        <v>2588</v>
      </c>
      <c r="AU164" s="125">
        <v>1926</v>
      </c>
      <c r="AV164" s="125">
        <v>3152</v>
      </c>
      <c r="AW164" s="125">
        <v>8657</v>
      </c>
      <c r="AX164" s="126"/>
      <c r="AY164" s="126"/>
      <c r="AZ164" s="126">
        <v>35</v>
      </c>
      <c r="BA164" s="126"/>
      <c r="BB164" s="125">
        <v>517</v>
      </c>
      <c r="BC164" s="125"/>
      <c r="BD164" s="125">
        <v>834</v>
      </c>
      <c r="BE164" s="125">
        <v>2425</v>
      </c>
      <c r="BF164" s="125">
        <v>467</v>
      </c>
      <c r="BG164" s="125">
        <v>19</v>
      </c>
      <c r="BH164" s="125">
        <v>28</v>
      </c>
      <c r="BI164" s="125">
        <v>6396</v>
      </c>
      <c r="BJ164" s="125">
        <v>30</v>
      </c>
      <c r="BK164" s="125">
        <v>3623</v>
      </c>
      <c r="BL164" s="125"/>
      <c r="BM164" s="125">
        <v>680</v>
      </c>
      <c r="BN164" s="125">
        <v>64</v>
      </c>
      <c r="BO164" s="125">
        <v>0</v>
      </c>
      <c r="BP164" s="125">
        <v>32198</v>
      </c>
      <c r="BQ164" s="125">
        <v>12315</v>
      </c>
      <c r="BR164" s="125">
        <v>59</v>
      </c>
      <c r="BS164" s="125">
        <v>1489</v>
      </c>
      <c r="BT164" s="125">
        <v>371</v>
      </c>
      <c r="BU164" s="125"/>
      <c r="BV164" s="125">
        <v>5</v>
      </c>
      <c r="BW164" s="125">
        <v>121</v>
      </c>
      <c r="BX164" s="125"/>
      <c r="BY164" s="125">
        <v>91</v>
      </c>
      <c r="BZ164" s="125">
        <v>0</v>
      </c>
      <c r="CA164" s="125">
        <v>4684</v>
      </c>
      <c r="CB164" s="125">
        <v>13339</v>
      </c>
      <c r="CC164" s="125">
        <v>76118</v>
      </c>
      <c r="CD164" s="125">
        <v>125660</v>
      </c>
      <c r="CE164" s="125">
        <v>15916</v>
      </c>
      <c r="CF164" s="125">
        <v>0</v>
      </c>
      <c r="CG164" s="125">
        <v>0</v>
      </c>
      <c r="CH164" s="125">
        <v>22</v>
      </c>
      <c r="CI164" s="125">
        <v>34</v>
      </c>
      <c r="CJ164" s="125">
        <v>110</v>
      </c>
      <c r="CK164" s="125"/>
      <c r="CL164" s="125"/>
      <c r="CM164" s="125"/>
      <c r="CN164" s="125"/>
      <c r="CO164" s="125"/>
      <c r="CP164" s="125"/>
      <c r="CQ164" s="125"/>
      <c r="CR164" s="125"/>
      <c r="CS164" s="125"/>
      <c r="CT164" s="125"/>
      <c r="CU164" s="125"/>
      <c r="CV164" s="125"/>
      <c r="CW164" s="125"/>
      <c r="CX164" s="125"/>
      <c r="CY164" s="125" t="s">
        <v>370</v>
      </c>
      <c r="CZ164" s="125" t="s">
        <v>370</v>
      </c>
      <c r="DA164" s="125" t="s">
        <v>370</v>
      </c>
      <c r="DB164" s="125">
        <v>0</v>
      </c>
      <c r="DC164" s="125">
        <v>0</v>
      </c>
      <c r="DD164" s="125">
        <v>0</v>
      </c>
      <c r="DE164">
        <f t="shared" si="38"/>
        <v>525583</v>
      </c>
      <c r="DG164" s="1">
        <f t="shared" si="52"/>
        <v>299122</v>
      </c>
      <c r="DH164" s="1">
        <f t="shared" si="39"/>
        <v>193793</v>
      </c>
      <c r="DI164" s="127">
        <f t="shared" si="40"/>
        <v>492915</v>
      </c>
      <c r="DK164" s="1">
        <f t="shared" si="41"/>
        <v>59199</v>
      </c>
      <c r="DL164" s="1">
        <f t="shared" si="42"/>
        <v>99639</v>
      </c>
      <c r="DM164" s="1">
        <f t="shared" si="43"/>
        <v>11346</v>
      </c>
      <c r="DN164" s="1">
        <f t="shared" si="44"/>
        <v>23228</v>
      </c>
      <c r="DO164" s="1">
        <f t="shared" si="45"/>
        <v>239764</v>
      </c>
      <c r="DP164" s="1">
        <f t="shared" si="46"/>
        <v>35220</v>
      </c>
      <c r="DQ164" s="1">
        <f t="shared" si="53"/>
        <v>0</v>
      </c>
      <c r="DR164" s="1">
        <f t="shared" si="47"/>
        <v>13282</v>
      </c>
      <c r="DS164" s="1">
        <f t="shared" si="48"/>
        <v>0</v>
      </c>
      <c r="DT164" s="1">
        <f t="shared" si="49"/>
        <v>10679</v>
      </c>
      <c r="DU164" s="1"/>
      <c r="DV164" s="1"/>
      <c r="DW164" s="1"/>
      <c r="DX164" s="1">
        <f t="shared" si="54"/>
        <v>492357</v>
      </c>
      <c r="DZ164" s="1">
        <f t="shared" si="55"/>
        <v>0</v>
      </c>
      <c r="EA164" s="1">
        <f t="shared" si="50"/>
        <v>35301</v>
      </c>
      <c r="EC164" s="1">
        <f t="shared" si="56"/>
        <v>527658</v>
      </c>
      <c r="ED164" s="1">
        <f t="shared" si="51"/>
        <v>2075</v>
      </c>
      <c r="EE164" s="1"/>
    </row>
    <row r="165" spans="1:135" x14ac:dyDescent="0.25">
      <c r="A165" s="124">
        <v>37226</v>
      </c>
      <c r="B165" s="125">
        <v>0</v>
      </c>
      <c r="C165" s="125">
        <v>0</v>
      </c>
      <c r="D165" s="125">
        <v>0</v>
      </c>
      <c r="E165" s="125" t="s">
        <v>370</v>
      </c>
      <c r="F165" s="125" t="s">
        <v>370</v>
      </c>
      <c r="G165" s="125">
        <v>4335</v>
      </c>
      <c r="H165" s="125">
        <v>8805</v>
      </c>
      <c r="I165" s="125">
        <v>3226</v>
      </c>
      <c r="J165" s="125">
        <v>18986</v>
      </c>
      <c r="K165" s="125"/>
      <c r="L165" s="125">
        <v>31903</v>
      </c>
      <c r="M165" s="125">
        <v>3077</v>
      </c>
      <c r="N165" s="125"/>
      <c r="O165" s="125">
        <v>2242</v>
      </c>
      <c r="P165" s="125">
        <v>8062</v>
      </c>
      <c r="Q165" s="125">
        <v>749</v>
      </c>
      <c r="R165" s="125">
        <v>9097</v>
      </c>
      <c r="S165" s="125">
        <v>11346</v>
      </c>
      <c r="T165" s="125"/>
      <c r="U165" s="125"/>
      <c r="V165" s="125">
        <v>687</v>
      </c>
      <c r="W165" s="125">
        <v>3382</v>
      </c>
      <c r="X165" s="125">
        <v>536</v>
      </c>
      <c r="Y165" s="125">
        <v>28</v>
      </c>
      <c r="Z165" s="126"/>
      <c r="AA165" s="125">
        <v>8</v>
      </c>
      <c r="AB165" s="125">
        <v>25</v>
      </c>
      <c r="AC165" s="125">
        <v>19</v>
      </c>
      <c r="AD165" s="125">
        <v>32</v>
      </c>
      <c r="AE165" s="125">
        <v>27</v>
      </c>
      <c r="AF165" s="125">
        <v>47</v>
      </c>
      <c r="AG165" s="125"/>
      <c r="AH165" s="125"/>
      <c r="AI165" s="125">
        <v>7</v>
      </c>
      <c r="AJ165" s="125">
        <v>2809</v>
      </c>
      <c r="AK165" s="125">
        <v>83381</v>
      </c>
      <c r="AL165" s="125">
        <v>3498</v>
      </c>
      <c r="AM165" s="125">
        <v>10088</v>
      </c>
      <c r="AN165" s="125">
        <v>31</v>
      </c>
      <c r="AO165" s="125">
        <v>11</v>
      </c>
      <c r="AP165" s="125">
        <v>2933</v>
      </c>
      <c r="AQ165" s="125">
        <v>1661</v>
      </c>
      <c r="AR165" s="125">
        <v>1364</v>
      </c>
      <c r="AS165" s="125" t="s">
        <v>370</v>
      </c>
      <c r="AT165" s="125">
        <v>2595</v>
      </c>
      <c r="AU165" s="125">
        <v>1962</v>
      </c>
      <c r="AV165" s="125">
        <v>3139</v>
      </c>
      <c r="AW165" s="125">
        <v>8488</v>
      </c>
      <c r="AX165" s="126"/>
      <c r="AY165" s="126"/>
      <c r="AZ165" s="126">
        <v>40</v>
      </c>
      <c r="BA165" s="126"/>
      <c r="BB165" s="125">
        <v>519</v>
      </c>
      <c r="BC165" s="125"/>
      <c r="BD165" s="125">
        <v>789</v>
      </c>
      <c r="BE165" s="125">
        <v>2303</v>
      </c>
      <c r="BF165" s="125">
        <v>480</v>
      </c>
      <c r="BG165" s="125">
        <v>19</v>
      </c>
      <c r="BH165" s="125">
        <v>28</v>
      </c>
      <c r="BI165" s="125">
        <v>6414</v>
      </c>
      <c r="BJ165" s="125">
        <v>27</v>
      </c>
      <c r="BK165" s="125">
        <v>3655</v>
      </c>
      <c r="BL165" s="125"/>
      <c r="BM165" s="125">
        <v>630</v>
      </c>
      <c r="BN165" s="125">
        <v>61</v>
      </c>
      <c r="BO165" s="125">
        <v>0</v>
      </c>
      <c r="BP165" s="125">
        <v>32421</v>
      </c>
      <c r="BQ165" s="125">
        <v>11997</v>
      </c>
      <c r="BR165" s="125">
        <v>58</v>
      </c>
      <c r="BS165" s="125">
        <v>1538</v>
      </c>
      <c r="BT165" s="125">
        <v>359</v>
      </c>
      <c r="BU165" s="125"/>
      <c r="BV165" s="125">
        <v>6</v>
      </c>
      <c r="BW165" s="125">
        <v>130</v>
      </c>
      <c r="BX165" s="125"/>
      <c r="BY165" s="125">
        <v>85</v>
      </c>
      <c r="BZ165" s="125">
        <v>0</v>
      </c>
      <c r="CA165" s="125">
        <v>4604</v>
      </c>
      <c r="CB165" s="125">
        <v>13261</v>
      </c>
      <c r="CC165" s="125">
        <v>76953</v>
      </c>
      <c r="CD165" s="125">
        <v>127100</v>
      </c>
      <c r="CE165" s="125">
        <v>16035</v>
      </c>
      <c r="CF165" s="125">
        <v>0</v>
      </c>
      <c r="CG165" s="125">
        <v>0</v>
      </c>
      <c r="CH165" s="125">
        <v>21</v>
      </c>
      <c r="CI165" s="125">
        <v>36</v>
      </c>
      <c r="CJ165" s="125">
        <v>112</v>
      </c>
      <c r="CK165" s="125"/>
      <c r="CL165" s="125"/>
      <c r="CM165" s="125"/>
      <c r="CN165" s="125"/>
      <c r="CO165" s="125"/>
      <c r="CP165" s="125"/>
      <c r="CQ165" s="125"/>
      <c r="CR165" s="125"/>
      <c r="CS165" s="125"/>
      <c r="CT165" s="125"/>
      <c r="CU165" s="125"/>
      <c r="CV165" s="125"/>
      <c r="CW165" s="125"/>
      <c r="CX165" s="125"/>
      <c r="CY165" s="125" t="s">
        <v>370</v>
      </c>
      <c r="CZ165" s="125" t="s">
        <v>370</v>
      </c>
      <c r="DA165" s="125" t="s">
        <v>370</v>
      </c>
      <c r="DB165" s="125">
        <v>0</v>
      </c>
      <c r="DC165" s="125">
        <v>0</v>
      </c>
      <c r="DD165" s="125">
        <v>0</v>
      </c>
      <c r="DE165">
        <f t="shared" si="38"/>
        <v>528267</v>
      </c>
      <c r="DG165" s="1">
        <f t="shared" si="52"/>
        <v>298461</v>
      </c>
      <c r="DH165" s="1">
        <f t="shared" si="39"/>
        <v>189174</v>
      </c>
      <c r="DI165" s="127">
        <f t="shared" si="40"/>
        <v>487635</v>
      </c>
      <c r="DK165" s="1">
        <f t="shared" si="41"/>
        <v>59162</v>
      </c>
      <c r="DL165" s="1">
        <f t="shared" si="42"/>
        <v>100020</v>
      </c>
      <c r="DM165" s="1">
        <f t="shared" si="43"/>
        <v>11130</v>
      </c>
      <c r="DN165" s="1">
        <f t="shared" si="44"/>
        <v>18676</v>
      </c>
      <c r="DO165" s="1">
        <f t="shared" si="45"/>
        <v>239521</v>
      </c>
      <c r="DP165" s="1">
        <f t="shared" si="46"/>
        <v>35397</v>
      </c>
      <c r="DQ165" s="1">
        <f t="shared" si="53"/>
        <v>0</v>
      </c>
      <c r="DR165" s="1">
        <f t="shared" si="47"/>
        <v>12947</v>
      </c>
      <c r="DS165" s="1">
        <f t="shared" si="48"/>
        <v>0</v>
      </c>
      <c r="DT165" s="1">
        <f t="shared" si="49"/>
        <v>10649</v>
      </c>
      <c r="DU165" s="1"/>
      <c r="DV165" s="1"/>
      <c r="DW165" s="1"/>
      <c r="DX165" s="1">
        <f t="shared" si="54"/>
        <v>487502</v>
      </c>
      <c r="DZ165" s="1">
        <f t="shared" si="55"/>
        <v>0</v>
      </c>
      <c r="EA165" s="1">
        <f t="shared" si="50"/>
        <v>35352</v>
      </c>
      <c r="EC165" s="1">
        <f t="shared" si="56"/>
        <v>522854</v>
      </c>
      <c r="ED165" s="1">
        <f t="shared" si="51"/>
        <v>-5413</v>
      </c>
      <c r="EE165" s="1"/>
    </row>
    <row r="166" spans="1:135" x14ac:dyDescent="0.25">
      <c r="A166" s="124">
        <v>37257</v>
      </c>
      <c r="B166" s="125">
        <v>0</v>
      </c>
      <c r="C166" s="125">
        <v>0</v>
      </c>
      <c r="D166" s="125">
        <v>0</v>
      </c>
      <c r="E166" s="125" t="s">
        <v>370</v>
      </c>
      <c r="F166" s="125" t="s">
        <v>370</v>
      </c>
      <c r="G166" s="125">
        <v>4552</v>
      </c>
      <c r="H166" s="125">
        <v>9147</v>
      </c>
      <c r="I166" s="125">
        <v>3216</v>
      </c>
      <c r="J166" s="125">
        <v>19219</v>
      </c>
      <c r="K166" s="125"/>
      <c r="L166" s="125">
        <v>31829</v>
      </c>
      <c r="M166" s="125">
        <v>3038</v>
      </c>
      <c r="N166" s="125"/>
      <c r="O166" s="125">
        <v>2214</v>
      </c>
      <c r="P166" s="125">
        <v>8033</v>
      </c>
      <c r="Q166" s="125">
        <v>730</v>
      </c>
      <c r="R166" s="125">
        <v>8920</v>
      </c>
      <c r="S166" s="125">
        <v>11130</v>
      </c>
      <c r="T166" s="125"/>
      <c r="U166" s="125"/>
      <c r="V166" s="125">
        <v>658</v>
      </c>
      <c r="W166" s="125">
        <v>3740</v>
      </c>
      <c r="X166" s="125">
        <v>528</v>
      </c>
      <c r="Y166" s="125">
        <v>27</v>
      </c>
      <c r="Z166" s="126"/>
      <c r="AA166" s="125">
        <v>7</v>
      </c>
      <c r="AB166" s="125">
        <v>27</v>
      </c>
      <c r="AC166" s="125">
        <v>19</v>
      </c>
      <c r="AD166" s="125">
        <v>31</v>
      </c>
      <c r="AE166" s="125">
        <v>27</v>
      </c>
      <c r="AF166" s="125">
        <v>49</v>
      </c>
      <c r="AG166" s="125"/>
      <c r="AH166" s="125"/>
      <c r="AI166" s="125">
        <v>6</v>
      </c>
      <c r="AJ166" s="125">
        <v>3081</v>
      </c>
      <c r="AK166" s="125">
        <v>83371</v>
      </c>
      <c r="AL166" s="125">
        <v>3461</v>
      </c>
      <c r="AM166" s="125">
        <v>10120</v>
      </c>
      <c r="AN166" s="125">
        <v>30</v>
      </c>
      <c r="AO166" s="125">
        <v>12</v>
      </c>
      <c r="AP166" s="125">
        <v>136</v>
      </c>
      <c r="AQ166" s="125">
        <v>50</v>
      </c>
      <c r="AR166" s="125">
        <v>1331</v>
      </c>
      <c r="AS166" s="125" t="s">
        <v>370</v>
      </c>
      <c r="AT166" s="125">
        <v>2596</v>
      </c>
      <c r="AU166" s="125">
        <v>2004</v>
      </c>
      <c r="AV166" s="125">
        <v>3128</v>
      </c>
      <c r="AW166" s="125">
        <v>8309</v>
      </c>
      <c r="AX166" s="126"/>
      <c r="AY166" s="126"/>
      <c r="AZ166" s="126">
        <v>41</v>
      </c>
      <c r="BA166" s="126"/>
      <c r="BB166" s="125">
        <v>491</v>
      </c>
      <c r="BC166" s="125"/>
      <c r="BD166" s="125">
        <v>747</v>
      </c>
      <c r="BE166" s="125">
        <v>2190</v>
      </c>
      <c r="BF166" s="125">
        <v>480</v>
      </c>
      <c r="BG166" s="125">
        <v>19</v>
      </c>
      <c r="BH166" s="125">
        <v>28</v>
      </c>
      <c r="BI166" s="125">
        <v>6433</v>
      </c>
      <c r="BJ166" s="125">
        <v>34</v>
      </c>
      <c r="BK166" s="125">
        <v>3608</v>
      </c>
      <c r="BL166" s="125"/>
      <c r="BM166" s="125">
        <v>548</v>
      </c>
      <c r="BN166" s="125">
        <v>60</v>
      </c>
      <c r="BO166" s="125">
        <v>0</v>
      </c>
      <c r="BP166" s="125">
        <v>32465</v>
      </c>
      <c r="BQ166" s="125">
        <v>11621</v>
      </c>
      <c r="BR166" s="125">
        <v>62</v>
      </c>
      <c r="BS166" s="125">
        <v>1565</v>
      </c>
      <c r="BT166" s="125">
        <v>346</v>
      </c>
      <c r="BU166" s="125"/>
      <c r="BV166" s="125">
        <v>7</v>
      </c>
      <c r="BW166" s="125">
        <v>128</v>
      </c>
      <c r="BX166" s="125"/>
      <c r="BY166" s="125">
        <v>82</v>
      </c>
      <c r="BZ166" s="125">
        <v>0</v>
      </c>
      <c r="CA166" s="125">
        <v>4555</v>
      </c>
      <c r="CB166" s="125">
        <v>12925</v>
      </c>
      <c r="CC166" s="125">
        <v>77172</v>
      </c>
      <c r="CD166" s="125">
        <v>127315</v>
      </c>
      <c r="CE166" s="125">
        <v>15901</v>
      </c>
      <c r="CF166" s="125">
        <v>0</v>
      </c>
      <c r="CG166" s="125">
        <v>0</v>
      </c>
      <c r="CH166" s="125">
        <v>22</v>
      </c>
      <c r="CI166" s="125">
        <v>34</v>
      </c>
      <c r="CJ166" s="125">
        <v>114</v>
      </c>
      <c r="CK166" s="125"/>
      <c r="CL166" s="125"/>
      <c r="CM166" s="125"/>
      <c r="CN166" s="125"/>
      <c r="CO166" s="125"/>
      <c r="CP166" s="125"/>
      <c r="CQ166" s="125"/>
      <c r="CR166" s="125"/>
      <c r="CS166" s="125"/>
      <c r="CT166" s="125"/>
      <c r="CU166" s="125"/>
      <c r="CV166" s="125"/>
      <c r="CW166" s="125"/>
      <c r="CX166" s="125"/>
      <c r="CY166" s="125" t="s">
        <v>370</v>
      </c>
      <c r="CZ166" s="125" t="s">
        <v>370</v>
      </c>
      <c r="DA166" s="125" t="s">
        <v>370</v>
      </c>
      <c r="DB166" s="125">
        <v>0</v>
      </c>
      <c r="DC166" s="125">
        <v>0</v>
      </c>
      <c r="DD166" s="125">
        <v>0</v>
      </c>
      <c r="DE166">
        <f t="shared" si="38"/>
        <v>523769</v>
      </c>
      <c r="DG166" s="1">
        <f t="shared" si="52"/>
        <v>303641</v>
      </c>
      <c r="DH166" s="1">
        <f t="shared" si="39"/>
        <v>190542</v>
      </c>
      <c r="DI166" s="127">
        <f t="shared" si="40"/>
        <v>494183</v>
      </c>
      <c r="DK166" s="1">
        <f t="shared" si="41"/>
        <v>59300</v>
      </c>
      <c r="DL166" s="1">
        <f t="shared" si="42"/>
        <v>100206</v>
      </c>
      <c r="DM166" s="1">
        <f t="shared" si="43"/>
        <v>10909</v>
      </c>
      <c r="DN166" s="1">
        <f t="shared" si="44"/>
        <v>19307</v>
      </c>
      <c r="DO166" s="1">
        <f t="shared" si="45"/>
        <v>243332</v>
      </c>
      <c r="DP166" s="1">
        <f t="shared" si="46"/>
        <v>35344</v>
      </c>
      <c r="DQ166" s="1">
        <f t="shared" si="53"/>
        <v>0</v>
      </c>
      <c r="DR166" s="1">
        <f t="shared" si="47"/>
        <v>13330</v>
      </c>
      <c r="DS166" s="1">
        <f t="shared" si="48"/>
        <v>0</v>
      </c>
      <c r="DT166" s="1">
        <f t="shared" si="49"/>
        <v>10790</v>
      </c>
      <c r="DU166" s="1"/>
      <c r="DV166" s="1"/>
      <c r="DW166" s="1"/>
      <c r="DX166" s="1">
        <f t="shared" si="54"/>
        <v>492518</v>
      </c>
      <c r="DZ166" s="1">
        <f t="shared" si="55"/>
        <v>0</v>
      </c>
      <c r="EA166" s="1">
        <f t="shared" si="50"/>
        <v>36134</v>
      </c>
      <c r="EC166" s="1">
        <f t="shared" si="56"/>
        <v>528652</v>
      </c>
      <c r="ED166" s="1">
        <f t="shared" si="51"/>
        <v>4883</v>
      </c>
      <c r="EE166" s="1"/>
    </row>
    <row r="167" spans="1:135" x14ac:dyDescent="0.25">
      <c r="A167" s="124">
        <v>37288</v>
      </c>
      <c r="B167" s="125">
        <v>0</v>
      </c>
      <c r="C167" s="125">
        <v>0</v>
      </c>
      <c r="D167" s="125">
        <v>0</v>
      </c>
      <c r="E167" s="125" t="s">
        <v>370</v>
      </c>
      <c r="F167" s="125" t="s">
        <v>370</v>
      </c>
      <c r="G167" s="125">
        <v>4846</v>
      </c>
      <c r="H167" s="125">
        <v>9810</v>
      </c>
      <c r="I167" s="125">
        <v>3339</v>
      </c>
      <c r="J167" s="125">
        <v>20180</v>
      </c>
      <c r="K167" s="125"/>
      <c r="L167" s="125">
        <v>31703</v>
      </c>
      <c r="M167" s="125">
        <v>3027</v>
      </c>
      <c r="N167" s="125"/>
      <c r="O167" s="125">
        <v>2221</v>
      </c>
      <c r="P167" s="125">
        <v>8040</v>
      </c>
      <c r="Q167" s="125">
        <v>721</v>
      </c>
      <c r="R167" s="125">
        <v>8788</v>
      </c>
      <c r="S167" s="125">
        <v>10909</v>
      </c>
      <c r="T167" s="125"/>
      <c r="U167" s="125"/>
      <c r="V167" s="125">
        <v>634</v>
      </c>
      <c r="W167" s="125">
        <v>4166</v>
      </c>
      <c r="X167" s="125">
        <v>524</v>
      </c>
      <c r="Y167" s="125">
        <v>25</v>
      </c>
      <c r="Z167" s="126"/>
      <c r="AA167" s="125">
        <v>8</v>
      </c>
      <c r="AB167" s="125">
        <v>31</v>
      </c>
      <c r="AC167" s="125">
        <v>19</v>
      </c>
      <c r="AD167" s="125">
        <v>29</v>
      </c>
      <c r="AE167" s="125">
        <v>27</v>
      </c>
      <c r="AF167" s="125">
        <v>50</v>
      </c>
      <c r="AG167" s="125"/>
      <c r="AH167" s="125"/>
      <c r="AI167" s="125">
        <v>6</v>
      </c>
      <c r="AJ167" s="125">
        <v>3403</v>
      </c>
      <c r="AK167" s="125">
        <v>83852</v>
      </c>
      <c r="AL167" s="125">
        <v>3468</v>
      </c>
      <c r="AM167" s="125">
        <v>10215</v>
      </c>
      <c r="AN167" s="125">
        <v>30</v>
      </c>
      <c r="AO167" s="125">
        <v>12</v>
      </c>
      <c r="AP167" s="125">
        <v>628</v>
      </c>
      <c r="AQ167" s="125">
        <v>179</v>
      </c>
      <c r="AR167" s="125">
        <v>1342</v>
      </c>
      <c r="AS167" s="125" t="s">
        <v>370</v>
      </c>
      <c r="AT167" s="125">
        <v>2633</v>
      </c>
      <c r="AU167" s="125">
        <v>2003</v>
      </c>
      <c r="AV167" s="125">
        <v>3085</v>
      </c>
      <c r="AW167" s="125">
        <v>8223</v>
      </c>
      <c r="AX167" s="126"/>
      <c r="AY167" s="126"/>
      <c r="AZ167" s="126">
        <v>46</v>
      </c>
      <c r="BA167" s="126"/>
      <c r="BB167" s="125">
        <v>495</v>
      </c>
      <c r="BC167" s="125"/>
      <c r="BD167" s="125">
        <v>702</v>
      </c>
      <c r="BE167" s="125">
        <v>2096</v>
      </c>
      <c r="BF167" s="125">
        <v>491</v>
      </c>
      <c r="BG167" s="125">
        <v>16</v>
      </c>
      <c r="BH167" s="125">
        <v>24</v>
      </c>
      <c r="BI167" s="125">
        <v>6558</v>
      </c>
      <c r="BJ167" s="125">
        <v>35</v>
      </c>
      <c r="BK167" s="125">
        <v>3615</v>
      </c>
      <c r="BL167" s="125"/>
      <c r="BM167" s="125">
        <v>466</v>
      </c>
      <c r="BN167" s="125">
        <v>59</v>
      </c>
      <c r="BO167" s="125">
        <v>0</v>
      </c>
      <c r="BP167" s="125">
        <v>33358</v>
      </c>
      <c r="BQ167" s="125">
        <v>11432</v>
      </c>
      <c r="BR167" s="125">
        <v>63</v>
      </c>
      <c r="BS167" s="125">
        <v>1647</v>
      </c>
      <c r="BT167" s="125">
        <v>347</v>
      </c>
      <c r="BU167" s="125"/>
      <c r="BV167" s="125">
        <v>5</v>
      </c>
      <c r="BW167" s="125">
        <v>126</v>
      </c>
      <c r="BX167" s="125"/>
      <c r="BY167" s="125">
        <v>82</v>
      </c>
      <c r="BZ167" s="125">
        <v>1</v>
      </c>
      <c r="CA167" s="125">
        <v>4513</v>
      </c>
      <c r="CB167" s="125">
        <v>13310</v>
      </c>
      <c r="CC167" s="125">
        <v>78879</v>
      </c>
      <c r="CD167" s="125">
        <v>129389</v>
      </c>
      <c r="CE167" s="125">
        <v>16259</v>
      </c>
      <c r="CF167" s="125">
        <v>0</v>
      </c>
      <c r="CG167" s="125">
        <v>0</v>
      </c>
      <c r="CH167" s="125">
        <v>20</v>
      </c>
      <c r="CI167" s="125">
        <v>34</v>
      </c>
      <c r="CJ167" s="125">
        <v>114</v>
      </c>
      <c r="CK167" s="125"/>
      <c r="CL167" s="125"/>
      <c r="CM167" s="125"/>
      <c r="CN167" s="125"/>
      <c r="CO167" s="125"/>
      <c r="CP167" s="125"/>
      <c r="CQ167" s="125"/>
      <c r="CR167" s="125"/>
      <c r="CS167" s="125"/>
      <c r="CT167" s="125"/>
      <c r="CU167" s="125"/>
      <c r="CV167" s="125"/>
      <c r="CW167" s="125"/>
      <c r="CX167" s="125"/>
      <c r="CY167" s="125" t="s">
        <v>370</v>
      </c>
      <c r="CZ167" s="125" t="s">
        <v>370</v>
      </c>
      <c r="DA167" s="125" t="s">
        <v>370</v>
      </c>
      <c r="DB167" s="125">
        <v>0</v>
      </c>
      <c r="DC167" s="125">
        <v>0</v>
      </c>
      <c r="DD167" s="125">
        <v>0</v>
      </c>
      <c r="DE167">
        <f t="shared" si="38"/>
        <v>532358</v>
      </c>
      <c r="DG167" s="1">
        <f t="shared" si="52"/>
        <v>303499</v>
      </c>
      <c r="DH167" s="1">
        <f t="shared" si="39"/>
        <v>191693</v>
      </c>
      <c r="DI167" s="127">
        <f t="shared" si="40"/>
        <v>495192</v>
      </c>
      <c r="DK167" s="1">
        <f t="shared" si="41"/>
        <v>59487</v>
      </c>
      <c r="DL167" s="1">
        <f t="shared" si="42"/>
        <v>101026</v>
      </c>
      <c r="DM167" s="1">
        <f t="shared" si="43"/>
        <v>10698</v>
      </c>
      <c r="DN167" s="1">
        <f t="shared" si="44"/>
        <v>20520</v>
      </c>
      <c r="DO167" s="1">
        <f t="shared" si="45"/>
        <v>243015</v>
      </c>
      <c r="DP167" s="1">
        <f t="shared" si="46"/>
        <v>36189</v>
      </c>
      <c r="DQ167" s="1">
        <f t="shared" si="53"/>
        <v>0</v>
      </c>
      <c r="DR167" s="1">
        <f t="shared" si="47"/>
        <v>13351</v>
      </c>
      <c r="DS167" s="1">
        <f t="shared" si="48"/>
        <v>0</v>
      </c>
      <c r="DT167" s="1">
        <f t="shared" si="49"/>
        <v>10904</v>
      </c>
      <c r="DU167" s="1"/>
      <c r="DV167" s="1"/>
      <c r="DW167" s="1"/>
      <c r="DX167" s="1">
        <f t="shared" si="54"/>
        <v>495190</v>
      </c>
      <c r="DZ167" s="1">
        <f t="shared" si="55"/>
        <v>0</v>
      </c>
      <c r="EA167" s="1">
        <f t="shared" si="50"/>
        <v>38175</v>
      </c>
      <c r="EC167" s="1">
        <f t="shared" si="56"/>
        <v>533365</v>
      </c>
      <c r="ED167" s="1">
        <f t="shared" si="51"/>
        <v>1007</v>
      </c>
      <c r="EE167" s="1"/>
    </row>
    <row r="168" spans="1:135" x14ac:dyDescent="0.25">
      <c r="A168" s="124">
        <v>37316</v>
      </c>
      <c r="B168" s="125">
        <v>0</v>
      </c>
      <c r="C168" s="125">
        <v>0</v>
      </c>
      <c r="D168" s="125">
        <v>0</v>
      </c>
      <c r="E168" s="125" t="s">
        <v>370</v>
      </c>
      <c r="F168" s="125" t="s">
        <v>370</v>
      </c>
      <c r="G168" s="125">
        <v>4940</v>
      </c>
      <c r="H168" s="125">
        <v>10214</v>
      </c>
      <c r="I168" s="125">
        <v>3377</v>
      </c>
      <c r="J168" s="125">
        <v>20673</v>
      </c>
      <c r="K168" s="125"/>
      <c r="L168" s="125">
        <v>31612</v>
      </c>
      <c r="M168" s="125">
        <v>3017</v>
      </c>
      <c r="N168" s="125"/>
      <c r="O168" s="125">
        <v>2185</v>
      </c>
      <c r="P168" s="125">
        <v>8089</v>
      </c>
      <c r="Q168" s="125">
        <v>713</v>
      </c>
      <c r="R168" s="125">
        <v>8691</v>
      </c>
      <c r="S168" s="125">
        <v>10698</v>
      </c>
      <c r="T168" s="125"/>
      <c r="U168" s="125"/>
      <c r="V168" s="125">
        <v>611</v>
      </c>
      <c r="W168" s="125">
        <v>4569</v>
      </c>
      <c r="X168" s="125">
        <v>519</v>
      </c>
      <c r="Y168" s="125">
        <v>27</v>
      </c>
      <c r="Z168" s="126"/>
      <c r="AA168" s="125">
        <v>8</v>
      </c>
      <c r="AB168" s="125">
        <v>32</v>
      </c>
      <c r="AC168" s="125">
        <v>19</v>
      </c>
      <c r="AD168" s="125">
        <v>31</v>
      </c>
      <c r="AE168" s="125">
        <v>28</v>
      </c>
      <c r="AF168" s="125">
        <v>51</v>
      </c>
      <c r="AG168" s="125"/>
      <c r="AH168" s="125"/>
      <c r="AI168" s="125">
        <v>4</v>
      </c>
      <c r="AJ168" s="125">
        <v>3705</v>
      </c>
      <c r="AK168" s="125">
        <v>83561</v>
      </c>
      <c r="AL168" s="125">
        <v>3448</v>
      </c>
      <c r="AM168" s="125">
        <v>10310</v>
      </c>
      <c r="AN168" s="125">
        <v>32</v>
      </c>
      <c r="AO168" s="125">
        <v>13</v>
      </c>
      <c r="AP168" s="125">
        <v>1545</v>
      </c>
      <c r="AQ168" s="125">
        <v>495</v>
      </c>
      <c r="AR168" s="125">
        <v>1339</v>
      </c>
      <c r="AS168" s="125" t="s">
        <v>370</v>
      </c>
      <c r="AT168" s="125">
        <v>2649</v>
      </c>
      <c r="AU168" s="125">
        <v>2001</v>
      </c>
      <c r="AV168" s="125">
        <v>3066</v>
      </c>
      <c r="AW168" s="125">
        <v>8106</v>
      </c>
      <c r="AX168" s="126"/>
      <c r="AY168" s="126"/>
      <c r="AZ168" s="126">
        <v>51</v>
      </c>
      <c r="BA168" s="126"/>
      <c r="BB168" s="125">
        <v>468</v>
      </c>
      <c r="BC168" s="125"/>
      <c r="BD168" s="125">
        <v>639</v>
      </c>
      <c r="BE168" s="125">
        <v>1917</v>
      </c>
      <c r="BF168" s="125">
        <v>499</v>
      </c>
      <c r="BG168" s="125">
        <v>16</v>
      </c>
      <c r="BH168" s="125">
        <v>19</v>
      </c>
      <c r="BI168" s="125">
        <v>6672</v>
      </c>
      <c r="BJ168" s="125">
        <v>38</v>
      </c>
      <c r="BK168" s="125">
        <v>3603</v>
      </c>
      <c r="BL168" s="125"/>
      <c r="BM168" s="125">
        <v>395</v>
      </c>
      <c r="BN168" s="125">
        <v>61</v>
      </c>
      <c r="BO168" s="125">
        <v>0</v>
      </c>
      <c r="BP168" s="125">
        <v>33555</v>
      </c>
      <c r="BQ168" s="125">
        <v>11047</v>
      </c>
      <c r="BR168" s="125">
        <v>69</v>
      </c>
      <c r="BS168" s="125">
        <v>1624</v>
      </c>
      <c r="BT168" s="125">
        <v>317</v>
      </c>
      <c r="BU168" s="125"/>
      <c r="BV168" s="125">
        <v>4</v>
      </c>
      <c r="BW168" s="125">
        <v>130</v>
      </c>
      <c r="BX168" s="125"/>
      <c r="BY168" s="125">
        <v>70</v>
      </c>
      <c r="BZ168" s="125">
        <v>1</v>
      </c>
      <c r="CA168" s="125">
        <v>4430</v>
      </c>
      <c r="CB168" s="125">
        <v>13332</v>
      </c>
      <c r="CC168" s="125">
        <v>79288</v>
      </c>
      <c r="CD168" s="125">
        <v>129300</v>
      </c>
      <c r="CE168" s="125">
        <v>16311</v>
      </c>
      <c r="CF168" s="125">
        <v>0</v>
      </c>
      <c r="CG168" s="125">
        <v>0</v>
      </c>
      <c r="CH168" s="125">
        <v>19</v>
      </c>
      <c r="CI168" s="125">
        <v>31</v>
      </c>
      <c r="CJ168" s="125">
        <v>112</v>
      </c>
      <c r="CK168" s="125"/>
      <c r="CL168" s="125"/>
      <c r="CM168" s="125"/>
      <c r="CN168" s="125"/>
      <c r="CO168" s="125"/>
      <c r="CP168" s="125"/>
      <c r="CQ168" s="125"/>
      <c r="CR168" s="125"/>
      <c r="CS168" s="125"/>
      <c r="CT168" s="125"/>
      <c r="CU168" s="125"/>
      <c r="CV168" s="125"/>
      <c r="CW168" s="125"/>
      <c r="CX168" s="125"/>
      <c r="CY168" s="125" t="s">
        <v>370</v>
      </c>
      <c r="CZ168" s="125" t="s">
        <v>370</v>
      </c>
      <c r="DA168" s="125" t="s">
        <v>370</v>
      </c>
      <c r="DB168" s="125">
        <v>0</v>
      </c>
      <c r="DC168" s="125">
        <v>0</v>
      </c>
      <c r="DD168" s="125">
        <v>0</v>
      </c>
      <c r="DE168">
        <f t="shared" si="38"/>
        <v>534396</v>
      </c>
      <c r="DG168" s="1">
        <f t="shared" si="52"/>
        <v>303370</v>
      </c>
      <c r="DH168" s="1">
        <f t="shared" si="39"/>
        <v>192404</v>
      </c>
      <c r="DI168" s="127">
        <f t="shared" si="40"/>
        <v>495774</v>
      </c>
      <c r="DK168" s="1">
        <f t="shared" si="41"/>
        <v>59671</v>
      </c>
      <c r="DL168" s="1">
        <f t="shared" si="42"/>
        <v>100988</v>
      </c>
      <c r="DM168" s="1">
        <f t="shared" si="43"/>
        <v>10398</v>
      </c>
      <c r="DN168" s="1">
        <f t="shared" si="44"/>
        <v>21111</v>
      </c>
      <c r="DO168" s="1">
        <f t="shared" si="45"/>
        <v>242769</v>
      </c>
      <c r="DP168" s="1">
        <f t="shared" si="46"/>
        <v>36229</v>
      </c>
      <c r="DQ168" s="1">
        <f t="shared" si="53"/>
        <v>0</v>
      </c>
      <c r="DR168" s="1">
        <f t="shared" si="47"/>
        <v>13476</v>
      </c>
      <c r="DS168" s="1">
        <f t="shared" si="48"/>
        <v>0</v>
      </c>
      <c r="DT168" s="1">
        <f t="shared" si="49"/>
        <v>10946</v>
      </c>
      <c r="DU168" s="1"/>
      <c r="DV168" s="1"/>
      <c r="DW168" s="1"/>
      <c r="DX168" s="1">
        <f t="shared" si="54"/>
        <v>495588</v>
      </c>
      <c r="DZ168" s="1">
        <f t="shared" si="55"/>
        <v>0</v>
      </c>
      <c r="EA168" s="1">
        <f t="shared" si="50"/>
        <v>39204</v>
      </c>
      <c r="EC168" s="1">
        <f t="shared" si="56"/>
        <v>534792</v>
      </c>
      <c r="ED168" s="1">
        <f t="shared" si="51"/>
        <v>396</v>
      </c>
      <c r="EE168" s="1"/>
    </row>
    <row r="169" spans="1:135" x14ac:dyDescent="0.25">
      <c r="A169" s="124">
        <v>37347</v>
      </c>
      <c r="B169" s="125">
        <v>0</v>
      </c>
      <c r="C169" s="125">
        <v>0</v>
      </c>
      <c r="D169" s="125">
        <v>0</v>
      </c>
      <c r="E169" s="125" t="s">
        <v>370</v>
      </c>
      <c r="F169" s="125" t="s">
        <v>370</v>
      </c>
      <c r="G169" s="125">
        <v>5066</v>
      </c>
      <c r="H169" s="125">
        <v>10747</v>
      </c>
      <c r="I169" s="125">
        <v>3410</v>
      </c>
      <c r="J169" s="125">
        <v>21412</v>
      </c>
      <c r="K169" s="125"/>
      <c r="L169" s="125">
        <v>31582</v>
      </c>
      <c r="M169" s="125">
        <v>2993</v>
      </c>
      <c r="N169" s="125"/>
      <c r="O169" s="125">
        <v>2152</v>
      </c>
      <c r="P169" s="125">
        <v>8121</v>
      </c>
      <c r="Q169" s="125">
        <v>694</v>
      </c>
      <c r="R169" s="125">
        <v>8540</v>
      </c>
      <c r="S169" s="125">
        <v>10398</v>
      </c>
      <c r="T169" s="125"/>
      <c r="U169" s="125"/>
      <c r="V169" s="125">
        <v>571</v>
      </c>
      <c r="W169" s="125">
        <v>5018</v>
      </c>
      <c r="X169" s="125">
        <v>515</v>
      </c>
      <c r="Y169" s="125">
        <v>26</v>
      </c>
      <c r="Z169" s="126"/>
      <c r="AA169" s="125">
        <v>8</v>
      </c>
      <c r="AB169" s="125">
        <v>38</v>
      </c>
      <c r="AC169" s="125">
        <v>19</v>
      </c>
      <c r="AD169" s="125">
        <v>27</v>
      </c>
      <c r="AE169" s="125">
        <v>28</v>
      </c>
      <c r="AF169" s="125">
        <v>49</v>
      </c>
      <c r="AG169" s="125"/>
      <c r="AH169" s="125"/>
      <c r="AI169" s="125">
        <v>4</v>
      </c>
      <c r="AJ169" s="125">
        <v>4094</v>
      </c>
      <c r="AK169" s="125">
        <v>83472</v>
      </c>
      <c r="AL169" s="125">
        <v>3406</v>
      </c>
      <c r="AM169" s="125">
        <v>10308</v>
      </c>
      <c r="AN169" s="125">
        <v>28</v>
      </c>
      <c r="AO169" s="125">
        <v>12</v>
      </c>
      <c r="AP169" s="125">
        <v>2040</v>
      </c>
      <c r="AQ169" s="125">
        <v>749</v>
      </c>
      <c r="AR169" s="125">
        <v>1313</v>
      </c>
      <c r="AS169" s="125" t="s">
        <v>370</v>
      </c>
      <c r="AT169" s="125">
        <v>2655</v>
      </c>
      <c r="AU169" s="125">
        <v>2022</v>
      </c>
      <c r="AV169" s="125">
        <v>3054</v>
      </c>
      <c r="AW169" s="125">
        <v>7953</v>
      </c>
      <c r="AX169" s="126"/>
      <c r="AY169" s="126"/>
      <c r="AZ169" s="126">
        <v>58</v>
      </c>
      <c r="BA169" s="126"/>
      <c r="BB169" s="125">
        <v>457</v>
      </c>
      <c r="BC169" s="125"/>
      <c r="BD169" s="125">
        <v>589</v>
      </c>
      <c r="BE169" s="125">
        <v>1739</v>
      </c>
      <c r="BF169" s="125">
        <v>496</v>
      </c>
      <c r="BG169" s="125">
        <v>12</v>
      </c>
      <c r="BH169" s="125">
        <v>14</v>
      </c>
      <c r="BI169" s="125">
        <v>6772</v>
      </c>
      <c r="BJ169" s="125">
        <v>37</v>
      </c>
      <c r="BK169" s="125">
        <v>3545</v>
      </c>
      <c r="BL169" s="125"/>
      <c r="BM169" s="125">
        <v>336</v>
      </c>
      <c r="BN169" s="125">
        <v>59</v>
      </c>
      <c r="BO169" s="125">
        <v>0</v>
      </c>
      <c r="BP169" s="125">
        <v>33531</v>
      </c>
      <c r="BQ169" s="125">
        <v>10601</v>
      </c>
      <c r="BR169" s="125">
        <v>70</v>
      </c>
      <c r="BS169" s="125">
        <v>1711</v>
      </c>
      <c r="BT169" s="125">
        <v>291</v>
      </c>
      <c r="BU169" s="125"/>
      <c r="BV169" s="125">
        <v>4</v>
      </c>
      <c r="BW169" s="125">
        <v>133</v>
      </c>
      <c r="BX169" s="125"/>
      <c r="BY169" s="125">
        <v>62</v>
      </c>
      <c r="BZ169" s="125">
        <v>1</v>
      </c>
      <c r="CA169" s="125">
        <v>4384</v>
      </c>
      <c r="CB169" s="125">
        <v>13459</v>
      </c>
      <c r="CC169" s="125">
        <v>79665</v>
      </c>
      <c r="CD169" s="125">
        <v>129367</v>
      </c>
      <c r="CE169" s="125">
        <v>16337</v>
      </c>
      <c r="CF169" s="125">
        <v>0</v>
      </c>
      <c r="CG169" s="125">
        <v>0</v>
      </c>
      <c r="CH169" s="125">
        <v>17</v>
      </c>
      <c r="CI169" s="125">
        <v>34</v>
      </c>
      <c r="CJ169" s="125">
        <v>104</v>
      </c>
      <c r="CK169" s="125"/>
      <c r="CL169" s="125"/>
      <c r="CM169" s="125"/>
      <c r="CN169" s="125"/>
      <c r="CO169" s="125"/>
      <c r="CP169" s="125"/>
      <c r="CQ169" s="125"/>
      <c r="CR169" s="125"/>
      <c r="CS169" s="125"/>
      <c r="CT169" s="125"/>
      <c r="CU169" s="125"/>
      <c r="CV169" s="125"/>
      <c r="CW169" s="125"/>
      <c r="CX169" s="125"/>
      <c r="CY169" s="125" t="s">
        <v>370</v>
      </c>
      <c r="CZ169" s="125" t="s">
        <v>370</v>
      </c>
      <c r="DA169" s="125" t="s">
        <v>370</v>
      </c>
      <c r="DB169" s="125">
        <v>0</v>
      </c>
      <c r="DC169" s="125">
        <v>0</v>
      </c>
      <c r="DD169" s="125">
        <v>0</v>
      </c>
      <c r="DE169">
        <f t="shared" si="38"/>
        <v>536409</v>
      </c>
      <c r="DG169" s="1">
        <f t="shared" si="52"/>
        <v>305956</v>
      </c>
      <c r="DH169" s="1">
        <f t="shared" si="39"/>
        <v>193333</v>
      </c>
      <c r="DI169" s="127">
        <f t="shared" si="40"/>
        <v>499289</v>
      </c>
      <c r="DK169" s="1">
        <f t="shared" si="41"/>
        <v>60088</v>
      </c>
      <c r="DL169" s="1">
        <f t="shared" si="42"/>
        <v>101224</v>
      </c>
      <c r="DM169" s="1">
        <f t="shared" si="43"/>
        <v>10160</v>
      </c>
      <c r="DN169" s="1">
        <f t="shared" si="44"/>
        <v>21450</v>
      </c>
      <c r="DO169" s="1">
        <f t="shared" si="45"/>
        <v>244869</v>
      </c>
      <c r="DP169" s="1">
        <f t="shared" si="46"/>
        <v>36179</v>
      </c>
      <c r="DQ169" s="1">
        <f t="shared" si="53"/>
        <v>0</v>
      </c>
      <c r="DR169" s="1">
        <f t="shared" si="47"/>
        <v>13678</v>
      </c>
      <c r="DS169" s="1">
        <f t="shared" si="48"/>
        <v>0</v>
      </c>
      <c r="DT169" s="1">
        <f t="shared" si="49"/>
        <v>11057</v>
      </c>
      <c r="DU169" s="1"/>
      <c r="DV169" s="1"/>
      <c r="DW169" s="1"/>
      <c r="DX169" s="1">
        <f t="shared" si="54"/>
        <v>498705</v>
      </c>
      <c r="DZ169" s="1">
        <f t="shared" si="55"/>
        <v>0</v>
      </c>
      <c r="EA169" s="1">
        <f t="shared" si="50"/>
        <v>40635</v>
      </c>
      <c r="EC169" s="1">
        <f t="shared" si="56"/>
        <v>539340</v>
      </c>
      <c r="ED169" s="1">
        <f t="shared" si="51"/>
        <v>2931</v>
      </c>
      <c r="EE169" s="1"/>
    </row>
    <row r="170" spans="1:135" x14ac:dyDescent="0.25">
      <c r="A170" s="124">
        <v>37377</v>
      </c>
      <c r="B170" s="125">
        <v>0</v>
      </c>
      <c r="C170" s="125">
        <v>0</v>
      </c>
      <c r="D170" s="125">
        <v>0</v>
      </c>
      <c r="E170" s="125" t="s">
        <v>370</v>
      </c>
      <c r="F170" s="125" t="s">
        <v>370</v>
      </c>
      <c r="G170" s="125">
        <v>5269</v>
      </c>
      <c r="H170" s="125">
        <v>11249</v>
      </c>
      <c r="I170" s="125">
        <v>3481</v>
      </c>
      <c r="J170" s="125">
        <v>22233</v>
      </c>
      <c r="K170" s="125"/>
      <c r="L170" s="125">
        <v>31574</v>
      </c>
      <c r="M170" s="125">
        <v>2976</v>
      </c>
      <c r="N170" s="125"/>
      <c r="O170" s="125">
        <v>2153</v>
      </c>
      <c r="P170" s="125">
        <v>8197</v>
      </c>
      <c r="Q170" s="125">
        <v>680</v>
      </c>
      <c r="R170" s="125">
        <v>8406</v>
      </c>
      <c r="S170" s="125">
        <v>10160</v>
      </c>
      <c r="T170" s="125"/>
      <c r="U170" s="125"/>
      <c r="V170" s="125">
        <v>557</v>
      </c>
      <c r="W170" s="125">
        <v>5545</v>
      </c>
      <c r="X170" s="125">
        <v>517</v>
      </c>
      <c r="Y170" s="125">
        <v>27</v>
      </c>
      <c r="Z170" s="126"/>
      <c r="AA170" s="125">
        <v>8</v>
      </c>
      <c r="AB170" s="125">
        <v>44</v>
      </c>
      <c r="AC170" s="125">
        <v>19</v>
      </c>
      <c r="AD170" s="125">
        <v>28</v>
      </c>
      <c r="AE170" s="125">
        <v>29</v>
      </c>
      <c r="AF170" s="125">
        <v>47</v>
      </c>
      <c r="AG170" s="125"/>
      <c r="AH170" s="125"/>
      <c r="AI170" s="125">
        <v>6</v>
      </c>
      <c r="AJ170" s="125">
        <v>4421</v>
      </c>
      <c r="AK170" s="125">
        <v>83493</v>
      </c>
      <c r="AL170" s="125">
        <v>3408</v>
      </c>
      <c r="AM170" s="125">
        <v>10290</v>
      </c>
      <c r="AN170" s="125">
        <v>27</v>
      </c>
      <c r="AO170" s="125">
        <v>10</v>
      </c>
      <c r="AP170" s="125">
        <v>2337</v>
      </c>
      <c r="AQ170" s="125">
        <v>938</v>
      </c>
      <c r="AR170" s="125">
        <v>1325</v>
      </c>
      <c r="AS170" s="125" t="s">
        <v>370</v>
      </c>
      <c r="AT170" s="125">
        <v>2685</v>
      </c>
      <c r="AU170" s="125">
        <v>2031</v>
      </c>
      <c r="AV170" s="125">
        <v>3049</v>
      </c>
      <c r="AW170" s="125">
        <v>7828</v>
      </c>
      <c r="AX170" s="126"/>
      <c r="AY170" s="126"/>
      <c r="AZ170" s="126">
        <v>68</v>
      </c>
      <c r="BA170" s="126"/>
      <c r="BB170" s="125">
        <v>450</v>
      </c>
      <c r="BC170" s="125"/>
      <c r="BD170" s="125">
        <v>554</v>
      </c>
      <c r="BE170" s="125">
        <v>1645</v>
      </c>
      <c r="BF170" s="125">
        <v>492</v>
      </c>
      <c r="BG170" s="125">
        <v>11</v>
      </c>
      <c r="BH170" s="125">
        <v>13</v>
      </c>
      <c r="BI170" s="125">
        <v>6895</v>
      </c>
      <c r="BJ170" s="125">
        <v>43</v>
      </c>
      <c r="BK170" s="125">
        <v>3538</v>
      </c>
      <c r="BL170" s="125"/>
      <c r="BM170" s="125">
        <v>231</v>
      </c>
      <c r="BN170" s="125">
        <v>59</v>
      </c>
      <c r="BO170" s="125">
        <v>0</v>
      </c>
      <c r="BP170" s="125">
        <v>33805</v>
      </c>
      <c r="BQ170" s="125">
        <v>10511</v>
      </c>
      <c r="BR170" s="125">
        <v>77</v>
      </c>
      <c r="BS170" s="125">
        <v>1751</v>
      </c>
      <c r="BT170" s="125">
        <v>264</v>
      </c>
      <c r="BU170" s="125"/>
      <c r="BV170" s="125">
        <v>8</v>
      </c>
      <c r="BW170" s="125">
        <v>132</v>
      </c>
      <c r="BX170" s="125"/>
      <c r="BY170" s="125">
        <v>57</v>
      </c>
      <c r="BZ170" s="125">
        <v>1</v>
      </c>
      <c r="CA170" s="125">
        <v>4421</v>
      </c>
      <c r="CB170" s="125">
        <v>13662</v>
      </c>
      <c r="CC170" s="125">
        <v>80794</v>
      </c>
      <c r="CD170" s="125">
        <v>130491</v>
      </c>
      <c r="CE170" s="125">
        <v>16341</v>
      </c>
      <c r="CF170" s="125">
        <v>0</v>
      </c>
      <c r="CG170" s="125">
        <v>0</v>
      </c>
      <c r="CH170" s="125">
        <v>16</v>
      </c>
      <c r="CI170" s="125">
        <v>34</v>
      </c>
      <c r="CJ170" s="125">
        <v>110</v>
      </c>
      <c r="CK170" s="125"/>
      <c r="CL170" s="125"/>
      <c r="CM170" s="125"/>
      <c r="CN170" s="125"/>
      <c r="CO170" s="125"/>
      <c r="CP170" s="125"/>
      <c r="CQ170" s="125"/>
      <c r="CR170" s="125"/>
      <c r="CS170" s="125"/>
      <c r="CT170" s="125"/>
      <c r="CU170" s="125"/>
      <c r="CV170" s="125"/>
      <c r="CW170" s="125"/>
      <c r="CX170" s="125"/>
      <c r="CY170" s="125" t="s">
        <v>370</v>
      </c>
      <c r="CZ170" s="125" t="s">
        <v>370</v>
      </c>
      <c r="DA170" s="125" t="s">
        <v>370</v>
      </c>
      <c r="DB170" s="125">
        <v>0</v>
      </c>
      <c r="DC170" s="125">
        <v>0</v>
      </c>
      <c r="DD170" s="125">
        <v>0</v>
      </c>
      <c r="DE170">
        <f t="shared" si="38"/>
        <v>541521</v>
      </c>
      <c r="DG170" s="1">
        <f t="shared" si="52"/>
        <v>307983</v>
      </c>
      <c r="DH170" s="1">
        <f t="shared" si="39"/>
        <v>194175</v>
      </c>
      <c r="DI170" s="127">
        <f t="shared" si="40"/>
        <v>502158</v>
      </c>
      <c r="DK170" s="1">
        <f t="shared" si="41"/>
        <v>60329</v>
      </c>
      <c r="DL170" s="1">
        <f t="shared" si="42"/>
        <v>101635</v>
      </c>
      <c r="DM170" s="1">
        <f t="shared" si="43"/>
        <v>9969</v>
      </c>
      <c r="DN170" s="1">
        <f t="shared" si="44"/>
        <v>21822</v>
      </c>
      <c r="DO170" s="1">
        <f t="shared" si="45"/>
        <v>246321</v>
      </c>
      <c r="DP170" s="1">
        <f t="shared" si="46"/>
        <v>36352</v>
      </c>
      <c r="DQ170" s="1">
        <f t="shared" si="53"/>
        <v>0</v>
      </c>
      <c r="DR170" s="1">
        <f t="shared" si="47"/>
        <v>13827</v>
      </c>
      <c r="DS170" s="1">
        <f t="shared" si="48"/>
        <v>0</v>
      </c>
      <c r="DT170" s="1">
        <f t="shared" si="49"/>
        <v>11135</v>
      </c>
      <c r="DU170" s="1"/>
      <c r="DV170" s="1"/>
      <c r="DW170" s="1"/>
      <c r="DX170" s="1">
        <f t="shared" si="54"/>
        <v>501390</v>
      </c>
      <c r="DZ170" s="1">
        <f t="shared" si="55"/>
        <v>0</v>
      </c>
      <c r="EA170" s="1">
        <f t="shared" si="50"/>
        <v>42232</v>
      </c>
      <c r="EC170" s="1">
        <f t="shared" si="56"/>
        <v>543622</v>
      </c>
      <c r="ED170" s="1">
        <f t="shared" si="51"/>
        <v>2101</v>
      </c>
      <c r="EE170" s="1"/>
    </row>
    <row r="171" spans="1:135" x14ac:dyDescent="0.25">
      <c r="A171" s="124">
        <v>37408</v>
      </c>
      <c r="B171" s="125">
        <v>0</v>
      </c>
      <c r="C171" s="125">
        <v>0</v>
      </c>
      <c r="D171" s="125">
        <v>0</v>
      </c>
      <c r="E171" s="125" t="s">
        <v>370</v>
      </c>
      <c r="F171" s="125" t="s">
        <v>370</v>
      </c>
      <c r="G171" s="125">
        <v>5500</v>
      </c>
      <c r="H171" s="125">
        <v>11768</v>
      </c>
      <c r="I171" s="125">
        <v>3528</v>
      </c>
      <c r="J171" s="125">
        <v>22885</v>
      </c>
      <c r="K171" s="125"/>
      <c r="L171" s="125">
        <v>31595</v>
      </c>
      <c r="M171" s="125">
        <v>2979</v>
      </c>
      <c r="N171" s="125"/>
      <c r="O171" s="125">
        <v>2100</v>
      </c>
      <c r="P171" s="125">
        <v>8210</v>
      </c>
      <c r="Q171" s="125">
        <v>665</v>
      </c>
      <c r="R171" s="125">
        <v>8285</v>
      </c>
      <c r="S171" s="125">
        <v>9969</v>
      </c>
      <c r="T171" s="125"/>
      <c r="U171" s="125"/>
      <c r="V171" s="125">
        <v>529</v>
      </c>
      <c r="W171" s="125">
        <v>5966</v>
      </c>
      <c r="X171" s="125">
        <v>515</v>
      </c>
      <c r="Y171" s="125">
        <v>27</v>
      </c>
      <c r="Z171" s="126"/>
      <c r="AA171" s="125">
        <v>7</v>
      </c>
      <c r="AB171" s="125">
        <v>44</v>
      </c>
      <c r="AC171" s="125">
        <v>19</v>
      </c>
      <c r="AD171" s="125">
        <v>28</v>
      </c>
      <c r="AE171" s="125">
        <v>28</v>
      </c>
      <c r="AF171" s="125">
        <v>46</v>
      </c>
      <c r="AG171" s="125"/>
      <c r="AH171" s="125"/>
      <c r="AI171" s="125">
        <v>4</v>
      </c>
      <c r="AJ171" s="125">
        <v>4703</v>
      </c>
      <c r="AK171" s="125">
        <v>83596</v>
      </c>
      <c r="AL171" s="125">
        <v>3411</v>
      </c>
      <c r="AM171" s="125">
        <v>10391</v>
      </c>
      <c r="AN171" s="125">
        <v>32</v>
      </c>
      <c r="AO171" s="125">
        <v>11</v>
      </c>
      <c r="AP171" s="125">
        <v>2540</v>
      </c>
      <c r="AQ171" s="125">
        <v>1098</v>
      </c>
      <c r="AR171" s="125">
        <v>1335</v>
      </c>
      <c r="AS171" s="125" t="s">
        <v>370</v>
      </c>
      <c r="AT171" s="125">
        <v>2701</v>
      </c>
      <c r="AU171" s="125">
        <v>2034</v>
      </c>
      <c r="AV171" s="125">
        <v>3045</v>
      </c>
      <c r="AW171" s="125">
        <v>7736</v>
      </c>
      <c r="AX171" s="126"/>
      <c r="AY171" s="126"/>
      <c r="AZ171" s="126">
        <v>82</v>
      </c>
      <c r="BA171" s="126"/>
      <c r="BB171" s="125">
        <v>444</v>
      </c>
      <c r="BC171" s="125"/>
      <c r="BD171" s="125">
        <v>516</v>
      </c>
      <c r="BE171" s="125">
        <v>1553</v>
      </c>
      <c r="BF171" s="125">
        <v>495</v>
      </c>
      <c r="BG171" s="125">
        <v>6</v>
      </c>
      <c r="BH171" s="125">
        <v>8</v>
      </c>
      <c r="BI171" s="125">
        <v>6989</v>
      </c>
      <c r="BJ171" s="125">
        <v>47</v>
      </c>
      <c r="BK171" s="125">
        <v>3515</v>
      </c>
      <c r="BL171" s="125"/>
      <c r="BM171" s="125">
        <v>262</v>
      </c>
      <c r="BN171" s="125">
        <v>63</v>
      </c>
      <c r="BO171" s="125">
        <v>0</v>
      </c>
      <c r="BP171" s="125">
        <v>34138</v>
      </c>
      <c r="BQ171" s="125">
        <v>10480</v>
      </c>
      <c r="BR171" s="125">
        <v>77</v>
      </c>
      <c r="BS171" s="125">
        <v>1778</v>
      </c>
      <c r="BT171" s="125">
        <v>245</v>
      </c>
      <c r="BU171" s="125"/>
      <c r="BV171" s="125">
        <v>8</v>
      </c>
      <c r="BW171" s="125">
        <v>136</v>
      </c>
      <c r="BX171" s="125"/>
      <c r="BY171" s="125">
        <v>55</v>
      </c>
      <c r="BZ171" s="125">
        <v>1</v>
      </c>
      <c r="CA171" s="125">
        <v>4420</v>
      </c>
      <c r="CB171" s="125">
        <v>13815</v>
      </c>
      <c r="CC171" s="125">
        <v>81626</v>
      </c>
      <c r="CD171" s="125">
        <v>131224</v>
      </c>
      <c r="CE171" s="125">
        <v>16381</v>
      </c>
      <c r="CF171" s="125">
        <v>0</v>
      </c>
      <c r="CG171" s="125">
        <v>0</v>
      </c>
      <c r="CH171" s="125">
        <v>12</v>
      </c>
      <c r="CI171" s="125">
        <v>32</v>
      </c>
      <c r="CJ171" s="125">
        <v>101</v>
      </c>
      <c r="CK171" s="125"/>
      <c r="CL171" s="125"/>
      <c r="CM171" s="125"/>
      <c r="CN171" s="125"/>
      <c r="CO171" s="125"/>
      <c r="CP171" s="125"/>
      <c r="CQ171" s="125"/>
      <c r="CR171" s="125"/>
      <c r="CS171" s="125"/>
      <c r="CT171" s="125"/>
      <c r="CU171" s="125"/>
      <c r="CV171" s="125"/>
      <c r="CW171" s="125"/>
      <c r="CX171" s="125"/>
      <c r="CY171" s="125" t="s">
        <v>370</v>
      </c>
      <c r="CZ171" s="125" t="s">
        <v>370</v>
      </c>
      <c r="DA171" s="125" t="s">
        <v>370</v>
      </c>
      <c r="DB171" s="125">
        <v>0</v>
      </c>
      <c r="DC171" s="125">
        <v>0</v>
      </c>
      <c r="DD171" s="125">
        <v>0</v>
      </c>
      <c r="DE171">
        <f t="shared" si="38"/>
        <v>545839</v>
      </c>
      <c r="DG171" s="1">
        <f t="shared" si="52"/>
        <v>306128</v>
      </c>
      <c r="DH171" s="1">
        <f t="shared" si="39"/>
        <v>194342</v>
      </c>
      <c r="DI171" s="127">
        <f t="shared" si="40"/>
        <v>500470</v>
      </c>
      <c r="DK171" s="1">
        <f t="shared" si="41"/>
        <v>60566</v>
      </c>
      <c r="DL171" s="1">
        <f t="shared" si="42"/>
        <v>102055</v>
      </c>
      <c r="DM171" s="1">
        <f t="shared" si="43"/>
        <v>9825</v>
      </c>
      <c r="DN171" s="1">
        <f t="shared" si="44"/>
        <v>22063</v>
      </c>
      <c r="DO171" s="1">
        <f t="shared" si="45"/>
        <v>244888</v>
      </c>
      <c r="DP171" s="1">
        <f t="shared" si="46"/>
        <v>36700</v>
      </c>
      <c r="DQ171" s="1">
        <f t="shared" si="53"/>
        <v>0</v>
      </c>
      <c r="DR171" s="1">
        <f t="shared" si="47"/>
        <v>13631</v>
      </c>
      <c r="DS171" s="1">
        <f t="shared" si="48"/>
        <v>0</v>
      </c>
      <c r="DT171" s="1">
        <f t="shared" si="49"/>
        <v>11087</v>
      </c>
      <c r="DU171" s="1"/>
      <c r="DV171" s="1"/>
      <c r="DW171" s="1"/>
      <c r="DX171" s="1">
        <f t="shared" si="54"/>
        <v>500815</v>
      </c>
      <c r="DZ171" s="1">
        <f t="shared" si="55"/>
        <v>0</v>
      </c>
      <c r="EA171" s="1">
        <f t="shared" si="50"/>
        <v>43681</v>
      </c>
      <c r="EC171" s="1">
        <f t="shared" si="56"/>
        <v>544496</v>
      </c>
      <c r="ED171" s="1">
        <f t="shared" si="51"/>
        <v>-1343</v>
      </c>
      <c r="EE171" s="1"/>
    </row>
    <row r="172" spans="1:135" x14ac:dyDescent="0.25">
      <c r="A172" s="124">
        <v>37438</v>
      </c>
      <c r="B172" s="125">
        <v>0</v>
      </c>
      <c r="C172" s="125">
        <v>0</v>
      </c>
      <c r="D172" s="125">
        <v>0</v>
      </c>
      <c r="E172" s="125" t="s">
        <v>370</v>
      </c>
      <c r="F172" s="125" t="s">
        <v>370</v>
      </c>
      <c r="G172" s="125">
        <v>5364</v>
      </c>
      <c r="H172" s="125">
        <v>11616</v>
      </c>
      <c r="I172" s="125">
        <v>3337</v>
      </c>
      <c r="J172" s="125">
        <v>22132</v>
      </c>
      <c r="K172" s="125"/>
      <c r="L172" s="125">
        <v>31610</v>
      </c>
      <c r="M172" s="125">
        <v>2977</v>
      </c>
      <c r="N172" s="125"/>
      <c r="O172" s="125">
        <v>2060</v>
      </c>
      <c r="P172" s="125">
        <v>8268</v>
      </c>
      <c r="Q172" s="125">
        <v>651</v>
      </c>
      <c r="R172" s="125">
        <v>8271</v>
      </c>
      <c r="S172" s="125">
        <v>9825</v>
      </c>
      <c r="T172" s="125"/>
      <c r="U172" s="125"/>
      <c r="V172" s="125">
        <v>519</v>
      </c>
      <c r="W172" s="125">
        <v>6210</v>
      </c>
      <c r="X172" s="125">
        <v>510</v>
      </c>
      <c r="Y172" s="125">
        <v>27</v>
      </c>
      <c r="Z172" s="126"/>
      <c r="AA172" s="125">
        <v>7</v>
      </c>
      <c r="AB172" s="125">
        <v>48</v>
      </c>
      <c r="AC172" s="125">
        <v>19</v>
      </c>
      <c r="AD172" s="125">
        <v>27</v>
      </c>
      <c r="AE172" s="125">
        <v>30</v>
      </c>
      <c r="AF172" s="125">
        <v>44</v>
      </c>
      <c r="AG172" s="125"/>
      <c r="AH172" s="125"/>
      <c r="AI172" s="125">
        <v>3</v>
      </c>
      <c r="AJ172" s="125">
        <v>4918</v>
      </c>
      <c r="AK172" s="125">
        <v>83252</v>
      </c>
      <c r="AL172" s="125">
        <v>3400</v>
      </c>
      <c r="AM172" s="125">
        <v>10431</v>
      </c>
      <c r="AN172" s="125">
        <v>33</v>
      </c>
      <c r="AO172" s="125">
        <v>11</v>
      </c>
      <c r="AP172" s="125">
        <v>2680</v>
      </c>
      <c r="AQ172" s="125">
        <v>1233</v>
      </c>
      <c r="AR172" s="125">
        <v>1291</v>
      </c>
      <c r="AS172" s="125" t="s">
        <v>370</v>
      </c>
      <c r="AT172" s="125">
        <v>2717</v>
      </c>
      <c r="AU172" s="125">
        <v>2043</v>
      </c>
      <c r="AV172" s="125">
        <v>3040</v>
      </c>
      <c r="AW172" s="125">
        <v>7664</v>
      </c>
      <c r="AX172" s="126"/>
      <c r="AY172" s="126"/>
      <c r="AZ172" s="126">
        <v>88</v>
      </c>
      <c r="BA172" s="126"/>
      <c r="BB172" s="125">
        <v>435</v>
      </c>
      <c r="BC172" s="125"/>
      <c r="BD172" s="125">
        <v>409</v>
      </c>
      <c r="BE172" s="125">
        <v>1201</v>
      </c>
      <c r="BF172" s="125">
        <v>493</v>
      </c>
      <c r="BG172" s="125">
        <v>3</v>
      </c>
      <c r="BH172" s="125">
        <v>7</v>
      </c>
      <c r="BI172" s="125">
        <v>6977</v>
      </c>
      <c r="BJ172" s="125">
        <v>42</v>
      </c>
      <c r="BK172" s="125">
        <v>3480</v>
      </c>
      <c r="BL172" s="125"/>
      <c r="BM172" s="125">
        <v>311</v>
      </c>
      <c r="BN172" s="125">
        <v>67</v>
      </c>
      <c r="BO172" s="125">
        <v>0</v>
      </c>
      <c r="BP172" s="125">
        <v>34063</v>
      </c>
      <c r="BQ172" s="125">
        <v>10411</v>
      </c>
      <c r="BR172" s="125">
        <v>73</v>
      </c>
      <c r="BS172" s="125">
        <v>1736</v>
      </c>
      <c r="BT172" s="125">
        <v>240</v>
      </c>
      <c r="BU172" s="125"/>
      <c r="BV172" s="125">
        <v>9</v>
      </c>
      <c r="BW172" s="125">
        <v>137</v>
      </c>
      <c r="BX172" s="125"/>
      <c r="BY172" s="125">
        <v>58</v>
      </c>
      <c r="BZ172" s="125">
        <v>0</v>
      </c>
      <c r="CA172" s="125">
        <v>4342</v>
      </c>
      <c r="CB172" s="125">
        <v>13619</v>
      </c>
      <c r="CC172" s="125">
        <v>81537</v>
      </c>
      <c r="CD172" s="125">
        <v>130529</v>
      </c>
      <c r="CE172" s="125">
        <v>16236</v>
      </c>
      <c r="CF172" s="125">
        <v>0</v>
      </c>
      <c r="CG172" s="125">
        <v>0</v>
      </c>
      <c r="CH172" s="125">
        <v>12</v>
      </c>
      <c r="CI172" s="125">
        <v>31</v>
      </c>
      <c r="CJ172" s="125">
        <v>105</v>
      </c>
      <c r="CK172" s="125"/>
      <c r="CL172" s="125"/>
      <c r="CM172" s="125"/>
      <c r="CN172" s="125"/>
      <c r="CO172" s="125"/>
      <c r="CP172" s="125"/>
      <c r="CQ172" s="125"/>
      <c r="CR172" s="125"/>
      <c r="CS172" s="125"/>
      <c r="CT172" s="125"/>
      <c r="CU172" s="125"/>
      <c r="CV172" s="125"/>
      <c r="CW172" s="125"/>
      <c r="CX172" s="125"/>
      <c r="CY172" s="125" t="s">
        <v>370</v>
      </c>
      <c r="CZ172" s="125" t="s">
        <v>370</v>
      </c>
      <c r="DA172" s="125" t="s">
        <v>370</v>
      </c>
      <c r="DB172" s="125">
        <v>0</v>
      </c>
      <c r="DC172" s="125">
        <v>0</v>
      </c>
      <c r="DD172" s="125">
        <v>0</v>
      </c>
      <c r="DE172">
        <f t="shared" si="38"/>
        <v>542919</v>
      </c>
      <c r="DG172" s="1">
        <f t="shared" si="52"/>
        <v>308555</v>
      </c>
      <c r="DH172" s="1">
        <f t="shared" si="39"/>
        <v>195283</v>
      </c>
      <c r="DI172" s="127">
        <f t="shared" si="40"/>
        <v>503838</v>
      </c>
      <c r="DK172" s="1">
        <f t="shared" si="41"/>
        <v>60719</v>
      </c>
      <c r="DL172" s="1">
        <f t="shared" si="42"/>
        <v>101888</v>
      </c>
      <c r="DM172" s="1">
        <f t="shared" si="43"/>
        <v>9776</v>
      </c>
      <c r="DN172" s="1">
        <f t="shared" si="44"/>
        <v>22538</v>
      </c>
      <c r="DO172" s="1">
        <f t="shared" si="45"/>
        <v>246532</v>
      </c>
      <c r="DP172" s="1">
        <f t="shared" si="46"/>
        <v>36522</v>
      </c>
      <c r="DQ172" s="1">
        <f t="shared" si="53"/>
        <v>0</v>
      </c>
      <c r="DR172" s="1">
        <f t="shared" si="47"/>
        <v>13799</v>
      </c>
      <c r="DS172" s="1">
        <f t="shared" si="48"/>
        <v>0</v>
      </c>
      <c r="DT172" s="1">
        <f t="shared" si="49"/>
        <v>11087</v>
      </c>
      <c r="DU172" s="1"/>
      <c r="DV172" s="1"/>
      <c r="DW172" s="1"/>
      <c r="DX172" s="1">
        <f t="shared" si="54"/>
        <v>502861</v>
      </c>
      <c r="DZ172" s="1">
        <f t="shared" si="55"/>
        <v>0</v>
      </c>
      <c r="EA172" s="1">
        <f t="shared" si="50"/>
        <v>42449</v>
      </c>
      <c r="EC172" s="1">
        <f t="shared" si="56"/>
        <v>545310</v>
      </c>
      <c r="ED172" s="1">
        <f t="shared" si="51"/>
        <v>2391</v>
      </c>
      <c r="EE172" s="1"/>
    </row>
    <row r="173" spans="1:135" x14ac:dyDescent="0.25">
      <c r="A173" s="124">
        <v>37469</v>
      </c>
      <c r="B173" s="125">
        <v>0</v>
      </c>
      <c r="C173" s="125">
        <v>0</v>
      </c>
      <c r="D173" s="125">
        <v>0</v>
      </c>
      <c r="E173" s="125" t="s">
        <v>370</v>
      </c>
      <c r="F173" s="125" t="s">
        <v>370</v>
      </c>
      <c r="G173" s="125">
        <v>5594</v>
      </c>
      <c r="H173" s="125">
        <v>12053</v>
      </c>
      <c r="I173" s="125">
        <v>3354</v>
      </c>
      <c r="J173" s="125">
        <v>22431</v>
      </c>
      <c r="K173" s="125"/>
      <c r="L173" s="125">
        <v>31580</v>
      </c>
      <c r="M173" s="125">
        <v>2978</v>
      </c>
      <c r="N173" s="125"/>
      <c r="O173" s="125">
        <v>2021</v>
      </c>
      <c r="P173" s="125">
        <v>8318</v>
      </c>
      <c r="Q173" s="125">
        <v>631</v>
      </c>
      <c r="R173" s="125">
        <v>8222</v>
      </c>
      <c r="S173" s="125">
        <v>9776</v>
      </c>
      <c r="T173" s="125"/>
      <c r="U173" s="125"/>
      <c r="V173" s="125">
        <v>498</v>
      </c>
      <c r="W173" s="125">
        <v>6471</v>
      </c>
      <c r="X173" s="125">
        <v>504</v>
      </c>
      <c r="Y173" s="125">
        <v>24</v>
      </c>
      <c r="Z173" s="126"/>
      <c r="AA173" s="125">
        <v>7</v>
      </c>
      <c r="AB173" s="125">
        <v>51</v>
      </c>
      <c r="AC173" s="125">
        <v>20</v>
      </c>
      <c r="AD173" s="125">
        <v>25</v>
      </c>
      <c r="AE173" s="125">
        <v>29</v>
      </c>
      <c r="AF173" s="125">
        <v>44</v>
      </c>
      <c r="AG173" s="125"/>
      <c r="AH173" s="125"/>
      <c r="AI173" s="125">
        <v>5</v>
      </c>
      <c r="AJ173" s="125">
        <v>5133</v>
      </c>
      <c r="AK173" s="125">
        <v>83384</v>
      </c>
      <c r="AL173" s="125">
        <v>3377</v>
      </c>
      <c r="AM173" s="125">
        <v>10566</v>
      </c>
      <c r="AN173" s="125">
        <v>35</v>
      </c>
      <c r="AO173" s="125">
        <v>9</v>
      </c>
      <c r="AP173" s="125">
        <v>2866</v>
      </c>
      <c r="AQ173" s="125">
        <v>1386</v>
      </c>
      <c r="AR173" s="125">
        <v>1316</v>
      </c>
      <c r="AS173" s="125" t="s">
        <v>370</v>
      </c>
      <c r="AT173" s="125">
        <v>2710</v>
      </c>
      <c r="AU173" s="125">
        <v>2060</v>
      </c>
      <c r="AV173" s="125">
        <v>3049</v>
      </c>
      <c r="AW173" s="125">
        <v>7667</v>
      </c>
      <c r="AX173" s="126"/>
      <c r="AY173" s="126"/>
      <c r="AZ173" s="126">
        <v>94</v>
      </c>
      <c r="BA173" s="126"/>
      <c r="BB173" s="125">
        <v>427</v>
      </c>
      <c r="BC173" s="125"/>
      <c r="BD173" s="125">
        <v>309</v>
      </c>
      <c r="BE173" s="125">
        <v>823</v>
      </c>
      <c r="BF173" s="125">
        <v>498</v>
      </c>
      <c r="BG173" s="125">
        <v>3</v>
      </c>
      <c r="BH173" s="125">
        <v>6</v>
      </c>
      <c r="BI173" s="125">
        <v>6991</v>
      </c>
      <c r="BJ173" s="125">
        <v>49</v>
      </c>
      <c r="BK173" s="125">
        <v>3460</v>
      </c>
      <c r="BL173" s="125"/>
      <c r="BM173" s="125">
        <v>339</v>
      </c>
      <c r="BN173" s="125">
        <v>66</v>
      </c>
      <c r="BO173" s="125">
        <v>0</v>
      </c>
      <c r="BP173" s="125">
        <v>34731</v>
      </c>
      <c r="BQ173" s="125">
        <v>10476</v>
      </c>
      <c r="BR173" s="125">
        <v>76</v>
      </c>
      <c r="BS173" s="125">
        <v>1755</v>
      </c>
      <c r="BT173" s="125">
        <v>238</v>
      </c>
      <c r="BU173" s="125"/>
      <c r="BV173" s="125">
        <v>14</v>
      </c>
      <c r="BW173" s="125">
        <v>138</v>
      </c>
      <c r="BX173" s="125"/>
      <c r="BY173" s="125">
        <v>62</v>
      </c>
      <c r="BZ173" s="125">
        <v>0</v>
      </c>
      <c r="CA173" s="125">
        <v>4445</v>
      </c>
      <c r="CB173" s="125">
        <v>13788</v>
      </c>
      <c r="CC173" s="125">
        <v>82206</v>
      </c>
      <c r="CD173" s="125">
        <v>131611</v>
      </c>
      <c r="CE173" s="125">
        <v>16332</v>
      </c>
      <c r="CF173" s="125">
        <v>0</v>
      </c>
      <c r="CG173" s="125">
        <v>0</v>
      </c>
      <c r="CH173" s="125">
        <v>11</v>
      </c>
      <c r="CI173" s="125">
        <v>30</v>
      </c>
      <c r="CJ173" s="125">
        <v>98</v>
      </c>
      <c r="CK173" s="125"/>
      <c r="CL173" s="125"/>
      <c r="CM173" s="125"/>
      <c r="CN173" s="125"/>
      <c r="CO173" s="125"/>
      <c r="CP173" s="125"/>
      <c r="CQ173" s="125"/>
      <c r="CR173" s="125"/>
      <c r="CS173" s="125"/>
      <c r="CT173" s="125"/>
      <c r="CU173" s="125"/>
      <c r="CV173" s="125"/>
      <c r="CW173" s="125"/>
      <c r="CX173" s="125"/>
      <c r="CY173" s="125" t="s">
        <v>370</v>
      </c>
      <c r="CZ173" s="125" t="s">
        <v>370</v>
      </c>
      <c r="DA173" s="125" t="s">
        <v>370</v>
      </c>
      <c r="DB173" s="125">
        <v>0</v>
      </c>
      <c r="DC173" s="125">
        <v>0</v>
      </c>
      <c r="DD173" s="125">
        <v>0</v>
      </c>
      <c r="DE173">
        <f t="shared" si="38"/>
        <v>547270</v>
      </c>
      <c r="DG173" s="1">
        <f t="shared" si="52"/>
        <v>319856</v>
      </c>
      <c r="DH173" s="1">
        <f t="shared" si="39"/>
        <v>195933</v>
      </c>
      <c r="DI173" s="127">
        <f t="shared" si="40"/>
        <v>515789</v>
      </c>
      <c r="DK173" s="1">
        <f t="shared" si="41"/>
        <v>60895</v>
      </c>
      <c r="DL173" s="1">
        <f t="shared" si="42"/>
        <v>102250</v>
      </c>
      <c r="DM173" s="1">
        <f t="shared" si="43"/>
        <v>9782</v>
      </c>
      <c r="DN173" s="1">
        <f t="shared" si="44"/>
        <v>22954</v>
      </c>
      <c r="DO173" s="1">
        <f t="shared" si="45"/>
        <v>247973</v>
      </c>
      <c r="DP173" s="1">
        <f t="shared" si="46"/>
        <v>37137</v>
      </c>
      <c r="DQ173" s="1">
        <f t="shared" si="53"/>
        <v>0</v>
      </c>
      <c r="DR173" s="1">
        <f t="shared" si="47"/>
        <v>13886</v>
      </c>
      <c r="DS173" s="1">
        <f t="shared" si="48"/>
        <v>0</v>
      </c>
      <c r="DT173" s="1">
        <f t="shared" si="49"/>
        <v>11096</v>
      </c>
      <c r="DU173" s="1"/>
      <c r="DV173" s="1"/>
      <c r="DW173" s="1"/>
      <c r="DX173" s="1">
        <f t="shared" si="54"/>
        <v>505973</v>
      </c>
      <c r="DZ173" s="1">
        <f t="shared" si="55"/>
        <v>0</v>
      </c>
      <c r="EA173" s="1">
        <f t="shared" si="50"/>
        <v>43432</v>
      </c>
      <c r="EC173" s="1">
        <f t="shared" si="56"/>
        <v>549405</v>
      </c>
      <c r="ED173" s="1">
        <f t="shared" si="51"/>
        <v>2135</v>
      </c>
      <c r="EE173" s="1"/>
    </row>
    <row r="174" spans="1:135" x14ac:dyDescent="0.25">
      <c r="A174" s="124">
        <v>37500</v>
      </c>
      <c r="B174" s="125">
        <v>0</v>
      </c>
      <c r="C174" s="125">
        <v>0</v>
      </c>
      <c r="D174" s="125">
        <v>0</v>
      </c>
      <c r="E174" s="125" t="s">
        <v>370</v>
      </c>
      <c r="F174" s="125" t="s">
        <v>370</v>
      </c>
      <c r="G174" s="125">
        <v>5109</v>
      </c>
      <c r="H174" s="125">
        <v>10069</v>
      </c>
      <c r="I174" s="125">
        <v>2750</v>
      </c>
      <c r="J174" s="125">
        <v>10675</v>
      </c>
      <c r="K174" s="125"/>
      <c r="L174" s="125">
        <v>31501</v>
      </c>
      <c r="M174" s="125">
        <v>2972</v>
      </c>
      <c r="N174" s="125"/>
      <c r="O174" s="125">
        <v>2007</v>
      </c>
      <c r="P174" s="125">
        <v>8370</v>
      </c>
      <c r="Q174" s="125">
        <v>618</v>
      </c>
      <c r="R174" s="125">
        <v>8203</v>
      </c>
      <c r="S174" s="125">
        <v>9782</v>
      </c>
      <c r="T174" s="125"/>
      <c r="U174" s="125"/>
      <c r="V174" s="125">
        <v>504</v>
      </c>
      <c r="W174" s="125">
        <v>6720</v>
      </c>
      <c r="X174" s="125">
        <v>500</v>
      </c>
      <c r="Y174" s="125">
        <v>25</v>
      </c>
      <c r="Z174" s="126"/>
      <c r="AA174" s="125">
        <v>6</v>
      </c>
      <c r="AB174" s="125">
        <v>51</v>
      </c>
      <c r="AC174" s="125">
        <v>19</v>
      </c>
      <c r="AD174" s="125">
        <v>25</v>
      </c>
      <c r="AE174" s="125">
        <v>32</v>
      </c>
      <c r="AF174" s="125">
        <v>45</v>
      </c>
      <c r="AG174" s="125"/>
      <c r="AH174" s="125"/>
      <c r="AI174" s="125">
        <v>3</v>
      </c>
      <c r="AJ174" s="125">
        <v>5267</v>
      </c>
      <c r="AK174" s="125">
        <v>83304</v>
      </c>
      <c r="AL174" s="125">
        <v>3377</v>
      </c>
      <c r="AM174" s="125">
        <v>10658</v>
      </c>
      <c r="AN174" s="125">
        <v>34</v>
      </c>
      <c r="AO174" s="125">
        <v>10</v>
      </c>
      <c r="AP174" s="125">
        <v>3043</v>
      </c>
      <c r="AQ174" s="125">
        <v>1525</v>
      </c>
      <c r="AR174" s="125">
        <v>1329</v>
      </c>
      <c r="AS174" s="125" t="s">
        <v>370</v>
      </c>
      <c r="AT174" s="125">
        <v>2710</v>
      </c>
      <c r="AU174" s="125">
        <v>2069</v>
      </c>
      <c r="AV174" s="125">
        <v>3024</v>
      </c>
      <c r="AW174" s="125">
        <v>7673</v>
      </c>
      <c r="AX174" s="126"/>
      <c r="AY174" s="126"/>
      <c r="AZ174" s="126">
        <v>106</v>
      </c>
      <c r="BA174" s="126"/>
      <c r="BB174" s="125">
        <v>421</v>
      </c>
      <c r="BC174" s="125"/>
      <c r="BD174" s="125">
        <v>233</v>
      </c>
      <c r="BE174" s="125">
        <v>607</v>
      </c>
      <c r="BF174" s="125">
        <v>494</v>
      </c>
      <c r="BG174" s="125">
        <v>3</v>
      </c>
      <c r="BH174" s="125">
        <v>6</v>
      </c>
      <c r="BI174" s="125">
        <v>7028</v>
      </c>
      <c r="BJ174" s="125">
        <v>42</v>
      </c>
      <c r="BK174" s="125">
        <v>3437</v>
      </c>
      <c r="BL174" s="125"/>
      <c r="BM174" s="125">
        <v>363</v>
      </c>
      <c r="BN174" s="125">
        <v>68</v>
      </c>
      <c r="BO174" s="125">
        <v>0</v>
      </c>
      <c r="BP174" s="125">
        <v>35061</v>
      </c>
      <c r="BQ174" s="125">
        <v>10333</v>
      </c>
      <c r="BR174" s="125">
        <v>78</v>
      </c>
      <c r="BS174" s="125">
        <v>1814</v>
      </c>
      <c r="BT174" s="125">
        <v>242</v>
      </c>
      <c r="BU174" s="125"/>
      <c r="BV174" s="125">
        <v>11</v>
      </c>
      <c r="BW174" s="125">
        <v>137</v>
      </c>
      <c r="BX174" s="125"/>
      <c r="BY174" s="125">
        <v>57</v>
      </c>
      <c r="BZ174" s="125">
        <v>0</v>
      </c>
      <c r="CA174" s="125">
        <v>4532</v>
      </c>
      <c r="CB174" s="125">
        <v>13873</v>
      </c>
      <c r="CC174" s="125">
        <v>82994</v>
      </c>
      <c r="CD174" s="125">
        <v>132558</v>
      </c>
      <c r="CE174" s="125">
        <v>16321</v>
      </c>
      <c r="CF174" s="125">
        <v>9427</v>
      </c>
      <c r="CG174" s="125">
        <v>0</v>
      </c>
      <c r="CH174" s="125">
        <v>13</v>
      </c>
      <c r="CI174" s="125">
        <v>28</v>
      </c>
      <c r="CJ174" s="125">
        <v>96</v>
      </c>
      <c r="CK174" s="125"/>
      <c r="CL174" s="125"/>
      <c r="CM174" s="125"/>
      <c r="CN174" s="125"/>
      <c r="CO174" s="125"/>
      <c r="CP174" s="125"/>
      <c r="CQ174" s="125"/>
      <c r="CR174" s="125"/>
      <c r="CS174" s="125"/>
      <c r="CT174" s="125"/>
      <c r="CU174" s="125"/>
      <c r="CV174" s="125"/>
      <c r="CW174" s="125"/>
      <c r="CX174" s="125"/>
      <c r="CY174" s="125" t="s">
        <v>370</v>
      </c>
      <c r="CZ174" s="125" t="s">
        <v>370</v>
      </c>
      <c r="DA174" s="125" t="s">
        <v>370</v>
      </c>
      <c r="DB174" s="125">
        <v>0</v>
      </c>
      <c r="DC174" s="125">
        <v>0</v>
      </c>
      <c r="DD174" s="125">
        <v>0</v>
      </c>
      <c r="DE174">
        <f t="shared" si="38"/>
        <v>544392</v>
      </c>
      <c r="DG174" s="1">
        <f t="shared" si="52"/>
        <v>323128</v>
      </c>
      <c r="DH174" s="1">
        <f t="shared" si="39"/>
        <v>196812</v>
      </c>
      <c r="DI174" s="127">
        <f t="shared" si="40"/>
        <v>519940</v>
      </c>
      <c r="DK174" s="1">
        <f t="shared" si="41"/>
        <v>61084</v>
      </c>
      <c r="DL174" s="1">
        <f t="shared" si="42"/>
        <v>102302</v>
      </c>
      <c r="DM174" s="1">
        <f t="shared" si="43"/>
        <v>9788</v>
      </c>
      <c r="DN174" s="1">
        <f t="shared" si="44"/>
        <v>23501</v>
      </c>
      <c r="DO174" s="1">
        <f t="shared" si="45"/>
        <v>249346</v>
      </c>
      <c r="DP174" s="1">
        <f t="shared" si="46"/>
        <v>37474</v>
      </c>
      <c r="DQ174" s="1">
        <f t="shared" si="53"/>
        <v>0</v>
      </c>
      <c r="DR174" s="1">
        <f t="shared" si="47"/>
        <v>13661</v>
      </c>
      <c r="DS174" s="1">
        <f t="shared" si="48"/>
        <v>0</v>
      </c>
      <c r="DT174" s="1">
        <f t="shared" si="49"/>
        <v>11154</v>
      </c>
      <c r="DU174" s="1"/>
      <c r="DV174" s="1"/>
      <c r="DW174" s="1"/>
      <c r="DX174" s="1">
        <f t="shared" si="54"/>
        <v>508310</v>
      </c>
      <c r="DZ174" s="1">
        <f t="shared" si="55"/>
        <v>9427</v>
      </c>
      <c r="EA174" s="1">
        <f t="shared" si="50"/>
        <v>28603</v>
      </c>
      <c r="EC174" s="1">
        <f t="shared" si="56"/>
        <v>546340</v>
      </c>
      <c r="ED174" s="1">
        <f t="shared" si="51"/>
        <v>1948</v>
      </c>
      <c r="EE174" s="1"/>
    </row>
    <row r="175" spans="1:135" x14ac:dyDescent="0.25">
      <c r="A175" s="124">
        <v>37530</v>
      </c>
      <c r="B175" s="125">
        <v>0</v>
      </c>
      <c r="C175" s="125">
        <v>0</v>
      </c>
      <c r="D175" s="125">
        <v>0</v>
      </c>
      <c r="E175" s="125" t="s">
        <v>370</v>
      </c>
      <c r="F175" s="125" t="s">
        <v>370</v>
      </c>
      <c r="G175" s="125">
        <v>5445</v>
      </c>
      <c r="H175" s="125">
        <v>10585</v>
      </c>
      <c r="I175" s="125">
        <v>2792</v>
      </c>
      <c r="J175" s="125">
        <v>10016</v>
      </c>
      <c r="K175" s="125"/>
      <c r="L175" s="125">
        <v>31514</v>
      </c>
      <c r="M175" s="125">
        <v>2955</v>
      </c>
      <c r="N175" s="125"/>
      <c r="O175" s="125">
        <v>1974</v>
      </c>
      <c r="P175" s="125">
        <v>8442</v>
      </c>
      <c r="Q175" s="125">
        <v>604</v>
      </c>
      <c r="R175" s="125">
        <v>8139</v>
      </c>
      <c r="S175" s="125">
        <v>9788</v>
      </c>
      <c r="T175" s="125"/>
      <c r="U175" s="125"/>
      <c r="V175" s="125">
        <v>489</v>
      </c>
      <c r="W175" s="125">
        <v>6967</v>
      </c>
      <c r="X175" s="125">
        <v>494</v>
      </c>
      <c r="Y175" s="125">
        <v>24</v>
      </c>
      <c r="Z175" s="126"/>
      <c r="AA175" s="125">
        <v>8</v>
      </c>
      <c r="AB175" s="125">
        <v>54</v>
      </c>
      <c r="AC175" s="125">
        <v>21</v>
      </c>
      <c r="AD175" s="125">
        <v>25</v>
      </c>
      <c r="AE175" s="125">
        <v>32</v>
      </c>
      <c r="AF175" s="125">
        <v>42</v>
      </c>
      <c r="AG175" s="125"/>
      <c r="AH175" s="125"/>
      <c r="AI175" s="125">
        <v>3</v>
      </c>
      <c r="AJ175" s="125">
        <v>5418</v>
      </c>
      <c r="AK175" s="125">
        <v>83323</v>
      </c>
      <c r="AL175" s="125">
        <v>3363</v>
      </c>
      <c r="AM175" s="125">
        <v>10743</v>
      </c>
      <c r="AN175" s="125">
        <v>30</v>
      </c>
      <c r="AO175" s="125">
        <v>9</v>
      </c>
      <c r="AP175" s="125">
        <v>3270</v>
      </c>
      <c r="AQ175" s="125">
        <v>1704</v>
      </c>
      <c r="AR175" s="125">
        <v>1294</v>
      </c>
      <c r="AS175" s="125" t="s">
        <v>370</v>
      </c>
      <c r="AT175" s="125">
        <v>2747</v>
      </c>
      <c r="AU175" s="125">
        <v>2062</v>
      </c>
      <c r="AV175" s="125">
        <v>3017</v>
      </c>
      <c r="AW175" s="125">
        <v>7733</v>
      </c>
      <c r="AX175" s="126"/>
      <c r="AY175" s="126"/>
      <c r="AZ175" s="126">
        <v>118</v>
      </c>
      <c r="BA175" s="126"/>
      <c r="BB175" s="125">
        <v>406</v>
      </c>
      <c r="BC175" s="125"/>
      <c r="BD175" s="125">
        <v>193</v>
      </c>
      <c r="BE175" s="125">
        <v>532</v>
      </c>
      <c r="BF175" s="125">
        <v>500</v>
      </c>
      <c r="BG175" s="125">
        <v>5</v>
      </c>
      <c r="BH175" s="125">
        <v>4</v>
      </c>
      <c r="BI175" s="125">
        <v>7073</v>
      </c>
      <c r="BJ175" s="125">
        <v>46</v>
      </c>
      <c r="BK175" s="125">
        <v>3450</v>
      </c>
      <c r="BL175" s="125"/>
      <c r="BM175" s="125">
        <v>349</v>
      </c>
      <c r="BN175" s="125">
        <v>72</v>
      </c>
      <c r="BO175" s="125">
        <v>0</v>
      </c>
      <c r="BP175" s="125">
        <v>34947</v>
      </c>
      <c r="BQ175" s="125">
        <v>9971</v>
      </c>
      <c r="BR175" s="125">
        <v>76</v>
      </c>
      <c r="BS175" s="125">
        <v>1809</v>
      </c>
      <c r="BT175" s="125">
        <v>231</v>
      </c>
      <c r="BU175" s="125"/>
      <c r="BV175" s="125">
        <v>9</v>
      </c>
      <c r="BW175" s="125">
        <v>131</v>
      </c>
      <c r="BX175" s="125"/>
      <c r="BY175" s="125">
        <v>59</v>
      </c>
      <c r="BZ175" s="125">
        <v>0</v>
      </c>
      <c r="CA175" s="125">
        <v>4936</v>
      </c>
      <c r="CB175" s="125">
        <v>13648</v>
      </c>
      <c r="CC175" s="125">
        <v>83520</v>
      </c>
      <c r="CD175" s="125">
        <v>133374</v>
      </c>
      <c r="CE175" s="125">
        <v>16394</v>
      </c>
      <c r="CF175" s="125">
        <v>11664</v>
      </c>
      <c r="CG175" s="125">
        <v>0</v>
      </c>
      <c r="CH175" s="125">
        <v>13</v>
      </c>
      <c r="CI175" s="125">
        <v>26</v>
      </c>
      <c r="CJ175" s="125">
        <v>96</v>
      </c>
      <c r="CK175" s="125"/>
      <c r="CL175" s="125"/>
      <c r="CM175" s="125"/>
      <c r="CN175" s="125"/>
      <c r="CO175" s="125"/>
      <c r="CP175" s="125"/>
      <c r="CQ175" s="125"/>
      <c r="CR175" s="125"/>
      <c r="CS175" s="125"/>
      <c r="CT175" s="125"/>
      <c r="CU175" s="125"/>
      <c r="CV175" s="125"/>
      <c r="CW175" s="125"/>
      <c r="CX175" s="125"/>
      <c r="CY175" s="125" t="s">
        <v>370</v>
      </c>
      <c r="CZ175" s="125" t="s">
        <v>370</v>
      </c>
      <c r="DA175" s="125" t="s">
        <v>370</v>
      </c>
      <c r="DB175" s="125">
        <v>0</v>
      </c>
      <c r="DC175" s="125">
        <v>0</v>
      </c>
      <c r="DD175" s="125">
        <v>0</v>
      </c>
      <c r="DE175">
        <f t="shared" si="38"/>
        <v>548778</v>
      </c>
      <c r="DG175" s="1">
        <f t="shared" si="52"/>
        <v>330927</v>
      </c>
      <c r="DH175" s="1">
        <f t="shared" si="39"/>
        <v>197982</v>
      </c>
      <c r="DI175" s="127">
        <f t="shared" si="40"/>
        <v>528909</v>
      </c>
      <c r="DK175" s="1">
        <f t="shared" si="41"/>
        <v>61237</v>
      </c>
      <c r="DL175" s="1">
        <f t="shared" si="42"/>
        <v>102439</v>
      </c>
      <c r="DM175" s="1">
        <f t="shared" si="43"/>
        <v>9781</v>
      </c>
      <c r="DN175" s="1">
        <f t="shared" si="44"/>
        <v>23863</v>
      </c>
      <c r="DO175" s="1">
        <f t="shared" si="45"/>
        <v>254879</v>
      </c>
      <c r="DP175" s="1">
        <f t="shared" si="46"/>
        <v>37303</v>
      </c>
      <c r="DQ175" s="1">
        <f t="shared" si="53"/>
        <v>0</v>
      </c>
      <c r="DR175" s="1">
        <f t="shared" si="47"/>
        <v>13840</v>
      </c>
      <c r="DS175" s="1">
        <f t="shared" si="48"/>
        <v>2</v>
      </c>
      <c r="DT175" s="1">
        <f t="shared" si="49"/>
        <v>11201</v>
      </c>
      <c r="DU175" s="1"/>
      <c r="DV175" s="1"/>
      <c r="DW175" s="1"/>
      <c r="DX175" s="1">
        <f t="shared" si="54"/>
        <v>514545</v>
      </c>
      <c r="DZ175" s="1">
        <f t="shared" si="55"/>
        <v>11664</v>
      </c>
      <c r="EA175" s="1">
        <f t="shared" si="50"/>
        <v>28838</v>
      </c>
      <c r="EC175" s="1">
        <f t="shared" si="56"/>
        <v>555047</v>
      </c>
      <c r="ED175" s="1">
        <f t="shared" si="51"/>
        <v>6269</v>
      </c>
      <c r="EE175" s="1"/>
    </row>
    <row r="176" spans="1:135" x14ac:dyDescent="0.25">
      <c r="A176" s="124">
        <v>37561</v>
      </c>
      <c r="B176" s="125">
        <v>0</v>
      </c>
      <c r="C176" s="125">
        <v>0</v>
      </c>
      <c r="D176" s="125">
        <v>0</v>
      </c>
      <c r="E176" s="125" t="s">
        <v>370</v>
      </c>
      <c r="F176" s="125" t="s">
        <v>370</v>
      </c>
      <c r="G176" s="125">
        <v>6010</v>
      </c>
      <c r="H176" s="125">
        <v>11512</v>
      </c>
      <c r="I176" s="125">
        <v>2968</v>
      </c>
      <c r="J176" s="125">
        <v>10407</v>
      </c>
      <c r="K176" s="125"/>
      <c r="L176" s="125">
        <v>31491</v>
      </c>
      <c r="M176" s="125">
        <v>2955</v>
      </c>
      <c r="N176" s="125"/>
      <c r="O176" s="125">
        <v>1952</v>
      </c>
      <c r="P176" s="125">
        <v>8424</v>
      </c>
      <c r="Q176" s="125">
        <v>605</v>
      </c>
      <c r="R176" s="125">
        <v>8147</v>
      </c>
      <c r="S176" s="125">
        <v>9781</v>
      </c>
      <c r="T176" s="125"/>
      <c r="U176" s="125"/>
      <c r="V176" s="125">
        <v>491</v>
      </c>
      <c r="W176" s="125">
        <v>7172</v>
      </c>
      <c r="X176" s="125">
        <v>488</v>
      </c>
      <c r="Y176" s="125">
        <v>24</v>
      </c>
      <c r="Z176" s="126"/>
      <c r="AA176" s="125">
        <v>8</v>
      </c>
      <c r="AB176" s="125">
        <v>57</v>
      </c>
      <c r="AC176" s="125">
        <v>20</v>
      </c>
      <c r="AD176" s="125">
        <v>25</v>
      </c>
      <c r="AE176" s="125">
        <v>33</v>
      </c>
      <c r="AF176" s="125">
        <v>42</v>
      </c>
      <c r="AG176" s="125"/>
      <c r="AH176" s="125"/>
      <c r="AI176" s="125">
        <v>3</v>
      </c>
      <c r="AJ176" s="125">
        <v>5621</v>
      </c>
      <c r="AK176" s="125">
        <v>83774</v>
      </c>
      <c r="AL176" s="125">
        <v>3351</v>
      </c>
      <c r="AM176" s="125">
        <v>10840</v>
      </c>
      <c r="AN176" s="125">
        <v>35</v>
      </c>
      <c r="AO176" s="125">
        <v>10</v>
      </c>
      <c r="AP176" s="125">
        <v>3416</v>
      </c>
      <c r="AQ176" s="125">
        <v>1808</v>
      </c>
      <c r="AR176" s="125">
        <v>1292</v>
      </c>
      <c r="AS176" s="125" t="s">
        <v>370</v>
      </c>
      <c r="AT176" s="125">
        <v>2781</v>
      </c>
      <c r="AU176" s="125">
        <v>2066</v>
      </c>
      <c r="AV176" s="125">
        <v>3002</v>
      </c>
      <c r="AW176" s="125">
        <v>7747</v>
      </c>
      <c r="AX176" s="126"/>
      <c r="AY176" s="126"/>
      <c r="AZ176" s="126">
        <v>125</v>
      </c>
      <c r="BA176" s="126"/>
      <c r="BB176" s="125">
        <v>396</v>
      </c>
      <c r="BC176" s="125"/>
      <c r="BD176" s="125">
        <v>158</v>
      </c>
      <c r="BE176" s="125">
        <v>425</v>
      </c>
      <c r="BF176" s="125">
        <v>509</v>
      </c>
      <c r="BG176" s="125">
        <v>5</v>
      </c>
      <c r="BH176" s="125">
        <v>1</v>
      </c>
      <c r="BI176" s="125">
        <v>7110</v>
      </c>
      <c r="BJ176" s="125">
        <v>45</v>
      </c>
      <c r="BK176" s="125">
        <v>3450</v>
      </c>
      <c r="BL176" s="125"/>
      <c r="BM176" s="125">
        <v>361</v>
      </c>
      <c r="BN176" s="125">
        <v>76</v>
      </c>
      <c r="BO176" s="125">
        <v>2</v>
      </c>
      <c r="BP176" s="125">
        <v>35755</v>
      </c>
      <c r="BQ176" s="125">
        <v>9832</v>
      </c>
      <c r="BR176" s="125">
        <v>72</v>
      </c>
      <c r="BS176" s="125">
        <v>1836</v>
      </c>
      <c r="BT176" s="125">
        <v>236</v>
      </c>
      <c r="BU176" s="125"/>
      <c r="BV176" s="125">
        <v>9</v>
      </c>
      <c r="BW176" s="125">
        <v>132</v>
      </c>
      <c r="BX176" s="125"/>
      <c r="BY176" s="125">
        <v>55</v>
      </c>
      <c r="BZ176" s="125">
        <v>0</v>
      </c>
      <c r="CA176" s="125">
        <v>5691</v>
      </c>
      <c r="CB176" s="125">
        <v>13828</v>
      </c>
      <c r="CC176" s="125">
        <v>85219</v>
      </c>
      <c r="CD176" s="125">
        <v>136675</v>
      </c>
      <c r="CE176" s="125">
        <v>16424</v>
      </c>
      <c r="CF176" s="125">
        <v>12890</v>
      </c>
      <c r="CG176" s="125">
        <v>0</v>
      </c>
      <c r="CH176" s="125">
        <v>12</v>
      </c>
      <c r="CI176" s="125">
        <v>24</v>
      </c>
      <c r="CJ176" s="125">
        <v>95</v>
      </c>
      <c r="CK176" s="125"/>
      <c r="CL176" s="125"/>
      <c r="CM176" s="125"/>
      <c r="CN176" s="125"/>
      <c r="CO176" s="125"/>
      <c r="CP176" s="125"/>
      <c r="CQ176" s="125"/>
      <c r="CR176" s="125"/>
      <c r="CS176" s="125"/>
      <c r="CT176" s="125"/>
      <c r="CU176" s="125"/>
      <c r="CV176" s="125"/>
      <c r="CW176" s="125"/>
      <c r="CX176" s="125"/>
      <c r="CY176" s="125" t="s">
        <v>370</v>
      </c>
      <c r="CZ176" s="125" t="s">
        <v>370</v>
      </c>
      <c r="DA176" s="125" t="s">
        <v>370</v>
      </c>
      <c r="DB176" s="125">
        <v>0</v>
      </c>
      <c r="DC176" s="125">
        <v>0</v>
      </c>
      <c r="DD176" s="125">
        <v>0</v>
      </c>
      <c r="DE176">
        <f t="shared" si="38"/>
        <v>559806</v>
      </c>
      <c r="DG176" s="1">
        <f t="shared" si="52"/>
        <v>334904</v>
      </c>
      <c r="DH176" s="1">
        <f t="shared" si="39"/>
        <v>198513</v>
      </c>
      <c r="DI176" s="127">
        <f t="shared" si="40"/>
        <v>533417</v>
      </c>
      <c r="DK176" s="1">
        <f t="shared" si="41"/>
        <v>61240</v>
      </c>
      <c r="DL176" s="1">
        <f t="shared" si="42"/>
        <v>103101</v>
      </c>
      <c r="DM176" s="1">
        <f t="shared" si="43"/>
        <v>9822</v>
      </c>
      <c r="DN176" s="1">
        <f t="shared" si="44"/>
        <v>24292</v>
      </c>
      <c r="DO176" s="1">
        <f t="shared" si="45"/>
        <v>257751</v>
      </c>
      <c r="DP176" s="1">
        <f t="shared" si="46"/>
        <v>38115</v>
      </c>
      <c r="DQ176" s="1">
        <f t="shared" si="53"/>
        <v>0</v>
      </c>
      <c r="DR176" s="1">
        <f t="shared" si="47"/>
        <v>13661</v>
      </c>
      <c r="DS176" s="1">
        <f t="shared" si="48"/>
        <v>36</v>
      </c>
      <c r="DT176" s="1">
        <f t="shared" si="49"/>
        <v>11189</v>
      </c>
      <c r="DU176" s="1"/>
      <c r="DV176" s="1"/>
      <c r="DW176" s="1"/>
      <c r="DX176" s="1">
        <f t="shared" si="54"/>
        <v>519207</v>
      </c>
      <c r="DZ176" s="1">
        <f t="shared" si="55"/>
        <v>12890</v>
      </c>
      <c r="EA176" s="1">
        <f t="shared" si="50"/>
        <v>30897</v>
      </c>
      <c r="EC176" s="1">
        <f t="shared" si="56"/>
        <v>562994</v>
      </c>
      <c r="ED176" s="1">
        <f t="shared" si="51"/>
        <v>3188</v>
      </c>
      <c r="EE176" s="1"/>
    </row>
    <row r="177" spans="1:135" x14ac:dyDescent="0.25">
      <c r="A177" s="124">
        <v>37591</v>
      </c>
      <c r="B177" s="125">
        <v>0</v>
      </c>
      <c r="C177" s="125">
        <v>0</v>
      </c>
      <c r="D177" s="125">
        <v>0</v>
      </c>
      <c r="E177" s="125" t="s">
        <v>370</v>
      </c>
      <c r="F177" s="125" t="s">
        <v>370</v>
      </c>
      <c r="G177" s="125">
        <v>6421</v>
      </c>
      <c r="H177" s="125">
        <v>12146</v>
      </c>
      <c r="I177" s="125">
        <v>3041</v>
      </c>
      <c r="J177" s="125">
        <v>10365</v>
      </c>
      <c r="K177" s="125"/>
      <c r="L177" s="125">
        <v>31412</v>
      </c>
      <c r="M177" s="125">
        <v>2952</v>
      </c>
      <c r="N177" s="125"/>
      <c r="O177" s="125">
        <v>1944</v>
      </c>
      <c r="P177" s="125">
        <v>8394</v>
      </c>
      <c r="Q177" s="125">
        <v>598</v>
      </c>
      <c r="R177" s="125">
        <v>8080</v>
      </c>
      <c r="S177" s="125">
        <v>9822</v>
      </c>
      <c r="T177" s="125"/>
      <c r="U177" s="125"/>
      <c r="V177" s="125">
        <v>490</v>
      </c>
      <c r="W177" s="125">
        <v>7370</v>
      </c>
      <c r="X177" s="125">
        <v>485</v>
      </c>
      <c r="Y177" s="125">
        <v>25</v>
      </c>
      <c r="Z177" s="126"/>
      <c r="AA177" s="125">
        <v>8</v>
      </c>
      <c r="AB177" s="125">
        <v>57</v>
      </c>
      <c r="AC177" s="125">
        <v>20</v>
      </c>
      <c r="AD177" s="125">
        <v>25</v>
      </c>
      <c r="AE177" s="125">
        <v>33</v>
      </c>
      <c r="AF177" s="125">
        <v>39</v>
      </c>
      <c r="AG177" s="125"/>
      <c r="AH177" s="125"/>
      <c r="AI177" s="125">
        <v>3</v>
      </c>
      <c r="AJ177" s="125">
        <v>5749</v>
      </c>
      <c r="AK177" s="125">
        <v>83733</v>
      </c>
      <c r="AL177" s="125">
        <v>3356</v>
      </c>
      <c r="AM177" s="125">
        <v>10963</v>
      </c>
      <c r="AN177" s="125">
        <v>34</v>
      </c>
      <c r="AO177" s="125">
        <v>9</v>
      </c>
      <c r="AP177" s="125">
        <v>3594</v>
      </c>
      <c r="AQ177" s="125">
        <v>1952</v>
      </c>
      <c r="AR177" s="125">
        <v>1267</v>
      </c>
      <c r="AS177" s="125" t="s">
        <v>370</v>
      </c>
      <c r="AT177" s="125">
        <v>2788</v>
      </c>
      <c r="AU177" s="125">
        <v>2051</v>
      </c>
      <c r="AV177" s="125">
        <v>2981</v>
      </c>
      <c r="AW177" s="125">
        <v>7735</v>
      </c>
      <c r="AX177" s="126"/>
      <c r="AY177" s="126"/>
      <c r="AZ177" s="126">
        <v>134</v>
      </c>
      <c r="BA177" s="126"/>
      <c r="BB177" s="125">
        <v>410</v>
      </c>
      <c r="BC177" s="125"/>
      <c r="BD177" s="125">
        <v>102</v>
      </c>
      <c r="BE177" s="125">
        <v>305</v>
      </c>
      <c r="BF177" s="125">
        <v>504</v>
      </c>
      <c r="BG177" s="125">
        <v>3</v>
      </c>
      <c r="BH177" s="125">
        <v>1</v>
      </c>
      <c r="BI177" s="125">
        <v>7154</v>
      </c>
      <c r="BJ177" s="125">
        <v>41</v>
      </c>
      <c r="BK177" s="125">
        <v>3404</v>
      </c>
      <c r="BL177" s="125"/>
      <c r="BM177" s="125">
        <v>365</v>
      </c>
      <c r="BN177" s="125">
        <v>77</v>
      </c>
      <c r="BO177" s="125">
        <v>36</v>
      </c>
      <c r="BP177" s="125">
        <v>35682</v>
      </c>
      <c r="BQ177" s="125">
        <v>9405</v>
      </c>
      <c r="BR177" s="125">
        <v>79</v>
      </c>
      <c r="BS177" s="125">
        <v>1871</v>
      </c>
      <c r="BT177" s="125">
        <v>232</v>
      </c>
      <c r="BU177" s="125"/>
      <c r="BV177" s="125">
        <v>7</v>
      </c>
      <c r="BW177" s="125">
        <v>127</v>
      </c>
      <c r="BX177" s="125"/>
      <c r="BY177" s="125">
        <v>48</v>
      </c>
      <c r="BZ177" s="125">
        <v>0</v>
      </c>
      <c r="CA177" s="125">
        <v>6453</v>
      </c>
      <c r="CB177" s="125">
        <v>13647</v>
      </c>
      <c r="CC177" s="125">
        <v>86176</v>
      </c>
      <c r="CD177" s="125">
        <v>138458</v>
      </c>
      <c r="CE177" s="125">
        <v>16353</v>
      </c>
      <c r="CF177" s="125">
        <v>14244</v>
      </c>
      <c r="CG177" s="125">
        <v>0</v>
      </c>
      <c r="CH177" s="125">
        <v>14</v>
      </c>
      <c r="CI177" s="125">
        <v>24</v>
      </c>
      <c r="CJ177" s="125">
        <v>92</v>
      </c>
      <c r="CK177" s="125"/>
      <c r="CL177" s="125"/>
      <c r="CM177" s="125"/>
      <c r="CN177" s="125"/>
      <c r="CO177" s="125"/>
      <c r="CP177" s="125"/>
      <c r="CQ177" s="125"/>
      <c r="CR177" s="125"/>
      <c r="CS177" s="125"/>
      <c r="CT177" s="125"/>
      <c r="CU177" s="125"/>
      <c r="CV177" s="125"/>
      <c r="CW177" s="125"/>
      <c r="CX177" s="125"/>
      <c r="CY177" s="125" t="s">
        <v>370</v>
      </c>
      <c r="CZ177" s="125" t="s">
        <v>370</v>
      </c>
      <c r="DA177" s="125" t="s">
        <v>370</v>
      </c>
      <c r="DB177" s="125">
        <v>0</v>
      </c>
      <c r="DC177" s="125">
        <v>0</v>
      </c>
      <c r="DD177" s="125">
        <v>0</v>
      </c>
      <c r="DE177">
        <f t="shared" si="38"/>
        <v>565390</v>
      </c>
      <c r="DG177" s="1">
        <f t="shared" si="52"/>
        <v>340425</v>
      </c>
      <c r="DH177" s="1">
        <f t="shared" si="39"/>
        <v>193263</v>
      </c>
      <c r="DI177" s="127">
        <f t="shared" si="40"/>
        <v>533688</v>
      </c>
      <c r="DK177" s="1">
        <f t="shared" si="41"/>
        <v>61089</v>
      </c>
      <c r="DL177" s="1">
        <f t="shared" si="42"/>
        <v>103159</v>
      </c>
      <c r="DM177" s="1">
        <f t="shared" si="43"/>
        <v>9822</v>
      </c>
      <c r="DN177" s="1">
        <f t="shared" si="44"/>
        <v>18927</v>
      </c>
      <c r="DO177" s="1">
        <f t="shared" si="45"/>
        <v>261708</v>
      </c>
      <c r="DP177" s="1">
        <f t="shared" si="46"/>
        <v>38023</v>
      </c>
      <c r="DQ177" s="1">
        <f t="shared" si="53"/>
        <v>0</v>
      </c>
      <c r="DR177" s="1">
        <f t="shared" si="47"/>
        <v>13673</v>
      </c>
      <c r="DS177" s="1">
        <f t="shared" si="48"/>
        <v>47</v>
      </c>
      <c r="DT177" s="1">
        <f t="shared" si="49"/>
        <v>11248</v>
      </c>
      <c r="DU177" s="1"/>
      <c r="DV177" s="1"/>
      <c r="DW177" s="1"/>
      <c r="DX177" s="1">
        <f t="shared" si="54"/>
        <v>517696</v>
      </c>
      <c r="DZ177" s="1">
        <f t="shared" si="55"/>
        <v>14244</v>
      </c>
      <c r="EA177" s="1">
        <f t="shared" si="50"/>
        <v>31973</v>
      </c>
      <c r="EC177" s="1">
        <f t="shared" si="56"/>
        <v>563913</v>
      </c>
      <c r="ED177" s="1">
        <f t="shared" si="51"/>
        <v>-1477</v>
      </c>
      <c r="EE177" s="1"/>
    </row>
    <row r="178" spans="1:135" x14ac:dyDescent="0.25">
      <c r="A178" s="124">
        <v>37622</v>
      </c>
      <c r="B178" s="125">
        <v>0</v>
      </c>
      <c r="C178" s="125">
        <v>0</v>
      </c>
      <c r="D178" s="125">
        <v>0</v>
      </c>
      <c r="E178" s="125" t="s">
        <v>370</v>
      </c>
      <c r="F178" s="125" t="s">
        <v>370</v>
      </c>
      <c r="G178" s="125">
        <v>6721</v>
      </c>
      <c r="H178" s="125">
        <v>12451</v>
      </c>
      <c r="I178" s="125">
        <v>3094</v>
      </c>
      <c r="J178" s="125">
        <v>10285</v>
      </c>
      <c r="K178" s="125"/>
      <c r="L178" s="125">
        <v>31397</v>
      </c>
      <c r="M178" s="125">
        <v>2935</v>
      </c>
      <c r="N178" s="125"/>
      <c r="O178" s="125">
        <v>1902</v>
      </c>
      <c r="P178" s="125">
        <v>8305</v>
      </c>
      <c r="Q178" s="125">
        <v>599</v>
      </c>
      <c r="R178" s="125">
        <v>8002</v>
      </c>
      <c r="S178" s="125">
        <v>9822</v>
      </c>
      <c r="T178" s="125"/>
      <c r="U178" s="125"/>
      <c r="V178" s="125">
        <v>477</v>
      </c>
      <c r="W178" s="125">
        <v>7472</v>
      </c>
      <c r="X178" s="125">
        <v>477</v>
      </c>
      <c r="Y178" s="125">
        <v>24</v>
      </c>
      <c r="Z178" s="126"/>
      <c r="AA178" s="125">
        <v>7</v>
      </c>
      <c r="AB178" s="125">
        <v>57</v>
      </c>
      <c r="AC178" s="125">
        <v>21</v>
      </c>
      <c r="AD178" s="125">
        <v>25</v>
      </c>
      <c r="AE178" s="125">
        <v>33</v>
      </c>
      <c r="AF178" s="125">
        <v>44</v>
      </c>
      <c r="AG178" s="125"/>
      <c r="AH178" s="125"/>
      <c r="AI178" s="125">
        <v>3</v>
      </c>
      <c r="AJ178" s="125">
        <v>5906</v>
      </c>
      <c r="AK178" s="125">
        <v>83867</v>
      </c>
      <c r="AL178" s="125">
        <v>3379</v>
      </c>
      <c r="AM178" s="125">
        <v>11025</v>
      </c>
      <c r="AN178" s="125">
        <v>35</v>
      </c>
      <c r="AO178" s="125">
        <v>10</v>
      </c>
      <c r="AP178" s="125">
        <v>95</v>
      </c>
      <c r="AQ178" s="125">
        <v>6</v>
      </c>
      <c r="AR178" s="125">
        <v>1242</v>
      </c>
      <c r="AS178" s="125" t="s">
        <v>370</v>
      </c>
      <c r="AT178" s="125">
        <v>2789</v>
      </c>
      <c r="AU178" s="125">
        <v>2038</v>
      </c>
      <c r="AV178" s="125">
        <v>2967</v>
      </c>
      <c r="AW178" s="125">
        <v>7747</v>
      </c>
      <c r="AX178" s="126"/>
      <c r="AY178" s="126"/>
      <c r="AZ178" s="126">
        <v>134</v>
      </c>
      <c r="BA178" s="126"/>
      <c r="BB178" s="125">
        <v>421</v>
      </c>
      <c r="BC178" s="125"/>
      <c r="BD178" s="125">
        <v>93</v>
      </c>
      <c r="BE178" s="125">
        <v>285</v>
      </c>
      <c r="BF178" s="125">
        <v>504</v>
      </c>
      <c r="BG178" s="125">
        <v>3</v>
      </c>
      <c r="BH178" s="125">
        <v>1</v>
      </c>
      <c r="BI178" s="125">
        <v>7249</v>
      </c>
      <c r="BJ178" s="125">
        <v>38</v>
      </c>
      <c r="BK178" s="125">
        <v>3371</v>
      </c>
      <c r="BL178" s="125"/>
      <c r="BM178" s="125">
        <v>324</v>
      </c>
      <c r="BN178" s="125">
        <v>68</v>
      </c>
      <c r="BO178" s="125">
        <v>47</v>
      </c>
      <c r="BP178" s="125">
        <v>36089</v>
      </c>
      <c r="BQ178" s="125">
        <v>9175</v>
      </c>
      <c r="BR178" s="125">
        <v>80</v>
      </c>
      <c r="BS178" s="125">
        <v>1955</v>
      </c>
      <c r="BT178" s="125">
        <v>226</v>
      </c>
      <c r="BU178" s="125"/>
      <c r="BV178" s="125">
        <v>4</v>
      </c>
      <c r="BW178" s="125">
        <v>124</v>
      </c>
      <c r="BX178" s="125"/>
      <c r="BY178" s="125">
        <v>46</v>
      </c>
      <c r="BZ178" s="125">
        <v>0</v>
      </c>
      <c r="CA178" s="125">
        <v>6934</v>
      </c>
      <c r="CB178" s="125">
        <v>13662</v>
      </c>
      <c r="CC178" s="125">
        <v>87599</v>
      </c>
      <c r="CD178" s="125">
        <v>140788</v>
      </c>
      <c r="CE178" s="125">
        <v>16352</v>
      </c>
      <c r="CF178" s="125">
        <v>15285</v>
      </c>
      <c r="CG178" s="125">
        <v>0</v>
      </c>
      <c r="CH178" s="125">
        <v>11</v>
      </c>
      <c r="CI178" s="125">
        <v>23</v>
      </c>
      <c r="CJ178" s="125">
        <v>89</v>
      </c>
      <c r="CK178" s="125"/>
      <c r="CL178" s="125"/>
      <c r="CM178" s="125"/>
      <c r="CN178" s="125"/>
      <c r="CO178" s="125"/>
      <c r="CP178" s="125"/>
      <c r="CQ178" s="125"/>
      <c r="CR178" s="125"/>
      <c r="CS178" s="125"/>
      <c r="CT178" s="125"/>
      <c r="CU178" s="125"/>
      <c r="CV178" s="125"/>
      <c r="CW178" s="125"/>
      <c r="CX178" s="125"/>
      <c r="CY178" s="125" t="s">
        <v>370</v>
      </c>
      <c r="CZ178" s="125" t="s">
        <v>370</v>
      </c>
      <c r="DA178" s="125" t="s">
        <v>370</v>
      </c>
      <c r="DB178" s="125">
        <v>0</v>
      </c>
      <c r="DC178" s="125">
        <v>0</v>
      </c>
      <c r="DD178" s="125">
        <v>0</v>
      </c>
      <c r="DE178">
        <f t="shared" si="38"/>
        <v>566239</v>
      </c>
      <c r="DG178" s="1">
        <f t="shared" si="52"/>
        <v>348109</v>
      </c>
      <c r="DH178" s="1">
        <f t="shared" si="39"/>
        <v>194463</v>
      </c>
      <c r="DI178" s="127">
        <f t="shared" si="40"/>
        <v>542572</v>
      </c>
      <c r="DK178" s="1">
        <f t="shared" si="41"/>
        <v>61149</v>
      </c>
      <c r="DL178" s="1">
        <f t="shared" si="42"/>
        <v>103425</v>
      </c>
      <c r="DM178" s="1">
        <f t="shared" si="43"/>
        <v>9786</v>
      </c>
      <c r="DN178" s="1">
        <f t="shared" si="44"/>
        <v>19601</v>
      </c>
      <c r="DO178" s="1">
        <f t="shared" si="45"/>
        <v>266638</v>
      </c>
      <c r="DP178" s="1">
        <f t="shared" si="46"/>
        <v>38464</v>
      </c>
      <c r="DQ178" s="1">
        <f t="shared" si="53"/>
        <v>0</v>
      </c>
      <c r="DR178" s="1">
        <f t="shared" si="47"/>
        <v>14076</v>
      </c>
      <c r="DS178" s="1">
        <f t="shared" si="48"/>
        <v>122</v>
      </c>
      <c r="DT178" s="1">
        <f t="shared" si="49"/>
        <v>11328</v>
      </c>
      <c r="DU178" s="1"/>
      <c r="DV178" s="1"/>
      <c r="DW178" s="1"/>
      <c r="DX178" s="1">
        <f t="shared" si="54"/>
        <v>524589</v>
      </c>
      <c r="DZ178" s="1">
        <f t="shared" si="55"/>
        <v>15285</v>
      </c>
      <c r="EA178" s="1">
        <f t="shared" si="50"/>
        <v>32551</v>
      </c>
      <c r="EC178" s="1">
        <f t="shared" si="56"/>
        <v>572425</v>
      </c>
      <c r="ED178" s="1">
        <f t="shared" si="51"/>
        <v>6186</v>
      </c>
      <c r="EE178" s="1"/>
    </row>
    <row r="179" spans="1:135" x14ac:dyDescent="0.25">
      <c r="A179" s="124">
        <v>37653</v>
      </c>
      <c r="B179" s="125">
        <v>0</v>
      </c>
      <c r="C179" s="125">
        <v>0</v>
      </c>
      <c r="D179" s="125">
        <v>0</v>
      </c>
      <c r="E179" s="125" t="s">
        <v>370</v>
      </c>
      <c r="F179" s="125" t="s">
        <v>370</v>
      </c>
      <c r="G179" s="125">
        <v>6937</v>
      </c>
      <c r="H179" s="125">
        <v>12674</v>
      </c>
      <c r="I179" s="125">
        <v>3099</v>
      </c>
      <c r="J179" s="125">
        <v>10206</v>
      </c>
      <c r="K179" s="125"/>
      <c r="L179" s="125">
        <v>31446</v>
      </c>
      <c r="M179" s="125">
        <v>2927</v>
      </c>
      <c r="N179" s="125"/>
      <c r="O179" s="125">
        <v>1861</v>
      </c>
      <c r="P179" s="125">
        <v>8295</v>
      </c>
      <c r="Q179" s="125">
        <v>596</v>
      </c>
      <c r="R179" s="125">
        <v>7929</v>
      </c>
      <c r="S179" s="125">
        <v>9786</v>
      </c>
      <c r="T179" s="125"/>
      <c r="U179" s="125"/>
      <c r="V179" s="125">
        <v>451</v>
      </c>
      <c r="W179" s="125">
        <v>7644</v>
      </c>
      <c r="X179" s="125">
        <v>479</v>
      </c>
      <c r="Y179" s="125">
        <v>24</v>
      </c>
      <c r="Z179" s="126"/>
      <c r="AA179" s="125">
        <v>6</v>
      </c>
      <c r="AB179" s="125">
        <v>60</v>
      </c>
      <c r="AC179" s="125">
        <v>21</v>
      </c>
      <c r="AD179" s="125">
        <v>26</v>
      </c>
      <c r="AE179" s="125">
        <v>30</v>
      </c>
      <c r="AF179" s="125">
        <v>44</v>
      </c>
      <c r="AG179" s="125"/>
      <c r="AH179" s="125"/>
      <c r="AI179" s="125">
        <v>3</v>
      </c>
      <c r="AJ179" s="125">
        <v>6030</v>
      </c>
      <c r="AK179" s="125">
        <v>84283</v>
      </c>
      <c r="AL179" s="125">
        <v>3346</v>
      </c>
      <c r="AM179" s="125">
        <v>11083</v>
      </c>
      <c r="AN179" s="125">
        <v>33</v>
      </c>
      <c r="AO179" s="125">
        <v>10</v>
      </c>
      <c r="AP179" s="125">
        <v>624</v>
      </c>
      <c r="AQ179" s="125">
        <v>0</v>
      </c>
      <c r="AR179" s="125">
        <v>1220</v>
      </c>
      <c r="AS179" s="125" t="s">
        <v>370</v>
      </c>
      <c r="AT179" s="125">
        <v>2808</v>
      </c>
      <c r="AU179" s="125">
        <v>2042</v>
      </c>
      <c r="AV179" s="125">
        <v>2976</v>
      </c>
      <c r="AW179" s="125">
        <v>7840</v>
      </c>
      <c r="AX179" s="126"/>
      <c r="AY179" s="126"/>
      <c r="AZ179" s="126">
        <v>136</v>
      </c>
      <c r="BA179" s="126"/>
      <c r="BB179" s="125">
        <v>404</v>
      </c>
      <c r="BC179" s="125"/>
      <c r="BD179" s="125">
        <v>88</v>
      </c>
      <c r="BE179" s="125">
        <v>261</v>
      </c>
      <c r="BF179" s="125">
        <v>499</v>
      </c>
      <c r="BG179" s="125">
        <v>3</v>
      </c>
      <c r="BH179" s="125">
        <v>1</v>
      </c>
      <c r="BI179" s="125">
        <v>7341</v>
      </c>
      <c r="BJ179" s="125">
        <v>39</v>
      </c>
      <c r="BK179" s="125">
        <v>3365</v>
      </c>
      <c r="BL179" s="125"/>
      <c r="BM179" s="125">
        <v>292</v>
      </c>
      <c r="BN179" s="125">
        <v>71</v>
      </c>
      <c r="BO179" s="125">
        <v>122</v>
      </c>
      <c r="BP179" s="125">
        <v>36992</v>
      </c>
      <c r="BQ179" s="125">
        <v>9082</v>
      </c>
      <c r="BR179" s="125">
        <v>81</v>
      </c>
      <c r="BS179" s="125">
        <v>2062</v>
      </c>
      <c r="BT179" s="125">
        <v>208</v>
      </c>
      <c r="BU179" s="125"/>
      <c r="BV179" s="125">
        <v>5</v>
      </c>
      <c r="BW179" s="125">
        <v>123</v>
      </c>
      <c r="BX179" s="125"/>
      <c r="BY179" s="125">
        <v>39</v>
      </c>
      <c r="BZ179" s="125">
        <v>0</v>
      </c>
      <c r="CA179" s="125">
        <v>7624</v>
      </c>
      <c r="CB179" s="125">
        <v>14065</v>
      </c>
      <c r="CC179" s="125">
        <v>89355</v>
      </c>
      <c r="CD179" s="125">
        <v>143350</v>
      </c>
      <c r="CE179" s="125">
        <v>16411</v>
      </c>
      <c r="CF179" s="125">
        <v>16508</v>
      </c>
      <c r="CG179" s="125">
        <v>0</v>
      </c>
      <c r="CH179" s="125">
        <v>11</v>
      </c>
      <c r="CI179" s="125">
        <v>21</v>
      </c>
      <c r="CJ179" s="125">
        <v>90</v>
      </c>
      <c r="CK179" s="125"/>
      <c r="CL179" s="125"/>
      <c r="CM179" s="125"/>
      <c r="CN179" s="125"/>
      <c r="CO179" s="125"/>
      <c r="CP179" s="125"/>
      <c r="CQ179" s="125"/>
      <c r="CR179" s="125"/>
      <c r="CS179" s="125"/>
      <c r="CT179" s="125"/>
      <c r="CU179" s="125"/>
      <c r="CV179" s="125"/>
      <c r="CW179" s="125"/>
      <c r="CX179" s="125"/>
      <c r="CY179" s="125" t="s">
        <v>370</v>
      </c>
      <c r="CZ179" s="125" t="s">
        <v>370</v>
      </c>
      <c r="DA179" s="125" t="s">
        <v>370</v>
      </c>
      <c r="DB179" s="125">
        <v>0</v>
      </c>
      <c r="DC179" s="125">
        <v>0</v>
      </c>
      <c r="DD179" s="125">
        <v>0</v>
      </c>
      <c r="DE179">
        <f t="shared" si="38"/>
        <v>575488</v>
      </c>
      <c r="DG179" s="1">
        <f t="shared" si="52"/>
        <v>350299</v>
      </c>
      <c r="DH179" s="1">
        <f t="shared" si="39"/>
        <v>195646</v>
      </c>
      <c r="DI179" s="127">
        <f t="shared" si="40"/>
        <v>545945</v>
      </c>
      <c r="DK179" s="1">
        <f t="shared" si="41"/>
        <v>61060</v>
      </c>
      <c r="DL179" s="1">
        <f t="shared" si="42"/>
        <v>103927</v>
      </c>
      <c r="DM179" s="1">
        <f t="shared" si="43"/>
        <v>9748</v>
      </c>
      <c r="DN179" s="1">
        <f t="shared" si="44"/>
        <v>20857</v>
      </c>
      <c r="DO179" s="1">
        <f t="shared" si="45"/>
        <v>268045</v>
      </c>
      <c r="DP179" s="1">
        <f t="shared" si="46"/>
        <v>39437</v>
      </c>
      <c r="DQ179" s="1">
        <f t="shared" si="53"/>
        <v>0</v>
      </c>
      <c r="DR179" s="1">
        <f t="shared" si="47"/>
        <v>14019</v>
      </c>
      <c r="DS179" s="1">
        <f t="shared" si="48"/>
        <v>199</v>
      </c>
      <c r="DT179" s="1">
        <f t="shared" si="49"/>
        <v>11300</v>
      </c>
      <c r="DU179" s="1"/>
      <c r="DV179" s="1"/>
      <c r="DW179" s="1"/>
      <c r="DX179" s="1">
        <f t="shared" si="54"/>
        <v>528592</v>
      </c>
      <c r="DZ179" s="1">
        <f t="shared" si="55"/>
        <v>16508</v>
      </c>
      <c r="EA179" s="1">
        <f t="shared" si="50"/>
        <v>32916</v>
      </c>
      <c r="EC179" s="1">
        <f t="shared" si="56"/>
        <v>578016</v>
      </c>
      <c r="ED179" s="1">
        <f t="shared" si="51"/>
        <v>2528</v>
      </c>
      <c r="EE179" s="1"/>
    </row>
    <row r="180" spans="1:135" x14ac:dyDescent="0.25">
      <c r="A180" s="124">
        <v>37681</v>
      </c>
      <c r="B180" s="125">
        <v>0</v>
      </c>
      <c r="C180" s="125">
        <v>0</v>
      </c>
      <c r="D180" s="125">
        <v>0</v>
      </c>
      <c r="E180" s="125" t="s">
        <v>370</v>
      </c>
      <c r="F180" s="125" t="s">
        <v>370</v>
      </c>
      <c r="G180" s="125">
        <v>7121</v>
      </c>
      <c r="H180" s="125">
        <v>12948</v>
      </c>
      <c r="I180" s="125">
        <v>3052</v>
      </c>
      <c r="J180" s="125">
        <v>10000</v>
      </c>
      <c r="K180" s="125"/>
      <c r="L180" s="125">
        <v>31369</v>
      </c>
      <c r="M180" s="125">
        <v>2915</v>
      </c>
      <c r="N180" s="125"/>
      <c r="O180" s="125">
        <v>1849</v>
      </c>
      <c r="P180" s="125">
        <v>8284</v>
      </c>
      <c r="Q180" s="125">
        <v>595</v>
      </c>
      <c r="R180" s="125">
        <v>7860</v>
      </c>
      <c r="S180" s="125">
        <v>9748</v>
      </c>
      <c r="T180" s="125"/>
      <c r="U180" s="125"/>
      <c r="V180" s="125">
        <v>422</v>
      </c>
      <c r="W180" s="125">
        <v>7766</v>
      </c>
      <c r="X180" s="125">
        <v>475</v>
      </c>
      <c r="Y180" s="125">
        <v>26</v>
      </c>
      <c r="Z180" s="126"/>
      <c r="AA180" s="125">
        <v>7</v>
      </c>
      <c r="AB180" s="125">
        <v>62</v>
      </c>
      <c r="AC180" s="125">
        <v>18</v>
      </c>
      <c r="AD180" s="125">
        <v>26</v>
      </c>
      <c r="AE180" s="125">
        <v>30</v>
      </c>
      <c r="AF180" s="125">
        <v>47</v>
      </c>
      <c r="AG180" s="125"/>
      <c r="AH180" s="125"/>
      <c r="AI180" s="125">
        <v>3</v>
      </c>
      <c r="AJ180" s="125">
        <v>6122</v>
      </c>
      <c r="AK180" s="125">
        <v>84206</v>
      </c>
      <c r="AL180" s="125">
        <v>3368</v>
      </c>
      <c r="AM180" s="125">
        <v>11190</v>
      </c>
      <c r="AN180" s="125">
        <v>35</v>
      </c>
      <c r="AO180" s="125">
        <v>11</v>
      </c>
      <c r="AP180" s="125">
        <v>1762</v>
      </c>
      <c r="AQ180" s="125">
        <v>0</v>
      </c>
      <c r="AR180" s="125">
        <v>1210</v>
      </c>
      <c r="AS180" s="125" t="s">
        <v>370</v>
      </c>
      <c r="AT180" s="125">
        <v>2821</v>
      </c>
      <c r="AU180" s="125">
        <v>2044</v>
      </c>
      <c r="AV180" s="125">
        <v>2984</v>
      </c>
      <c r="AW180" s="125">
        <v>7847</v>
      </c>
      <c r="AX180" s="126"/>
      <c r="AY180" s="126"/>
      <c r="AZ180" s="126">
        <v>144</v>
      </c>
      <c r="BA180" s="126"/>
      <c r="BB180" s="125">
        <v>400</v>
      </c>
      <c r="BC180" s="125"/>
      <c r="BD180" s="125">
        <v>76</v>
      </c>
      <c r="BE180" s="125">
        <v>238</v>
      </c>
      <c r="BF180" s="125">
        <v>502</v>
      </c>
      <c r="BG180" s="125">
        <v>3</v>
      </c>
      <c r="BH180" s="125">
        <v>1</v>
      </c>
      <c r="BI180" s="125">
        <v>7351</v>
      </c>
      <c r="BJ180" s="125">
        <v>40</v>
      </c>
      <c r="BK180" s="125">
        <v>3328</v>
      </c>
      <c r="BL180" s="125"/>
      <c r="BM180" s="125">
        <v>275</v>
      </c>
      <c r="BN180" s="125">
        <v>74</v>
      </c>
      <c r="BO180" s="125">
        <v>199</v>
      </c>
      <c r="BP180" s="125">
        <v>36807</v>
      </c>
      <c r="BQ180" s="125">
        <v>8685</v>
      </c>
      <c r="BR180" s="125">
        <v>78</v>
      </c>
      <c r="BS180" s="125">
        <v>2165</v>
      </c>
      <c r="BT180" s="125">
        <v>205</v>
      </c>
      <c r="BU180" s="125"/>
      <c r="BV180" s="125">
        <v>7</v>
      </c>
      <c r="BW180" s="125">
        <v>119</v>
      </c>
      <c r="BX180" s="125"/>
      <c r="BY180" s="125">
        <v>35</v>
      </c>
      <c r="BZ180" s="125">
        <v>0</v>
      </c>
      <c r="CA180" s="125">
        <v>8118</v>
      </c>
      <c r="CB180" s="125">
        <v>14011</v>
      </c>
      <c r="CC180" s="125">
        <v>89916</v>
      </c>
      <c r="CD180" s="125">
        <v>144174</v>
      </c>
      <c r="CE180" s="125">
        <v>16370</v>
      </c>
      <c r="CF180" s="125">
        <v>17410</v>
      </c>
      <c r="CG180" s="125">
        <v>0</v>
      </c>
      <c r="CH180" s="125">
        <v>8</v>
      </c>
      <c r="CI180" s="125">
        <v>20</v>
      </c>
      <c r="CJ180" s="125">
        <v>84</v>
      </c>
      <c r="CK180" s="125"/>
      <c r="CL180" s="125"/>
      <c r="CM180" s="125"/>
      <c r="CN180" s="125"/>
      <c r="CO180" s="125"/>
      <c r="CP180" s="125"/>
      <c r="CQ180" s="125"/>
      <c r="CR180" s="125"/>
      <c r="CS180" s="125"/>
      <c r="CT180" s="125"/>
      <c r="CU180" s="125"/>
      <c r="CV180" s="125"/>
      <c r="CW180" s="125"/>
      <c r="CX180" s="125"/>
      <c r="CY180" s="125" t="s">
        <v>370</v>
      </c>
      <c r="CZ180" s="125" t="s">
        <v>370</v>
      </c>
      <c r="DA180" s="125" t="s">
        <v>370</v>
      </c>
      <c r="DB180" s="125">
        <v>0</v>
      </c>
      <c r="DC180" s="125">
        <v>0</v>
      </c>
      <c r="DD180" s="125">
        <v>0</v>
      </c>
      <c r="DE180">
        <f t="shared" si="38"/>
        <v>579066</v>
      </c>
      <c r="DG180" s="1">
        <f t="shared" si="52"/>
        <v>353661</v>
      </c>
      <c r="DH180" s="1">
        <f t="shared" si="39"/>
        <v>196089</v>
      </c>
      <c r="DI180" s="127">
        <f t="shared" si="40"/>
        <v>549750</v>
      </c>
      <c r="DK180" s="1">
        <f t="shared" si="41"/>
        <v>61025</v>
      </c>
      <c r="DL180" s="1">
        <f t="shared" si="42"/>
        <v>103981</v>
      </c>
      <c r="DM180" s="1">
        <f t="shared" si="43"/>
        <v>9701</v>
      </c>
      <c r="DN180" s="1">
        <f t="shared" si="44"/>
        <v>21510</v>
      </c>
      <c r="DO180" s="1">
        <f t="shared" si="45"/>
        <v>270035</v>
      </c>
      <c r="DP180" s="1">
        <f t="shared" si="46"/>
        <v>39326</v>
      </c>
      <c r="DQ180" s="1">
        <f t="shared" si="53"/>
        <v>0</v>
      </c>
      <c r="DR180" s="1">
        <f t="shared" si="47"/>
        <v>14284</v>
      </c>
      <c r="DS180" s="1">
        <f t="shared" si="48"/>
        <v>301</v>
      </c>
      <c r="DT180" s="1">
        <f t="shared" si="49"/>
        <v>11354</v>
      </c>
      <c r="DU180" s="1"/>
      <c r="DV180" s="1"/>
      <c r="DW180" s="1"/>
      <c r="DX180" s="1">
        <f t="shared" si="54"/>
        <v>531517</v>
      </c>
      <c r="DZ180" s="1">
        <f t="shared" si="55"/>
        <v>17410</v>
      </c>
      <c r="EA180" s="1">
        <f t="shared" si="50"/>
        <v>33121</v>
      </c>
      <c r="EC180" s="1">
        <f t="shared" si="56"/>
        <v>582048</v>
      </c>
      <c r="ED180" s="1">
        <f t="shared" si="51"/>
        <v>2982</v>
      </c>
      <c r="EE180" s="1"/>
    </row>
    <row r="181" spans="1:135" x14ac:dyDescent="0.25">
      <c r="A181" s="124">
        <v>37712</v>
      </c>
      <c r="B181" s="125">
        <v>0</v>
      </c>
      <c r="C181" s="125">
        <v>0</v>
      </c>
      <c r="D181" s="125">
        <v>0</v>
      </c>
      <c r="E181" s="125" t="s">
        <v>370</v>
      </c>
      <c r="F181" s="125" t="s">
        <v>370</v>
      </c>
      <c r="G181" s="125">
        <v>7251</v>
      </c>
      <c r="H181" s="125">
        <v>13117</v>
      </c>
      <c r="I181" s="125">
        <v>3021</v>
      </c>
      <c r="J181" s="125">
        <v>9537</v>
      </c>
      <c r="K181" s="125"/>
      <c r="L181" s="125">
        <v>31328</v>
      </c>
      <c r="M181" s="125">
        <v>2906</v>
      </c>
      <c r="N181" s="125"/>
      <c r="O181" s="125">
        <v>1781</v>
      </c>
      <c r="P181" s="125">
        <v>8329</v>
      </c>
      <c r="Q181" s="125">
        <v>590</v>
      </c>
      <c r="R181" s="125">
        <v>7731</v>
      </c>
      <c r="S181" s="125">
        <v>9701</v>
      </c>
      <c r="T181" s="125"/>
      <c r="U181" s="125"/>
      <c r="V181" s="125">
        <v>422</v>
      </c>
      <c r="W181" s="125">
        <v>7938</v>
      </c>
      <c r="X181" s="125">
        <v>465</v>
      </c>
      <c r="Y181" s="125">
        <v>27</v>
      </c>
      <c r="Z181" s="126"/>
      <c r="AA181" s="125">
        <v>7</v>
      </c>
      <c r="AB181" s="125">
        <v>61</v>
      </c>
      <c r="AC181" s="125">
        <v>17</v>
      </c>
      <c r="AD181" s="125">
        <v>27</v>
      </c>
      <c r="AE181" s="125">
        <v>30</v>
      </c>
      <c r="AF181" s="125">
        <v>47</v>
      </c>
      <c r="AG181" s="125"/>
      <c r="AH181" s="125"/>
      <c r="AI181" s="125">
        <v>4</v>
      </c>
      <c r="AJ181" s="125">
        <v>6245</v>
      </c>
      <c r="AK181" s="125">
        <v>84006</v>
      </c>
      <c r="AL181" s="125">
        <v>3344</v>
      </c>
      <c r="AM181" s="125">
        <v>11244</v>
      </c>
      <c r="AN181" s="125">
        <v>39</v>
      </c>
      <c r="AO181" s="125">
        <v>9</v>
      </c>
      <c r="AP181" s="125">
        <v>2353</v>
      </c>
      <c r="AQ181" s="125">
        <v>0</v>
      </c>
      <c r="AR181" s="125">
        <v>1204</v>
      </c>
      <c r="AS181" s="125" t="s">
        <v>370</v>
      </c>
      <c r="AT181" s="125">
        <v>2843</v>
      </c>
      <c r="AU181" s="125">
        <v>2050</v>
      </c>
      <c r="AV181" s="125">
        <v>2953</v>
      </c>
      <c r="AW181" s="125">
        <v>7857</v>
      </c>
      <c r="AX181" s="126"/>
      <c r="AY181" s="126"/>
      <c r="AZ181" s="126">
        <v>152</v>
      </c>
      <c r="BA181" s="126"/>
      <c r="BB181" s="125">
        <v>379</v>
      </c>
      <c r="BC181" s="125"/>
      <c r="BD181" s="125">
        <v>62</v>
      </c>
      <c r="BE181" s="125">
        <v>190</v>
      </c>
      <c r="BF181" s="125">
        <v>498</v>
      </c>
      <c r="BG181" s="125">
        <v>2</v>
      </c>
      <c r="BH181" s="125">
        <v>1</v>
      </c>
      <c r="BI181" s="125">
        <v>7404</v>
      </c>
      <c r="BJ181" s="125">
        <v>39</v>
      </c>
      <c r="BK181" s="125">
        <v>3333</v>
      </c>
      <c r="BL181" s="125"/>
      <c r="BM181" s="125">
        <v>246</v>
      </c>
      <c r="BN181" s="125">
        <v>74</v>
      </c>
      <c r="BO181" s="125">
        <v>301</v>
      </c>
      <c r="BP181" s="125">
        <v>36703</v>
      </c>
      <c r="BQ181" s="125">
        <v>8130</v>
      </c>
      <c r="BR181" s="125">
        <v>79</v>
      </c>
      <c r="BS181" s="125">
        <v>2306</v>
      </c>
      <c r="BT181" s="125">
        <v>174</v>
      </c>
      <c r="BU181" s="125"/>
      <c r="BV181" s="125">
        <v>8</v>
      </c>
      <c r="BW181" s="125">
        <v>119</v>
      </c>
      <c r="BX181" s="125"/>
      <c r="BY181" s="125">
        <v>34</v>
      </c>
      <c r="BZ181" s="125">
        <v>0</v>
      </c>
      <c r="CA181" s="125">
        <v>8647</v>
      </c>
      <c r="CB181" s="125">
        <v>14275</v>
      </c>
      <c r="CC181" s="125">
        <v>90900</v>
      </c>
      <c r="CD181" s="125">
        <v>145281</v>
      </c>
      <c r="CE181" s="125">
        <v>16374</v>
      </c>
      <c r="CF181" s="125">
        <v>18368</v>
      </c>
      <c r="CG181" s="125">
        <v>0</v>
      </c>
      <c r="CH181" s="125">
        <v>9</v>
      </c>
      <c r="CI181" s="125">
        <v>20</v>
      </c>
      <c r="CJ181" s="125">
        <v>84</v>
      </c>
      <c r="CK181" s="125"/>
      <c r="CL181" s="125"/>
      <c r="CM181" s="125"/>
      <c r="CN181" s="125"/>
      <c r="CO181" s="125"/>
      <c r="CP181" s="125"/>
      <c r="CQ181" s="125"/>
      <c r="CR181" s="125"/>
      <c r="CS181" s="125"/>
      <c r="CT181" s="125"/>
      <c r="CU181" s="125"/>
      <c r="CV181" s="125"/>
      <c r="CW181" s="125"/>
      <c r="CX181" s="125"/>
      <c r="CY181" s="125" t="s">
        <v>370</v>
      </c>
      <c r="CZ181" s="125" t="s">
        <v>370</v>
      </c>
      <c r="DA181" s="125" t="s">
        <v>370</v>
      </c>
      <c r="DB181" s="125">
        <v>0</v>
      </c>
      <c r="DC181" s="125">
        <v>0</v>
      </c>
      <c r="DD181" s="125">
        <v>0</v>
      </c>
      <c r="DE181">
        <f t="shared" si="38"/>
        <v>582676</v>
      </c>
      <c r="DG181" s="1">
        <f t="shared" si="52"/>
        <v>359461</v>
      </c>
      <c r="DH181" s="1">
        <f t="shared" si="39"/>
        <v>197359</v>
      </c>
      <c r="DI181" s="127">
        <f t="shared" si="40"/>
        <v>556820</v>
      </c>
      <c r="DK181" s="1">
        <f t="shared" si="41"/>
        <v>61345</v>
      </c>
      <c r="DL181" s="1">
        <f t="shared" si="42"/>
        <v>103853</v>
      </c>
      <c r="DM181" s="1">
        <f t="shared" si="43"/>
        <v>9721</v>
      </c>
      <c r="DN181" s="1">
        <f t="shared" si="44"/>
        <v>21927</v>
      </c>
      <c r="DO181" s="1">
        <f t="shared" si="45"/>
        <v>274032</v>
      </c>
      <c r="DP181" s="1">
        <f t="shared" si="46"/>
        <v>39319</v>
      </c>
      <c r="DQ181" s="1">
        <f t="shared" si="53"/>
        <v>0</v>
      </c>
      <c r="DR181" s="1">
        <f t="shared" si="47"/>
        <v>14687</v>
      </c>
      <c r="DS181" s="1">
        <f t="shared" si="48"/>
        <v>414</v>
      </c>
      <c r="DT181" s="1">
        <f t="shared" si="49"/>
        <v>11345</v>
      </c>
      <c r="DU181" s="1"/>
      <c r="DV181" s="1"/>
      <c r="DW181" s="1"/>
      <c r="DX181" s="1">
        <f t="shared" si="54"/>
        <v>536643</v>
      </c>
      <c r="DZ181" s="1">
        <f t="shared" si="55"/>
        <v>18368</v>
      </c>
      <c r="EA181" s="1">
        <f t="shared" si="50"/>
        <v>32926</v>
      </c>
      <c r="EC181" s="1">
        <f t="shared" si="56"/>
        <v>587937</v>
      </c>
      <c r="ED181" s="1">
        <f t="shared" si="51"/>
        <v>5261</v>
      </c>
      <c r="EE181" s="1"/>
    </row>
    <row r="182" spans="1:135" x14ac:dyDescent="0.25">
      <c r="A182" s="124">
        <v>37742</v>
      </c>
      <c r="B182" s="125">
        <v>0</v>
      </c>
      <c r="C182" s="125">
        <v>0</v>
      </c>
      <c r="D182" s="125">
        <v>0</v>
      </c>
      <c r="E182" s="125" t="s">
        <v>370</v>
      </c>
      <c r="F182" s="125" t="s">
        <v>370</v>
      </c>
      <c r="G182" s="125">
        <v>7351</v>
      </c>
      <c r="H182" s="125">
        <v>13297</v>
      </c>
      <c r="I182" s="125">
        <v>2977</v>
      </c>
      <c r="J182" s="125">
        <v>9079</v>
      </c>
      <c r="K182" s="125"/>
      <c r="L182" s="125">
        <v>31325</v>
      </c>
      <c r="M182" s="125">
        <v>2906</v>
      </c>
      <c r="N182" s="125"/>
      <c r="O182" s="125">
        <v>1781</v>
      </c>
      <c r="P182" s="125">
        <v>8411</v>
      </c>
      <c r="Q182" s="125">
        <v>585</v>
      </c>
      <c r="R182" s="125">
        <v>7747</v>
      </c>
      <c r="S182" s="125">
        <v>9721</v>
      </c>
      <c r="T182" s="125"/>
      <c r="U182" s="125"/>
      <c r="V182" s="125">
        <v>425</v>
      </c>
      <c r="W182" s="125">
        <v>8165</v>
      </c>
      <c r="X182" s="125">
        <v>464</v>
      </c>
      <c r="Y182" s="125">
        <v>26</v>
      </c>
      <c r="Z182" s="126"/>
      <c r="AA182" s="125">
        <v>7</v>
      </c>
      <c r="AB182" s="125">
        <v>61</v>
      </c>
      <c r="AC182" s="125">
        <v>15</v>
      </c>
      <c r="AD182" s="125">
        <v>28</v>
      </c>
      <c r="AE182" s="125">
        <v>29</v>
      </c>
      <c r="AF182" s="125">
        <v>48</v>
      </c>
      <c r="AG182" s="125"/>
      <c r="AH182" s="125"/>
      <c r="AI182" s="125">
        <v>4</v>
      </c>
      <c r="AJ182" s="125">
        <v>6410</v>
      </c>
      <c r="AK182" s="125">
        <v>84260</v>
      </c>
      <c r="AL182" s="125">
        <v>3363</v>
      </c>
      <c r="AM182" s="125">
        <v>11349</v>
      </c>
      <c r="AN182" s="125">
        <v>41</v>
      </c>
      <c r="AO182" s="125">
        <v>9</v>
      </c>
      <c r="AP182" s="125">
        <v>2646</v>
      </c>
      <c r="AQ182" s="125">
        <v>0</v>
      </c>
      <c r="AR182" s="125">
        <v>1241</v>
      </c>
      <c r="AS182" s="125" t="s">
        <v>370</v>
      </c>
      <c r="AT182" s="125">
        <v>2869</v>
      </c>
      <c r="AU182" s="125">
        <v>2046</v>
      </c>
      <c r="AV182" s="125">
        <v>2959</v>
      </c>
      <c r="AW182" s="125">
        <v>7875</v>
      </c>
      <c r="AX182" s="126"/>
      <c r="AY182" s="126"/>
      <c r="AZ182" s="126">
        <v>154</v>
      </c>
      <c r="BA182" s="126"/>
      <c r="BB182" s="125">
        <v>389</v>
      </c>
      <c r="BC182" s="125"/>
      <c r="BD182" s="125">
        <v>39</v>
      </c>
      <c r="BE182" s="125">
        <v>130</v>
      </c>
      <c r="BF182" s="125">
        <v>489</v>
      </c>
      <c r="BG182" s="125">
        <v>1</v>
      </c>
      <c r="BH182" s="125">
        <v>1</v>
      </c>
      <c r="BI182" s="125">
        <v>7450</v>
      </c>
      <c r="BJ182" s="125">
        <v>41</v>
      </c>
      <c r="BK182" s="125">
        <v>3290</v>
      </c>
      <c r="BL182" s="125"/>
      <c r="BM182" s="125">
        <v>211</v>
      </c>
      <c r="BN182" s="125">
        <v>75</v>
      </c>
      <c r="BO182" s="125">
        <v>414</v>
      </c>
      <c r="BP182" s="125">
        <v>37054</v>
      </c>
      <c r="BQ182" s="125">
        <v>7759</v>
      </c>
      <c r="BR182" s="125">
        <v>77</v>
      </c>
      <c r="BS182" s="125">
        <v>2362</v>
      </c>
      <c r="BT182" s="125">
        <v>164</v>
      </c>
      <c r="BU182" s="125"/>
      <c r="BV182" s="125">
        <v>4</v>
      </c>
      <c r="BW182" s="125">
        <v>116</v>
      </c>
      <c r="BX182" s="125"/>
      <c r="BY182" s="125">
        <v>40</v>
      </c>
      <c r="BZ182" s="125">
        <v>0</v>
      </c>
      <c r="CA182" s="125">
        <v>9353</v>
      </c>
      <c r="CB182" s="125">
        <v>14677</v>
      </c>
      <c r="CC182" s="125">
        <v>92356</v>
      </c>
      <c r="CD182" s="125">
        <v>147450</v>
      </c>
      <c r="CE182" s="125">
        <v>16476</v>
      </c>
      <c r="CF182" s="125">
        <v>19316</v>
      </c>
      <c r="CG182" s="125">
        <v>0</v>
      </c>
      <c r="CH182" s="125">
        <v>10</v>
      </c>
      <c r="CI182" s="125">
        <v>20</v>
      </c>
      <c r="CJ182" s="125">
        <v>86</v>
      </c>
      <c r="CK182" s="125"/>
      <c r="CL182" s="125"/>
      <c r="CM182" s="125"/>
      <c r="CN182" s="125"/>
      <c r="CO182" s="125"/>
      <c r="CP182" s="125"/>
      <c r="CQ182" s="125"/>
      <c r="CR182" s="125"/>
      <c r="CS182" s="125"/>
      <c r="CT182" s="125"/>
      <c r="CU182" s="125"/>
      <c r="CV182" s="125"/>
      <c r="CW182" s="125"/>
      <c r="CX182" s="125"/>
      <c r="CY182" s="125" t="s">
        <v>370</v>
      </c>
      <c r="CZ182" s="125" t="s">
        <v>370</v>
      </c>
      <c r="DA182" s="125" t="s">
        <v>370</v>
      </c>
      <c r="DB182" s="125">
        <v>0</v>
      </c>
      <c r="DC182" s="125">
        <v>0</v>
      </c>
      <c r="DD182" s="125">
        <v>0</v>
      </c>
      <c r="DE182">
        <f t="shared" si="38"/>
        <v>589524</v>
      </c>
      <c r="DG182" s="1">
        <f t="shared" si="52"/>
        <v>362967</v>
      </c>
      <c r="DH182" s="1">
        <f t="shared" si="39"/>
        <v>198006</v>
      </c>
      <c r="DI182" s="127">
        <f t="shared" si="40"/>
        <v>560973</v>
      </c>
      <c r="DK182" s="1">
        <f t="shared" si="41"/>
        <v>61501</v>
      </c>
      <c r="DL182" s="1">
        <f t="shared" si="42"/>
        <v>104366</v>
      </c>
      <c r="DM182" s="1">
        <f t="shared" si="43"/>
        <v>9669</v>
      </c>
      <c r="DN182" s="1">
        <f t="shared" si="44"/>
        <v>22234</v>
      </c>
      <c r="DO182" s="1">
        <f t="shared" si="45"/>
        <v>276376</v>
      </c>
      <c r="DP182" s="1">
        <f t="shared" si="46"/>
        <v>39667</v>
      </c>
      <c r="DQ182" s="1">
        <f t="shared" si="53"/>
        <v>0</v>
      </c>
      <c r="DR182" s="1">
        <f t="shared" si="47"/>
        <v>14896</v>
      </c>
      <c r="DS182" s="1">
        <f t="shared" si="48"/>
        <v>476</v>
      </c>
      <c r="DT182" s="1">
        <f t="shared" si="49"/>
        <v>11280</v>
      </c>
      <c r="DU182" s="1"/>
      <c r="DV182" s="1"/>
      <c r="DW182" s="1"/>
      <c r="DX182" s="1">
        <f t="shared" si="54"/>
        <v>540465</v>
      </c>
      <c r="DZ182" s="1">
        <f t="shared" si="55"/>
        <v>19316</v>
      </c>
      <c r="EA182" s="1">
        <f t="shared" si="50"/>
        <v>32704</v>
      </c>
      <c r="EC182" s="1">
        <f t="shared" si="56"/>
        <v>592485</v>
      </c>
      <c r="ED182" s="1">
        <f t="shared" si="51"/>
        <v>2961</v>
      </c>
      <c r="EE182" s="1"/>
    </row>
    <row r="183" spans="1:135" x14ac:dyDescent="0.25">
      <c r="A183" s="128">
        <v>37773</v>
      </c>
      <c r="B183" s="129">
        <v>0</v>
      </c>
      <c r="C183" s="129">
        <v>0</v>
      </c>
      <c r="D183" s="129">
        <v>0</v>
      </c>
      <c r="E183" s="129" t="s">
        <v>370</v>
      </c>
      <c r="F183" s="129" t="s">
        <v>370</v>
      </c>
      <c r="G183" s="129">
        <v>7468</v>
      </c>
      <c r="H183" s="129">
        <v>13516</v>
      </c>
      <c r="I183" s="129">
        <v>2960</v>
      </c>
      <c r="J183" s="129">
        <v>8685</v>
      </c>
      <c r="K183" s="129"/>
      <c r="L183" s="129">
        <v>31316</v>
      </c>
      <c r="M183" s="129">
        <v>2896</v>
      </c>
      <c r="N183" s="129"/>
      <c r="O183" s="129">
        <v>1791</v>
      </c>
      <c r="P183" s="129">
        <v>8454</v>
      </c>
      <c r="Q183" s="129">
        <v>576</v>
      </c>
      <c r="R183" s="129">
        <v>7732</v>
      </c>
      <c r="S183" s="129">
        <v>9669</v>
      </c>
      <c r="T183" s="129"/>
      <c r="U183" s="129"/>
      <c r="V183" s="129">
        <v>411</v>
      </c>
      <c r="W183" s="129">
        <v>8325</v>
      </c>
      <c r="X183" s="129">
        <v>464</v>
      </c>
      <c r="Y183" s="129">
        <v>26</v>
      </c>
      <c r="Z183" s="130"/>
      <c r="AA183" s="129">
        <v>6</v>
      </c>
      <c r="AB183" s="129">
        <v>59</v>
      </c>
      <c r="AC183" s="129">
        <v>15</v>
      </c>
      <c r="AD183" s="129">
        <v>27</v>
      </c>
      <c r="AE183" s="129">
        <v>30</v>
      </c>
      <c r="AF183" s="129">
        <v>50</v>
      </c>
      <c r="AG183" s="129"/>
      <c r="AH183" s="129"/>
      <c r="AI183" s="129">
        <v>4</v>
      </c>
      <c r="AJ183" s="129">
        <v>6501</v>
      </c>
      <c r="AK183" s="129">
        <v>84402</v>
      </c>
      <c r="AL183" s="129">
        <v>3361</v>
      </c>
      <c r="AM183" s="129">
        <v>11417</v>
      </c>
      <c r="AN183" s="129">
        <v>46</v>
      </c>
      <c r="AO183" s="129">
        <v>9</v>
      </c>
      <c r="AP183" s="129">
        <v>2885</v>
      </c>
      <c r="AQ183" s="129">
        <v>0</v>
      </c>
      <c r="AR183" s="129">
        <v>1261</v>
      </c>
      <c r="AS183" s="129" t="s">
        <v>370</v>
      </c>
      <c r="AT183" s="129">
        <v>2882</v>
      </c>
      <c r="AU183" s="129">
        <v>2028</v>
      </c>
      <c r="AV183" s="129">
        <v>2943</v>
      </c>
      <c r="AW183" s="129">
        <v>7873</v>
      </c>
      <c r="AX183" s="130"/>
      <c r="AY183" s="130"/>
      <c r="AZ183" s="130">
        <v>162</v>
      </c>
      <c r="BA183" s="130"/>
      <c r="BB183" s="129">
        <v>385</v>
      </c>
      <c r="BC183" s="129"/>
      <c r="BD183" s="129">
        <v>36</v>
      </c>
      <c r="BE183" s="129">
        <v>125</v>
      </c>
      <c r="BF183" s="129">
        <v>502</v>
      </c>
      <c r="BG183" s="129">
        <v>1</v>
      </c>
      <c r="BH183" s="129">
        <v>1</v>
      </c>
      <c r="BI183" s="129">
        <v>7422</v>
      </c>
      <c r="BJ183" s="129">
        <v>37</v>
      </c>
      <c r="BK183" s="129">
        <v>3242</v>
      </c>
      <c r="BL183" s="129"/>
      <c r="BM183" s="129">
        <v>253</v>
      </c>
      <c r="BN183" s="129">
        <v>75</v>
      </c>
      <c r="BO183" s="129">
        <v>476</v>
      </c>
      <c r="BP183" s="129">
        <v>37076</v>
      </c>
      <c r="BQ183" s="129">
        <v>7250</v>
      </c>
      <c r="BR183" s="129">
        <v>83</v>
      </c>
      <c r="BS183" s="129">
        <v>2389</v>
      </c>
      <c r="BT183" s="129">
        <v>134</v>
      </c>
      <c r="BU183" s="129"/>
      <c r="BV183" s="129">
        <v>7</v>
      </c>
      <c r="BW183" s="129">
        <v>114</v>
      </c>
      <c r="BX183" s="129"/>
      <c r="BY183" s="129">
        <v>31</v>
      </c>
      <c r="BZ183" s="129">
        <v>0</v>
      </c>
      <c r="CA183" s="129">
        <v>9974</v>
      </c>
      <c r="CB183" s="129">
        <v>14885</v>
      </c>
      <c r="CC183" s="129">
        <v>93410</v>
      </c>
      <c r="CD183" s="129">
        <v>148765</v>
      </c>
      <c r="CE183" s="129">
        <v>16384</v>
      </c>
      <c r="CF183" s="129">
        <v>20184</v>
      </c>
      <c r="CG183" s="129">
        <v>0</v>
      </c>
      <c r="CH183" s="129">
        <v>11</v>
      </c>
      <c r="CI183" s="129">
        <v>19</v>
      </c>
      <c r="CJ183" s="129">
        <v>81</v>
      </c>
      <c r="CK183" s="129"/>
      <c r="CL183" s="129"/>
      <c r="CM183" s="129"/>
      <c r="CN183" s="129"/>
      <c r="CO183" s="129"/>
      <c r="CP183" s="129"/>
      <c r="CQ183" s="129"/>
      <c r="CR183" s="129"/>
      <c r="CS183" s="129"/>
      <c r="CT183" s="129"/>
      <c r="CU183" s="129"/>
      <c r="CV183" s="129"/>
      <c r="CW183" s="129"/>
      <c r="CX183" s="129"/>
      <c r="CY183" s="129" t="s">
        <v>370</v>
      </c>
      <c r="CZ183" s="129" t="s">
        <v>370</v>
      </c>
      <c r="DA183" s="129" t="s">
        <v>370</v>
      </c>
      <c r="DB183" s="129">
        <v>0</v>
      </c>
      <c r="DC183" s="129">
        <v>0</v>
      </c>
      <c r="DD183" s="129">
        <v>0</v>
      </c>
      <c r="DE183">
        <f t="shared" si="38"/>
        <v>593602</v>
      </c>
      <c r="DG183" s="1">
        <f t="shared" si="52"/>
        <v>362653.5</v>
      </c>
      <c r="DH183" s="1">
        <f t="shared" si="39"/>
        <v>197769.5</v>
      </c>
      <c r="DI183" s="127">
        <f t="shared" si="40"/>
        <v>560423</v>
      </c>
      <c r="DJ183" s="131"/>
      <c r="DK183" s="1">
        <f t="shared" si="41"/>
        <v>61454.5</v>
      </c>
      <c r="DL183" s="1">
        <f t="shared" si="42"/>
        <v>104602</v>
      </c>
      <c r="DM183" s="1">
        <f t="shared" si="43"/>
        <v>9532</v>
      </c>
      <c r="DN183" s="1">
        <f t="shared" si="44"/>
        <v>22267</v>
      </c>
      <c r="DO183" s="1">
        <f t="shared" si="45"/>
        <v>276893.5</v>
      </c>
      <c r="DP183" s="1">
        <f t="shared" si="46"/>
        <v>39755</v>
      </c>
      <c r="DQ183" s="1">
        <f t="shared" si="53"/>
        <v>0</v>
      </c>
      <c r="DR183" s="1">
        <f t="shared" si="47"/>
        <v>14735</v>
      </c>
      <c r="DS183" s="1">
        <f t="shared" si="48"/>
        <v>525</v>
      </c>
      <c r="DT183" s="1">
        <f t="shared" si="49"/>
        <v>11231</v>
      </c>
      <c r="DU183" s="1"/>
      <c r="DV183" s="1"/>
      <c r="DW183" s="1"/>
      <c r="DX183" s="1">
        <f t="shared" si="54"/>
        <v>540995</v>
      </c>
      <c r="DY183" s="131"/>
      <c r="DZ183" s="1">
        <f t="shared" si="55"/>
        <v>20184</v>
      </c>
      <c r="EA183" s="1">
        <f t="shared" si="50"/>
        <v>32629</v>
      </c>
      <c r="EC183" s="1">
        <f t="shared" si="56"/>
        <v>593808</v>
      </c>
      <c r="ED183" s="1">
        <f t="shared" si="51"/>
        <v>206</v>
      </c>
      <c r="EE183" s="1"/>
    </row>
    <row r="184" spans="1:135" x14ac:dyDescent="0.25">
      <c r="A184" s="132">
        <v>37803</v>
      </c>
      <c r="B184" s="133">
        <v>0</v>
      </c>
      <c r="C184" s="133">
        <v>0</v>
      </c>
      <c r="D184" s="133">
        <v>0</v>
      </c>
      <c r="E184" s="133" t="s">
        <v>370</v>
      </c>
      <c r="F184" s="133" t="s">
        <v>370</v>
      </c>
      <c r="G184" s="133">
        <v>7300</v>
      </c>
      <c r="H184" s="133">
        <v>13000</v>
      </c>
      <c r="I184" s="133">
        <v>2800</v>
      </c>
      <c r="J184" s="133">
        <v>7670</v>
      </c>
      <c r="K184" s="133"/>
      <c r="L184" s="133">
        <v>31276</v>
      </c>
      <c r="M184" s="133">
        <v>2854.5</v>
      </c>
      <c r="N184" s="133"/>
      <c r="O184" s="133">
        <v>1776</v>
      </c>
      <c r="P184" s="133">
        <v>8472.5</v>
      </c>
      <c r="Q184" s="133">
        <v>572.5</v>
      </c>
      <c r="R184" s="133">
        <v>7657</v>
      </c>
      <c r="S184" s="133">
        <v>9532</v>
      </c>
      <c r="T184" s="133"/>
      <c r="U184" s="133"/>
      <c r="V184" s="133">
        <v>404</v>
      </c>
      <c r="W184" s="133">
        <v>8442</v>
      </c>
      <c r="X184" s="133">
        <v>461</v>
      </c>
      <c r="Y184" s="133">
        <v>24</v>
      </c>
      <c r="Z184" s="134"/>
      <c r="AA184" s="133">
        <v>7</v>
      </c>
      <c r="AB184" s="133">
        <v>59</v>
      </c>
      <c r="AC184" s="133">
        <v>14</v>
      </c>
      <c r="AD184" s="133">
        <v>27</v>
      </c>
      <c r="AE184" s="133">
        <v>30.5</v>
      </c>
      <c r="AF184" s="133">
        <v>54</v>
      </c>
      <c r="AG184" s="133"/>
      <c r="AH184" s="133"/>
      <c r="AI184" s="133">
        <v>5</v>
      </c>
      <c r="AJ184" s="133">
        <v>6609</v>
      </c>
      <c r="AK184" s="133">
        <v>84271</v>
      </c>
      <c r="AL184" s="133">
        <v>3348.5</v>
      </c>
      <c r="AM184" s="133">
        <v>11299</v>
      </c>
      <c r="AN184" s="133">
        <v>42.5</v>
      </c>
      <c r="AO184" s="133">
        <v>8</v>
      </c>
      <c r="AP184" s="133">
        <v>3036</v>
      </c>
      <c r="AQ184" s="133">
        <v>0</v>
      </c>
      <c r="AR184" s="133">
        <v>1240</v>
      </c>
      <c r="AS184" s="133" t="s">
        <v>370</v>
      </c>
      <c r="AT184" s="133">
        <v>2882</v>
      </c>
      <c r="AU184" s="133">
        <v>2024</v>
      </c>
      <c r="AV184" s="133">
        <v>2919</v>
      </c>
      <c r="AW184" s="133">
        <v>7870</v>
      </c>
      <c r="AX184" s="134"/>
      <c r="AY184" s="134"/>
      <c r="AZ184" s="134">
        <v>165.5</v>
      </c>
      <c r="BA184" s="134"/>
      <c r="BB184" s="133">
        <v>387</v>
      </c>
      <c r="BC184" s="133"/>
      <c r="BD184" s="133">
        <v>33</v>
      </c>
      <c r="BE184" s="133">
        <v>129</v>
      </c>
      <c r="BF184" s="133">
        <v>501.5</v>
      </c>
      <c r="BG184" s="133">
        <v>3</v>
      </c>
      <c r="BH184" s="133">
        <v>1</v>
      </c>
      <c r="BI184" s="133">
        <v>7422.5</v>
      </c>
      <c r="BJ184" s="133">
        <v>32.5</v>
      </c>
      <c r="BK184" s="133">
        <v>3189</v>
      </c>
      <c r="BL184" s="133"/>
      <c r="BM184" s="133">
        <v>297.5</v>
      </c>
      <c r="BN184" s="133">
        <v>74.5</v>
      </c>
      <c r="BO184" s="133">
        <v>525</v>
      </c>
      <c r="BP184" s="133">
        <v>36316</v>
      </c>
      <c r="BQ184" s="133">
        <v>6798</v>
      </c>
      <c r="BR184" s="133">
        <v>89.5</v>
      </c>
      <c r="BS184" s="133">
        <v>2290.5</v>
      </c>
      <c r="BT184" s="133">
        <v>122</v>
      </c>
      <c r="BU184" s="133"/>
      <c r="BV184" s="133">
        <v>7</v>
      </c>
      <c r="BW184" s="133">
        <v>118</v>
      </c>
      <c r="BX184" s="133"/>
      <c r="BY184" s="133">
        <v>45</v>
      </c>
      <c r="BZ184" s="133">
        <v>0</v>
      </c>
      <c r="CA184" s="133">
        <v>10344</v>
      </c>
      <c r="CB184" s="133">
        <v>14721</v>
      </c>
      <c r="CC184" s="133">
        <v>93972</v>
      </c>
      <c r="CD184" s="133">
        <v>148859</v>
      </c>
      <c r="CE184" s="133">
        <v>16313</v>
      </c>
      <c r="CF184" s="133">
        <v>20329</v>
      </c>
      <c r="CG184" s="133">
        <v>0</v>
      </c>
      <c r="CH184" s="133">
        <v>14</v>
      </c>
      <c r="CI184" s="133">
        <v>20</v>
      </c>
      <c r="CJ184" s="133">
        <v>87</v>
      </c>
      <c r="CK184" s="133"/>
      <c r="CL184" s="133"/>
      <c r="CM184" s="133"/>
      <c r="CN184" s="133"/>
      <c r="CO184" s="133"/>
      <c r="CP184" s="133"/>
      <c r="CQ184" s="133"/>
      <c r="CR184" s="133"/>
      <c r="CS184" s="133"/>
      <c r="CT184" s="133"/>
      <c r="CU184" s="133"/>
      <c r="CV184" s="133"/>
      <c r="CW184" s="133"/>
      <c r="CX184" s="133"/>
      <c r="CY184" s="133" t="s">
        <v>370</v>
      </c>
      <c r="CZ184" s="133" t="s">
        <v>370</v>
      </c>
      <c r="DA184" s="133" t="s">
        <v>370</v>
      </c>
      <c r="DB184" s="133">
        <v>0</v>
      </c>
      <c r="DC184" s="133" t="s">
        <v>370</v>
      </c>
      <c r="DD184" s="133">
        <v>0</v>
      </c>
      <c r="DE184">
        <f t="shared" si="38"/>
        <v>591193</v>
      </c>
      <c r="DG184" s="1">
        <f t="shared" si="52"/>
        <v>362608</v>
      </c>
      <c r="DH184" s="1">
        <f t="shared" si="39"/>
        <v>197525</v>
      </c>
      <c r="DI184" s="127">
        <f t="shared" si="40"/>
        <v>560133</v>
      </c>
      <c r="DK184" s="1">
        <f t="shared" si="41"/>
        <v>61408</v>
      </c>
      <c r="DL184" s="1">
        <f t="shared" si="42"/>
        <v>104516</v>
      </c>
      <c r="DM184" s="1">
        <f t="shared" si="43"/>
        <v>9395</v>
      </c>
      <c r="DN184" s="1">
        <f t="shared" si="44"/>
        <v>22298</v>
      </c>
      <c r="DO184" s="1">
        <f t="shared" si="45"/>
        <v>277406</v>
      </c>
      <c r="DP184" s="1">
        <f t="shared" si="46"/>
        <v>38940</v>
      </c>
      <c r="DQ184" s="1">
        <f t="shared" si="53"/>
        <v>0</v>
      </c>
      <c r="DR184" s="1">
        <f t="shared" si="47"/>
        <v>14574</v>
      </c>
      <c r="DS184" s="1">
        <f t="shared" si="48"/>
        <v>573</v>
      </c>
      <c r="DT184" s="1">
        <f t="shared" si="49"/>
        <v>11182</v>
      </c>
      <c r="DU184" s="1"/>
      <c r="DV184" s="1"/>
      <c r="DW184" s="1"/>
      <c r="DX184" s="1">
        <f t="shared" si="54"/>
        <v>540292</v>
      </c>
      <c r="DZ184" s="1">
        <f t="shared" si="55"/>
        <v>20329</v>
      </c>
      <c r="EA184" s="1">
        <f t="shared" si="50"/>
        <v>30770</v>
      </c>
      <c r="EC184" s="1">
        <f t="shared" si="56"/>
        <v>591391</v>
      </c>
      <c r="ED184" s="1">
        <f t="shared" si="51"/>
        <v>198</v>
      </c>
      <c r="EE184" s="1"/>
    </row>
    <row r="185" spans="1:135" x14ac:dyDescent="0.25">
      <c r="A185" s="124">
        <v>37834</v>
      </c>
      <c r="B185" s="125">
        <v>0</v>
      </c>
      <c r="C185" s="125">
        <v>39</v>
      </c>
      <c r="D185" s="125">
        <v>3818</v>
      </c>
      <c r="E185" s="125" t="s">
        <v>370</v>
      </c>
      <c r="F185" s="125" t="s">
        <v>370</v>
      </c>
      <c r="G185" s="125">
        <v>7554</v>
      </c>
      <c r="H185" s="125">
        <v>13050</v>
      </c>
      <c r="I185" s="125">
        <v>2880</v>
      </c>
      <c r="J185" s="125">
        <v>8024</v>
      </c>
      <c r="K185" s="125"/>
      <c r="L185" s="125">
        <v>31236</v>
      </c>
      <c r="M185" s="125">
        <v>2813</v>
      </c>
      <c r="N185" s="125"/>
      <c r="O185" s="125">
        <v>1761</v>
      </c>
      <c r="P185" s="125">
        <v>8491</v>
      </c>
      <c r="Q185" s="125">
        <v>569</v>
      </c>
      <c r="R185" s="125">
        <v>7582</v>
      </c>
      <c r="S185" s="125">
        <v>9395</v>
      </c>
      <c r="T185" s="125"/>
      <c r="U185" s="125"/>
      <c r="V185" s="125">
        <v>397</v>
      </c>
      <c r="W185" s="125">
        <v>8559</v>
      </c>
      <c r="X185" s="125">
        <v>458</v>
      </c>
      <c r="Y185" s="125">
        <v>22</v>
      </c>
      <c r="Z185" s="126"/>
      <c r="AA185" s="125">
        <v>7</v>
      </c>
      <c r="AB185" s="125">
        <v>59</v>
      </c>
      <c r="AC185" s="125">
        <v>13</v>
      </c>
      <c r="AD185" s="125">
        <v>27</v>
      </c>
      <c r="AE185" s="125">
        <v>31</v>
      </c>
      <c r="AF185" s="125">
        <v>58</v>
      </c>
      <c r="AG185" s="125"/>
      <c r="AH185" s="125"/>
      <c r="AI185" s="125">
        <v>5</v>
      </c>
      <c r="AJ185" s="125">
        <v>6716</v>
      </c>
      <c r="AK185" s="125">
        <v>84140</v>
      </c>
      <c r="AL185" s="125">
        <v>3336</v>
      </c>
      <c r="AM185" s="125">
        <v>11181</v>
      </c>
      <c r="AN185" s="125">
        <v>39</v>
      </c>
      <c r="AO185" s="125">
        <v>6</v>
      </c>
      <c r="AP185" s="125">
        <v>3186</v>
      </c>
      <c r="AQ185" s="125">
        <v>0</v>
      </c>
      <c r="AR185" s="125">
        <v>1218</v>
      </c>
      <c r="AS185" s="125" t="s">
        <v>370</v>
      </c>
      <c r="AT185" s="125">
        <v>2882</v>
      </c>
      <c r="AU185" s="125">
        <v>2019</v>
      </c>
      <c r="AV185" s="125">
        <v>2894</v>
      </c>
      <c r="AW185" s="125">
        <v>7867</v>
      </c>
      <c r="AX185" s="126"/>
      <c r="AY185" s="126"/>
      <c r="AZ185" s="126">
        <v>169</v>
      </c>
      <c r="BA185" s="126"/>
      <c r="BB185" s="125">
        <v>389</v>
      </c>
      <c r="BC185" s="125"/>
      <c r="BD185" s="125">
        <v>29</v>
      </c>
      <c r="BE185" s="125">
        <v>133</v>
      </c>
      <c r="BF185" s="125">
        <v>501</v>
      </c>
      <c r="BG185" s="125">
        <v>4</v>
      </c>
      <c r="BH185" s="125">
        <v>1</v>
      </c>
      <c r="BI185" s="125">
        <v>7423</v>
      </c>
      <c r="BJ185" s="125">
        <v>28</v>
      </c>
      <c r="BK185" s="125">
        <v>3136</v>
      </c>
      <c r="BL185" s="125"/>
      <c r="BM185" s="125">
        <v>342</v>
      </c>
      <c r="BN185" s="125">
        <v>74</v>
      </c>
      <c r="BO185" s="125">
        <v>573</v>
      </c>
      <c r="BP185" s="125">
        <v>35555</v>
      </c>
      <c r="BQ185" s="125">
        <v>6346</v>
      </c>
      <c r="BR185" s="125">
        <v>96</v>
      </c>
      <c r="BS185" s="125">
        <v>2192</v>
      </c>
      <c r="BT185" s="125">
        <v>110</v>
      </c>
      <c r="BU185" s="125"/>
      <c r="BV185" s="125">
        <v>6</v>
      </c>
      <c r="BW185" s="125">
        <v>122</v>
      </c>
      <c r="BX185" s="125"/>
      <c r="BY185" s="125">
        <v>58</v>
      </c>
      <c r="BZ185" s="125">
        <v>0</v>
      </c>
      <c r="CA185" s="125">
        <v>10714</v>
      </c>
      <c r="CB185" s="125">
        <v>14557</v>
      </c>
      <c r="CC185" s="125">
        <v>94533</v>
      </c>
      <c r="CD185" s="125">
        <v>148952</v>
      </c>
      <c r="CE185" s="125">
        <v>16242</v>
      </c>
      <c r="CF185" s="125">
        <v>20751</v>
      </c>
      <c r="CG185" s="125">
        <v>0</v>
      </c>
      <c r="CH185" s="125">
        <v>17</v>
      </c>
      <c r="CI185" s="125">
        <v>21</v>
      </c>
      <c r="CJ185" s="125">
        <v>92</v>
      </c>
      <c r="CK185" s="125"/>
      <c r="CL185" s="125"/>
      <c r="CM185" s="125"/>
      <c r="CN185" s="125"/>
      <c r="CO185" s="125"/>
      <c r="CP185" s="125"/>
      <c r="CQ185" s="125"/>
      <c r="CR185" s="125"/>
      <c r="CS185" s="125"/>
      <c r="CT185" s="125"/>
      <c r="CU185" s="125"/>
      <c r="CV185" s="125"/>
      <c r="CW185" s="125"/>
      <c r="CX185" s="125"/>
      <c r="CY185" s="125" t="s">
        <v>370</v>
      </c>
      <c r="CZ185" s="125" t="s">
        <v>370</v>
      </c>
      <c r="DA185" s="125" t="s">
        <v>370</v>
      </c>
      <c r="DB185" s="125">
        <v>36</v>
      </c>
      <c r="DC185" s="125">
        <v>0</v>
      </c>
      <c r="DD185" s="125">
        <v>44</v>
      </c>
      <c r="DE185">
        <f t="shared" si="38"/>
        <v>595498</v>
      </c>
      <c r="DG185" s="1">
        <f t="shared" si="52"/>
        <v>370778</v>
      </c>
      <c r="DH185" s="1">
        <f t="shared" si="39"/>
        <v>198721</v>
      </c>
      <c r="DI185" s="127">
        <f t="shared" si="40"/>
        <v>569499</v>
      </c>
      <c r="DK185" s="1">
        <f t="shared" si="41"/>
        <v>61802</v>
      </c>
      <c r="DL185" s="1">
        <f t="shared" si="42"/>
        <v>104424</v>
      </c>
      <c r="DM185" s="1">
        <f t="shared" si="43"/>
        <v>9466</v>
      </c>
      <c r="DN185" s="1">
        <f t="shared" si="44"/>
        <v>22482</v>
      </c>
      <c r="DO185" s="1">
        <f t="shared" si="45"/>
        <v>283239</v>
      </c>
      <c r="DP185" s="1">
        <f t="shared" si="46"/>
        <v>38122</v>
      </c>
      <c r="DQ185" s="1">
        <f t="shared" si="53"/>
        <v>0</v>
      </c>
      <c r="DR185" s="1">
        <f t="shared" si="47"/>
        <v>15107</v>
      </c>
      <c r="DS185" s="1">
        <f t="shared" si="48"/>
        <v>662</v>
      </c>
      <c r="DT185" s="1">
        <f t="shared" si="49"/>
        <v>11345</v>
      </c>
      <c r="DU185" s="1"/>
      <c r="DV185" s="1"/>
      <c r="DW185" s="1"/>
      <c r="DX185" s="1">
        <f t="shared" si="54"/>
        <v>546649</v>
      </c>
      <c r="DZ185" s="1">
        <f t="shared" si="55"/>
        <v>20751</v>
      </c>
      <c r="EA185" s="1">
        <f t="shared" si="50"/>
        <v>31508</v>
      </c>
      <c r="EC185" s="1">
        <f t="shared" si="56"/>
        <v>598908</v>
      </c>
      <c r="ED185" s="1">
        <f t="shared" si="51"/>
        <v>3410</v>
      </c>
      <c r="EE185" s="1"/>
    </row>
    <row r="186" spans="1:135" x14ac:dyDescent="0.25">
      <c r="A186" s="124">
        <v>37865</v>
      </c>
      <c r="B186" s="125">
        <v>0</v>
      </c>
      <c r="C186" s="125">
        <v>51</v>
      </c>
      <c r="D186" s="125">
        <v>5144</v>
      </c>
      <c r="E186" s="125" t="s">
        <v>370</v>
      </c>
      <c r="F186" s="125" t="s">
        <v>370</v>
      </c>
      <c r="G186" s="125">
        <v>8002</v>
      </c>
      <c r="H186" s="125">
        <v>13499</v>
      </c>
      <c r="I186" s="125">
        <v>3077</v>
      </c>
      <c r="J186" s="125">
        <v>8106</v>
      </c>
      <c r="K186" s="125"/>
      <c r="L186" s="125">
        <v>31471</v>
      </c>
      <c r="M186" s="125">
        <v>2805</v>
      </c>
      <c r="N186" s="125"/>
      <c r="O186" s="125">
        <v>1763</v>
      </c>
      <c r="P186" s="125">
        <v>8563</v>
      </c>
      <c r="Q186" s="125">
        <v>566</v>
      </c>
      <c r="R186" s="125">
        <v>7556</v>
      </c>
      <c r="S186" s="125">
        <v>9466</v>
      </c>
      <c r="T186" s="125"/>
      <c r="U186" s="125"/>
      <c r="V186" s="125">
        <v>394</v>
      </c>
      <c r="W186" s="125">
        <v>8684</v>
      </c>
      <c r="X186" s="125">
        <v>461</v>
      </c>
      <c r="Y186" s="125">
        <v>22</v>
      </c>
      <c r="Z186" s="126"/>
      <c r="AA186" s="125">
        <v>10</v>
      </c>
      <c r="AB186" s="125">
        <v>56</v>
      </c>
      <c r="AC186" s="125">
        <v>14</v>
      </c>
      <c r="AD186" s="125">
        <v>29</v>
      </c>
      <c r="AE186" s="125">
        <v>30</v>
      </c>
      <c r="AF186" s="125">
        <v>55</v>
      </c>
      <c r="AG186" s="125"/>
      <c r="AH186" s="125"/>
      <c r="AI186" s="125">
        <v>4</v>
      </c>
      <c r="AJ186" s="125">
        <v>6844</v>
      </c>
      <c r="AK186" s="125">
        <v>84463</v>
      </c>
      <c r="AL186" s="125">
        <v>3358</v>
      </c>
      <c r="AM186" s="125">
        <v>11240</v>
      </c>
      <c r="AN186" s="125">
        <v>40</v>
      </c>
      <c r="AO186" s="125">
        <v>7</v>
      </c>
      <c r="AP186" s="125">
        <v>3285</v>
      </c>
      <c r="AQ186" s="125">
        <v>0</v>
      </c>
      <c r="AR186" s="125">
        <v>1273</v>
      </c>
      <c r="AS186" s="125" t="s">
        <v>370</v>
      </c>
      <c r="AT186" s="125">
        <v>2886</v>
      </c>
      <c r="AU186" s="125">
        <v>2005</v>
      </c>
      <c r="AV186" s="125">
        <v>2901</v>
      </c>
      <c r="AW186" s="125">
        <v>7895</v>
      </c>
      <c r="AX186" s="126"/>
      <c r="AY186" s="126"/>
      <c r="AZ186" s="126">
        <v>178</v>
      </c>
      <c r="BA186" s="126"/>
      <c r="BB186" s="125">
        <v>397</v>
      </c>
      <c r="BC186" s="125"/>
      <c r="BD186" s="125">
        <v>26</v>
      </c>
      <c r="BE186" s="125">
        <v>127</v>
      </c>
      <c r="BF186" s="125">
        <v>499</v>
      </c>
      <c r="BG186" s="125">
        <v>3</v>
      </c>
      <c r="BH186" s="125">
        <v>1</v>
      </c>
      <c r="BI186" s="125">
        <v>7546</v>
      </c>
      <c r="BJ186" s="125">
        <v>32</v>
      </c>
      <c r="BK186" s="125">
        <v>3182</v>
      </c>
      <c r="BL186" s="125"/>
      <c r="BM186" s="125">
        <v>362</v>
      </c>
      <c r="BN186" s="125">
        <v>76</v>
      </c>
      <c r="BO186" s="125">
        <v>662</v>
      </c>
      <c r="BP186" s="125">
        <v>36424</v>
      </c>
      <c r="BQ186" s="125">
        <v>5879</v>
      </c>
      <c r="BR186" s="125">
        <v>97</v>
      </c>
      <c r="BS186" s="125">
        <v>2431</v>
      </c>
      <c r="BT186" s="125">
        <v>104</v>
      </c>
      <c r="BU186" s="125"/>
      <c r="BV186" s="125">
        <v>8</v>
      </c>
      <c r="BW186" s="125">
        <v>118</v>
      </c>
      <c r="BX186" s="125"/>
      <c r="BY186" s="125">
        <v>58</v>
      </c>
      <c r="BZ186" s="125">
        <v>0</v>
      </c>
      <c r="CA186" s="125">
        <v>11185</v>
      </c>
      <c r="CB186" s="125">
        <v>15085</v>
      </c>
      <c r="CC186" s="125">
        <v>96965</v>
      </c>
      <c r="CD186" s="125">
        <v>152210</v>
      </c>
      <c r="CE186" s="125">
        <v>16386</v>
      </c>
      <c r="CF186" s="125">
        <v>21179</v>
      </c>
      <c r="CG186" s="125">
        <v>0</v>
      </c>
      <c r="CH186" s="125">
        <v>22</v>
      </c>
      <c r="CI186" s="125">
        <v>20</v>
      </c>
      <c r="CJ186" s="125">
        <v>91</v>
      </c>
      <c r="CK186" s="125"/>
      <c r="CL186" s="125"/>
      <c r="CM186" s="125"/>
      <c r="CN186" s="125"/>
      <c r="CO186" s="125"/>
      <c r="CP186" s="125"/>
      <c r="CQ186" s="125"/>
      <c r="CR186" s="125"/>
      <c r="CS186" s="125"/>
      <c r="CT186" s="125"/>
      <c r="CU186" s="125"/>
      <c r="CV186" s="125"/>
      <c r="CW186" s="125"/>
      <c r="CX186" s="125"/>
      <c r="CY186" s="125" t="s">
        <v>370</v>
      </c>
      <c r="CZ186" s="125" t="s">
        <v>370</v>
      </c>
      <c r="DA186" s="125" t="s">
        <v>370</v>
      </c>
      <c r="DB186" s="125">
        <v>37</v>
      </c>
      <c r="DC186" s="125">
        <v>0</v>
      </c>
      <c r="DD186" s="125">
        <v>45</v>
      </c>
      <c r="DE186">
        <f t="shared" si="38"/>
        <v>607378</v>
      </c>
      <c r="DG186" s="1">
        <f t="shared" si="52"/>
        <v>373176</v>
      </c>
      <c r="DH186" s="1">
        <f t="shared" si="39"/>
        <v>199031</v>
      </c>
      <c r="DI186" s="127">
        <f t="shared" si="40"/>
        <v>572207</v>
      </c>
      <c r="DK186" s="1">
        <f t="shared" si="41"/>
        <v>61849</v>
      </c>
      <c r="DL186" s="1">
        <f t="shared" si="42"/>
        <v>104971</v>
      </c>
      <c r="DM186" s="1">
        <f t="shared" si="43"/>
        <v>9583</v>
      </c>
      <c r="DN186" s="1">
        <f t="shared" si="44"/>
        <v>22598</v>
      </c>
      <c r="DO186" s="1">
        <f t="shared" si="45"/>
        <v>286036</v>
      </c>
      <c r="DP186" s="1">
        <f t="shared" si="46"/>
        <v>39246</v>
      </c>
      <c r="DQ186" s="1">
        <f t="shared" si="53"/>
        <v>0</v>
      </c>
      <c r="DR186" s="1">
        <f t="shared" si="47"/>
        <v>15041</v>
      </c>
      <c r="DS186" s="1">
        <f t="shared" si="48"/>
        <v>744</v>
      </c>
      <c r="DT186" s="1">
        <f t="shared" si="49"/>
        <v>11416</v>
      </c>
      <c r="DU186" s="1"/>
      <c r="DV186" s="1"/>
      <c r="DW186" s="1"/>
      <c r="DX186" s="1">
        <f t="shared" si="54"/>
        <v>551484</v>
      </c>
      <c r="DZ186" s="1">
        <f t="shared" si="55"/>
        <v>21179</v>
      </c>
      <c r="EA186" s="1">
        <f t="shared" si="50"/>
        <v>32684</v>
      </c>
      <c r="EC186" s="1">
        <f t="shared" si="56"/>
        <v>605347</v>
      </c>
      <c r="ED186" s="1">
        <f t="shared" si="51"/>
        <v>-2031</v>
      </c>
      <c r="EE186" s="1"/>
    </row>
    <row r="187" spans="1:135" x14ac:dyDescent="0.25">
      <c r="A187" s="124">
        <v>37895</v>
      </c>
      <c r="B187" s="125">
        <v>0</v>
      </c>
      <c r="C187" s="125">
        <v>48</v>
      </c>
      <c r="D187" s="125">
        <v>5722</v>
      </c>
      <c r="E187" s="125" t="s">
        <v>370</v>
      </c>
      <c r="F187" s="125" t="s">
        <v>370</v>
      </c>
      <c r="G187" s="125">
        <v>7949</v>
      </c>
      <c r="H187" s="125">
        <v>13476</v>
      </c>
      <c r="I187" s="125">
        <v>2999</v>
      </c>
      <c r="J187" s="125">
        <v>7918</v>
      </c>
      <c r="K187" s="125"/>
      <c r="L187" s="125">
        <v>31551</v>
      </c>
      <c r="M187" s="125">
        <v>2811</v>
      </c>
      <c r="N187" s="125"/>
      <c r="O187" s="125">
        <v>1748</v>
      </c>
      <c r="P187" s="125">
        <v>8519</v>
      </c>
      <c r="Q187" s="125">
        <v>560</v>
      </c>
      <c r="R187" s="125">
        <v>7471</v>
      </c>
      <c r="S187" s="125">
        <v>9583</v>
      </c>
      <c r="T187" s="125"/>
      <c r="U187" s="125"/>
      <c r="V187" s="125">
        <v>384</v>
      </c>
      <c r="W187" s="125">
        <v>8805</v>
      </c>
      <c r="X187" s="125">
        <v>460</v>
      </c>
      <c r="Y187" s="125">
        <v>22</v>
      </c>
      <c r="Z187" s="126"/>
      <c r="AA187" s="125">
        <v>11</v>
      </c>
      <c r="AB187" s="125">
        <v>54</v>
      </c>
      <c r="AC187" s="125">
        <v>14</v>
      </c>
      <c r="AD187" s="125">
        <v>27</v>
      </c>
      <c r="AE187" s="125">
        <v>29</v>
      </c>
      <c r="AF187" s="125">
        <v>53</v>
      </c>
      <c r="AG187" s="125"/>
      <c r="AH187" s="125"/>
      <c r="AI187" s="125">
        <v>5</v>
      </c>
      <c r="AJ187" s="125">
        <v>6919</v>
      </c>
      <c r="AK187" s="125">
        <v>84515</v>
      </c>
      <c r="AL187" s="125">
        <v>3312</v>
      </c>
      <c r="AM187" s="125">
        <v>11260</v>
      </c>
      <c r="AN187" s="125">
        <v>41</v>
      </c>
      <c r="AO187" s="125">
        <v>8</v>
      </c>
      <c r="AP187" s="125">
        <v>3404</v>
      </c>
      <c r="AQ187" s="125">
        <v>0</v>
      </c>
      <c r="AR187" s="125">
        <v>1243</v>
      </c>
      <c r="AS187" s="125" t="s">
        <v>370</v>
      </c>
      <c r="AT187" s="125">
        <v>2881</v>
      </c>
      <c r="AU187" s="125">
        <v>1995</v>
      </c>
      <c r="AV187" s="125">
        <v>2885</v>
      </c>
      <c r="AW187" s="125">
        <v>7873</v>
      </c>
      <c r="AX187" s="126"/>
      <c r="AY187" s="126"/>
      <c r="AZ187" s="126">
        <v>182</v>
      </c>
      <c r="BA187" s="126"/>
      <c r="BB187" s="125">
        <v>406</v>
      </c>
      <c r="BC187" s="125"/>
      <c r="BD187" s="125">
        <v>28</v>
      </c>
      <c r="BE187" s="125">
        <v>110</v>
      </c>
      <c r="BF187" s="125">
        <v>509</v>
      </c>
      <c r="BG187" s="125">
        <v>3</v>
      </c>
      <c r="BH187" s="125">
        <v>1</v>
      </c>
      <c r="BI187" s="125">
        <v>7554</v>
      </c>
      <c r="BJ187" s="125">
        <v>34</v>
      </c>
      <c r="BK187" s="125">
        <v>3241</v>
      </c>
      <c r="BL187" s="125"/>
      <c r="BM187" s="125">
        <v>383</v>
      </c>
      <c r="BN187" s="125">
        <v>76</v>
      </c>
      <c r="BO187" s="125">
        <v>744</v>
      </c>
      <c r="BP187" s="125">
        <v>36485</v>
      </c>
      <c r="BQ187" s="125">
        <v>5422</v>
      </c>
      <c r="BR187" s="125">
        <v>96</v>
      </c>
      <c r="BS187" s="125">
        <v>2594</v>
      </c>
      <c r="BT187" s="125">
        <v>87</v>
      </c>
      <c r="BU187" s="125"/>
      <c r="BV187" s="125">
        <v>10</v>
      </c>
      <c r="BW187" s="125">
        <v>112</v>
      </c>
      <c r="BX187" s="125"/>
      <c r="BY187" s="125">
        <v>56</v>
      </c>
      <c r="BZ187" s="125">
        <v>0</v>
      </c>
      <c r="CA187" s="125">
        <v>11471</v>
      </c>
      <c r="CB187" s="125">
        <v>15022</v>
      </c>
      <c r="CC187" s="125">
        <v>97900</v>
      </c>
      <c r="CD187" s="125">
        <v>154397</v>
      </c>
      <c r="CE187" s="125">
        <v>16267</v>
      </c>
      <c r="CF187" s="125">
        <v>20446</v>
      </c>
      <c r="CG187" s="125">
        <v>0</v>
      </c>
      <c r="CH187" s="125">
        <v>19</v>
      </c>
      <c r="CI187" s="125">
        <v>21</v>
      </c>
      <c r="CJ187" s="125">
        <v>88</v>
      </c>
      <c r="CK187" s="125"/>
      <c r="CL187" s="125"/>
      <c r="CM187" s="125"/>
      <c r="CN187" s="125"/>
      <c r="CO187" s="125"/>
      <c r="CP187" s="125"/>
      <c r="CQ187" s="125"/>
      <c r="CR187" s="125"/>
      <c r="CS187" s="125"/>
      <c r="CT187" s="125"/>
      <c r="CU187" s="125"/>
      <c r="CV187" s="125"/>
      <c r="CW187" s="125"/>
      <c r="CX187" s="125"/>
      <c r="CY187" s="125" t="s">
        <v>370</v>
      </c>
      <c r="CZ187" s="125" t="s">
        <v>370</v>
      </c>
      <c r="DA187" s="125" t="s">
        <v>370</v>
      </c>
      <c r="DB187" s="125">
        <v>36</v>
      </c>
      <c r="DC187" s="125">
        <v>0</v>
      </c>
      <c r="DD187" s="125">
        <v>45</v>
      </c>
      <c r="DE187">
        <f t="shared" si="38"/>
        <v>610319</v>
      </c>
      <c r="DG187" s="1">
        <f t="shared" si="52"/>
        <v>382635</v>
      </c>
      <c r="DH187" s="1">
        <f t="shared" si="39"/>
        <v>202243</v>
      </c>
      <c r="DI187" s="127">
        <f t="shared" si="40"/>
        <v>584878</v>
      </c>
      <c r="DK187" s="1">
        <f t="shared" si="41"/>
        <v>62507</v>
      </c>
      <c r="DL187" s="1">
        <f t="shared" si="42"/>
        <v>105001</v>
      </c>
      <c r="DM187" s="1">
        <f t="shared" si="43"/>
        <v>9842</v>
      </c>
      <c r="DN187" s="1">
        <f t="shared" si="44"/>
        <v>23204</v>
      </c>
      <c r="DO187" s="1">
        <f t="shared" si="45"/>
        <v>293835</v>
      </c>
      <c r="DP187" s="1">
        <f t="shared" si="46"/>
        <v>39493</v>
      </c>
      <c r="DQ187" s="1">
        <f t="shared" si="53"/>
        <v>0</v>
      </c>
      <c r="DR187" s="1">
        <f t="shared" si="47"/>
        <v>15352</v>
      </c>
      <c r="DS187" s="1">
        <f t="shared" si="48"/>
        <v>792</v>
      </c>
      <c r="DT187" s="1">
        <f t="shared" si="49"/>
        <v>11491</v>
      </c>
      <c r="DU187" s="1"/>
      <c r="DV187" s="1"/>
      <c r="DW187" s="1"/>
      <c r="DX187" s="1">
        <f t="shared" si="54"/>
        <v>561517</v>
      </c>
      <c r="DZ187" s="1">
        <f t="shared" si="55"/>
        <v>20446</v>
      </c>
      <c r="EA187" s="1">
        <f t="shared" si="50"/>
        <v>32342</v>
      </c>
      <c r="EC187" s="1">
        <f t="shared" si="56"/>
        <v>614305</v>
      </c>
      <c r="ED187" s="1">
        <f t="shared" si="51"/>
        <v>3986</v>
      </c>
      <c r="EE187" s="1"/>
    </row>
    <row r="188" spans="1:135" x14ac:dyDescent="0.25">
      <c r="A188" s="124">
        <v>37926</v>
      </c>
      <c r="B188" s="125">
        <v>1</v>
      </c>
      <c r="C188" s="125">
        <v>32</v>
      </c>
      <c r="D188" s="125">
        <v>6214</v>
      </c>
      <c r="E188" s="125" t="s">
        <v>370</v>
      </c>
      <c r="F188" s="125" t="s">
        <v>370</v>
      </c>
      <c r="G188" s="125">
        <v>8209</v>
      </c>
      <c r="H188" s="125">
        <v>14119</v>
      </c>
      <c r="I188" s="125">
        <v>3072</v>
      </c>
      <c r="J188" s="125">
        <v>7961</v>
      </c>
      <c r="K188" s="125"/>
      <c r="L188" s="125">
        <v>31675</v>
      </c>
      <c r="M188" s="125">
        <v>2870</v>
      </c>
      <c r="N188" s="125"/>
      <c r="O188" s="125">
        <v>1774</v>
      </c>
      <c r="P188" s="125">
        <v>8722</v>
      </c>
      <c r="Q188" s="125">
        <v>566</v>
      </c>
      <c r="R188" s="125">
        <v>7521</v>
      </c>
      <c r="S188" s="125">
        <v>9842</v>
      </c>
      <c r="T188" s="125"/>
      <c r="U188" s="125"/>
      <c r="V188" s="125">
        <v>410</v>
      </c>
      <c r="W188" s="125">
        <v>8969</v>
      </c>
      <c r="X188" s="125">
        <v>463</v>
      </c>
      <c r="Y188" s="125">
        <v>21</v>
      </c>
      <c r="Z188" s="126"/>
      <c r="AA188" s="125">
        <v>10</v>
      </c>
      <c r="AB188" s="125">
        <v>55</v>
      </c>
      <c r="AC188" s="125">
        <v>15</v>
      </c>
      <c r="AD188" s="125">
        <v>27</v>
      </c>
      <c r="AE188" s="125">
        <v>30</v>
      </c>
      <c r="AF188" s="125">
        <v>54</v>
      </c>
      <c r="AG188" s="125"/>
      <c r="AH188" s="125"/>
      <c r="AI188" s="125">
        <v>5</v>
      </c>
      <c r="AJ188" s="125">
        <v>7165</v>
      </c>
      <c r="AK188" s="125">
        <v>85647</v>
      </c>
      <c r="AL188" s="125">
        <v>3368</v>
      </c>
      <c r="AM188" s="125">
        <v>11519</v>
      </c>
      <c r="AN188" s="125">
        <v>45</v>
      </c>
      <c r="AO188" s="125">
        <v>9</v>
      </c>
      <c r="AP188" s="125">
        <v>3597</v>
      </c>
      <c r="AQ188" s="125">
        <v>0</v>
      </c>
      <c r="AR188" s="125">
        <v>1357</v>
      </c>
      <c r="AS188" s="125" t="s">
        <v>370</v>
      </c>
      <c r="AT188" s="125">
        <v>2962</v>
      </c>
      <c r="AU188" s="125">
        <v>2007</v>
      </c>
      <c r="AV188" s="125">
        <v>2891</v>
      </c>
      <c r="AW188" s="125">
        <v>8025</v>
      </c>
      <c r="AX188" s="126"/>
      <c r="AY188" s="126"/>
      <c r="AZ188" s="126">
        <v>191</v>
      </c>
      <c r="BA188" s="126"/>
      <c r="BB188" s="125">
        <v>431</v>
      </c>
      <c r="BC188" s="125"/>
      <c r="BD188" s="125">
        <v>25</v>
      </c>
      <c r="BE188" s="125">
        <v>96</v>
      </c>
      <c r="BF188" s="125">
        <v>513</v>
      </c>
      <c r="BG188" s="125">
        <v>3</v>
      </c>
      <c r="BH188" s="125">
        <v>1</v>
      </c>
      <c r="BI188" s="125">
        <v>7596</v>
      </c>
      <c r="BJ188" s="125">
        <v>32</v>
      </c>
      <c r="BK188" s="125">
        <v>3271</v>
      </c>
      <c r="BL188" s="125"/>
      <c r="BM188" s="125">
        <v>412</v>
      </c>
      <c r="BN188" s="125">
        <v>77</v>
      </c>
      <c r="BO188" s="125">
        <v>792</v>
      </c>
      <c r="BP188" s="125">
        <v>37278</v>
      </c>
      <c r="BQ188" s="125">
        <v>4983</v>
      </c>
      <c r="BR188" s="125">
        <v>96</v>
      </c>
      <c r="BS188" s="125">
        <v>2779</v>
      </c>
      <c r="BT188" s="125">
        <v>85</v>
      </c>
      <c r="BU188" s="125"/>
      <c r="BV188" s="125">
        <v>11</v>
      </c>
      <c r="BW188" s="125">
        <v>111</v>
      </c>
      <c r="BX188" s="125"/>
      <c r="BY188" s="125">
        <v>56</v>
      </c>
      <c r="BZ188" s="125">
        <v>0</v>
      </c>
      <c r="CA188" s="125">
        <v>12115</v>
      </c>
      <c r="CB188" s="125">
        <v>15332</v>
      </c>
      <c r="CC188" s="125">
        <v>100833</v>
      </c>
      <c r="CD188" s="125">
        <v>158442</v>
      </c>
      <c r="CE188" s="125">
        <v>16905</v>
      </c>
      <c r="CF188" s="125">
        <v>20668</v>
      </c>
      <c r="CG188" s="125">
        <v>0</v>
      </c>
      <c r="CH188" s="125">
        <v>20</v>
      </c>
      <c r="CI188" s="125">
        <v>21</v>
      </c>
      <c r="CJ188" s="125">
        <v>82</v>
      </c>
      <c r="CK188" s="125"/>
      <c r="CL188" s="125"/>
      <c r="CM188" s="125"/>
      <c r="CN188" s="125"/>
      <c r="CO188" s="125"/>
      <c r="CP188" s="125"/>
      <c r="CQ188" s="125"/>
      <c r="CR188" s="125"/>
      <c r="CS188" s="125"/>
      <c r="CT188" s="125"/>
      <c r="CU188" s="125"/>
      <c r="CV188" s="125"/>
      <c r="CW188" s="125"/>
      <c r="CX188" s="125"/>
      <c r="CY188" s="125" t="s">
        <v>370</v>
      </c>
      <c r="CZ188" s="125" t="s">
        <v>370</v>
      </c>
      <c r="DA188" s="125" t="s">
        <v>370</v>
      </c>
      <c r="DB188" s="125">
        <v>37</v>
      </c>
      <c r="DC188" s="125">
        <v>0</v>
      </c>
      <c r="DD188" s="125">
        <v>45</v>
      </c>
      <c r="DE188">
        <f t="shared" si="38"/>
        <v>624486</v>
      </c>
      <c r="DG188" s="1">
        <f t="shared" si="52"/>
        <v>386215</v>
      </c>
      <c r="DH188" s="1">
        <f t="shared" si="39"/>
        <v>203025</v>
      </c>
      <c r="DI188" s="127">
        <f t="shared" si="40"/>
        <v>589240</v>
      </c>
      <c r="DK188" s="1">
        <f t="shared" si="41"/>
        <v>62723</v>
      </c>
      <c r="DL188" s="1">
        <f t="shared" si="42"/>
        <v>106690</v>
      </c>
      <c r="DM188" s="1">
        <f t="shared" si="43"/>
        <v>9883</v>
      </c>
      <c r="DN188" s="1">
        <f t="shared" si="44"/>
        <v>23426</v>
      </c>
      <c r="DO188" s="1">
        <f t="shared" si="45"/>
        <v>296589</v>
      </c>
      <c r="DP188" s="1">
        <f t="shared" si="46"/>
        <v>40497</v>
      </c>
      <c r="DQ188" s="1">
        <f t="shared" si="53"/>
        <v>0</v>
      </c>
      <c r="DR188" s="1">
        <f t="shared" si="47"/>
        <v>15010</v>
      </c>
      <c r="DS188" s="1">
        <f t="shared" si="48"/>
        <v>904</v>
      </c>
      <c r="DT188" s="1">
        <f t="shared" si="49"/>
        <v>11530</v>
      </c>
      <c r="DU188" s="1"/>
      <c r="DV188" s="1"/>
      <c r="DW188" s="1"/>
      <c r="DX188" s="1">
        <f t="shared" si="54"/>
        <v>567252</v>
      </c>
      <c r="DZ188" s="1">
        <f t="shared" si="55"/>
        <v>20668</v>
      </c>
      <c r="EA188" s="1">
        <f t="shared" si="50"/>
        <v>33361</v>
      </c>
      <c r="EC188" s="1">
        <f t="shared" si="56"/>
        <v>621281</v>
      </c>
      <c r="ED188" s="1">
        <f t="shared" si="51"/>
        <v>-3205</v>
      </c>
      <c r="EE188" s="1"/>
    </row>
    <row r="189" spans="1:135" x14ac:dyDescent="0.25">
      <c r="A189" s="124">
        <v>37956</v>
      </c>
      <c r="B189" s="125">
        <v>1</v>
      </c>
      <c r="C189" s="125">
        <v>29</v>
      </c>
      <c r="D189" s="125">
        <v>6425</v>
      </c>
      <c r="E189" s="125" t="s">
        <v>370</v>
      </c>
      <c r="F189" s="125" t="s">
        <v>370</v>
      </c>
      <c r="G189" s="125">
        <v>8340</v>
      </c>
      <c r="H189" s="125">
        <v>14511</v>
      </c>
      <c r="I189" s="125">
        <v>3104</v>
      </c>
      <c r="J189" s="125">
        <v>8043</v>
      </c>
      <c r="K189" s="125"/>
      <c r="L189" s="125">
        <v>31740</v>
      </c>
      <c r="M189" s="125">
        <v>2852</v>
      </c>
      <c r="N189" s="125"/>
      <c r="O189" s="125">
        <v>1761</v>
      </c>
      <c r="P189" s="125">
        <v>8800</v>
      </c>
      <c r="Q189" s="125">
        <v>572</v>
      </c>
      <c r="R189" s="125">
        <v>7982</v>
      </c>
      <c r="S189" s="125">
        <v>9883</v>
      </c>
      <c r="T189" s="125"/>
      <c r="U189" s="125"/>
      <c r="V189" s="125">
        <v>415</v>
      </c>
      <c r="W189" s="125">
        <v>8601</v>
      </c>
      <c r="X189" s="125">
        <v>463</v>
      </c>
      <c r="Y189" s="125">
        <v>21</v>
      </c>
      <c r="Z189" s="126"/>
      <c r="AA189" s="125">
        <v>8</v>
      </c>
      <c r="AB189" s="125">
        <v>52</v>
      </c>
      <c r="AC189" s="125">
        <v>15</v>
      </c>
      <c r="AD189" s="125">
        <v>27</v>
      </c>
      <c r="AE189" s="125">
        <v>30</v>
      </c>
      <c r="AF189" s="125">
        <v>52</v>
      </c>
      <c r="AG189" s="125"/>
      <c r="AH189" s="125"/>
      <c r="AI189" s="125">
        <v>5</v>
      </c>
      <c r="AJ189" s="125">
        <v>7121</v>
      </c>
      <c r="AK189" s="125">
        <v>85796</v>
      </c>
      <c r="AL189" s="125">
        <v>3359</v>
      </c>
      <c r="AM189" s="125">
        <v>11600</v>
      </c>
      <c r="AN189" s="125">
        <v>47</v>
      </c>
      <c r="AO189" s="125">
        <v>8</v>
      </c>
      <c r="AP189" s="125">
        <v>3699</v>
      </c>
      <c r="AQ189" s="125">
        <v>0</v>
      </c>
      <c r="AR189" s="125">
        <v>1366</v>
      </c>
      <c r="AS189" s="125" t="s">
        <v>370</v>
      </c>
      <c r="AT189" s="125">
        <v>3018</v>
      </c>
      <c r="AU189" s="125">
        <v>2001</v>
      </c>
      <c r="AV189" s="125">
        <v>3017</v>
      </c>
      <c r="AW189" s="125">
        <v>8067</v>
      </c>
      <c r="AX189" s="126"/>
      <c r="AY189" s="126"/>
      <c r="AZ189" s="126">
        <v>190</v>
      </c>
      <c r="BA189" s="126"/>
      <c r="BB189" s="125">
        <v>457</v>
      </c>
      <c r="BC189" s="125"/>
      <c r="BD189" s="125">
        <v>20</v>
      </c>
      <c r="BE189" s="125">
        <v>82</v>
      </c>
      <c r="BF189" s="125">
        <v>515</v>
      </c>
      <c r="BG189" s="125">
        <v>3</v>
      </c>
      <c r="BH189" s="125">
        <v>1</v>
      </c>
      <c r="BI189" s="125">
        <v>7627</v>
      </c>
      <c r="BJ189" s="125">
        <v>35</v>
      </c>
      <c r="BK189" s="125">
        <v>3274</v>
      </c>
      <c r="BL189" s="125"/>
      <c r="BM189" s="125">
        <v>370</v>
      </c>
      <c r="BN189" s="125">
        <v>78</v>
      </c>
      <c r="BO189" s="125">
        <v>904</v>
      </c>
      <c r="BP189" s="125">
        <v>37794</v>
      </c>
      <c r="BQ189" s="125">
        <v>4592</v>
      </c>
      <c r="BR189" s="125">
        <v>93</v>
      </c>
      <c r="BS189" s="125">
        <v>2957</v>
      </c>
      <c r="BT189" s="125">
        <v>90</v>
      </c>
      <c r="BU189" s="125"/>
      <c r="BV189" s="125">
        <v>11</v>
      </c>
      <c r="BW189" s="125">
        <v>114</v>
      </c>
      <c r="BX189" s="125"/>
      <c r="BY189" s="125">
        <v>51</v>
      </c>
      <c r="BZ189" s="125">
        <v>0</v>
      </c>
      <c r="CA189" s="125">
        <v>12400</v>
      </c>
      <c r="CB189" s="125">
        <v>14982</v>
      </c>
      <c r="CC189" s="125">
        <v>101617</v>
      </c>
      <c r="CD189" s="125">
        <v>160796</v>
      </c>
      <c r="CE189" s="125">
        <v>16650</v>
      </c>
      <c r="CF189" s="125">
        <v>21038</v>
      </c>
      <c r="CG189" s="125">
        <v>0</v>
      </c>
      <c r="CH189" s="125">
        <v>28</v>
      </c>
      <c r="CI189" s="125">
        <v>20</v>
      </c>
      <c r="CJ189" s="125">
        <v>73</v>
      </c>
      <c r="CK189" s="125"/>
      <c r="CL189" s="125"/>
      <c r="CM189" s="125"/>
      <c r="CN189" s="125"/>
      <c r="CO189" s="125"/>
      <c r="CP189" s="125"/>
      <c r="CQ189" s="125"/>
      <c r="CR189" s="125"/>
      <c r="CS189" s="125"/>
      <c r="CT189" s="125"/>
      <c r="CU189" s="125"/>
      <c r="CV189" s="125"/>
      <c r="CW189" s="125"/>
      <c r="CX189" s="125"/>
      <c r="CY189" s="125" t="s">
        <v>370</v>
      </c>
      <c r="CZ189" s="125" t="s">
        <v>370</v>
      </c>
      <c r="DA189" s="125" t="s">
        <v>370</v>
      </c>
      <c r="DB189" s="125">
        <v>37</v>
      </c>
      <c r="DC189" s="125">
        <v>0</v>
      </c>
      <c r="DD189" s="125">
        <v>51</v>
      </c>
      <c r="DE189">
        <f t="shared" si="38"/>
        <v>629693</v>
      </c>
      <c r="DG189" s="1">
        <f t="shared" si="52"/>
        <v>392515</v>
      </c>
      <c r="DH189" s="1">
        <f t="shared" si="39"/>
        <v>199134</v>
      </c>
      <c r="DI189" s="127">
        <f t="shared" si="40"/>
        <v>591649</v>
      </c>
      <c r="DK189" s="1">
        <f t="shared" si="41"/>
        <v>62277</v>
      </c>
      <c r="DL189" s="1">
        <f t="shared" si="42"/>
        <v>106993</v>
      </c>
      <c r="DM189" s="1">
        <f t="shared" si="43"/>
        <v>9870</v>
      </c>
      <c r="DN189" s="1">
        <f t="shared" si="44"/>
        <v>19928</v>
      </c>
      <c r="DO189" s="1">
        <f t="shared" si="45"/>
        <v>301120</v>
      </c>
      <c r="DP189" s="1">
        <f t="shared" si="46"/>
        <v>41144</v>
      </c>
      <c r="DQ189" s="1">
        <f t="shared" si="53"/>
        <v>0</v>
      </c>
      <c r="DR189" s="1">
        <f t="shared" si="47"/>
        <v>15071</v>
      </c>
      <c r="DS189" s="1">
        <f t="shared" si="48"/>
        <v>1056</v>
      </c>
      <c r="DT189" s="1">
        <f t="shared" si="49"/>
        <v>11608</v>
      </c>
      <c r="DU189" s="1"/>
      <c r="DV189" s="1"/>
      <c r="DW189" s="1"/>
      <c r="DX189" s="1">
        <f t="shared" si="54"/>
        <v>569067</v>
      </c>
      <c r="DZ189" s="1">
        <f t="shared" si="55"/>
        <v>21038</v>
      </c>
      <c r="EA189" s="1">
        <f t="shared" si="50"/>
        <v>33998</v>
      </c>
      <c r="EC189" s="1">
        <f t="shared" si="56"/>
        <v>624103</v>
      </c>
      <c r="ED189" s="1">
        <f t="shared" si="51"/>
        <v>-5590</v>
      </c>
      <c r="EE189" s="1"/>
    </row>
    <row r="190" spans="1:135" x14ac:dyDescent="0.25">
      <c r="A190" s="124">
        <v>37987</v>
      </c>
      <c r="B190" s="125">
        <v>2</v>
      </c>
      <c r="C190" s="125">
        <v>37</v>
      </c>
      <c r="D190" s="125">
        <v>6193</v>
      </c>
      <c r="E190" s="125" t="s">
        <v>370</v>
      </c>
      <c r="F190" s="125" t="s">
        <v>370</v>
      </c>
      <c r="G190" s="125">
        <v>8650</v>
      </c>
      <c r="H190" s="125">
        <v>15197</v>
      </c>
      <c r="I190" s="125">
        <v>3139</v>
      </c>
      <c r="J190" s="125">
        <v>8040</v>
      </c>
      <c r="K190" s="125"/>
      <c r="L190" s="125">
        <v>31672</v>
      </c>
      <c r="M190" s="125">
        <v>2824</v>
      </c>
      <c r="N190" s="125"/>
      <c r="O190" s="125">
        <v>1951</v>
      </c>
      <c r="P190" s="125">
        <v>8719</v>
      </c>
      <c r="Q190" s="125">
        <v>604</v>
      </c>
      <c r="R190" s="125">
        <v>8667</v>
      </c>
      <c r="S190" s="125">
        <v>9870</v>
      </c>
      <c r="T190" s="125"/>
      <c r="U190" s="125"/>
      <c r="V190" s="125">
        <v>463</v>
      </c>
      <c r="W190" s="125">
        <v>7377</v>
      </c>
      <c r="X190" s="125">
        <v>465</v>
      </c>
      <c r="Y190" s="125">
        <v>20</v>
      </c>
      <c r="Z190" s="126"/>
      <c r="AA190" s="125">
        <v>9</v>
      </c>
      <c r="AB190" s="125">
        <v>50</v>
      </c>
      <c r="AC190" s="125">
        <v>14</v>
      </c>
      <c r="AD190" s="125">
        <v>28</v>
      </c>
      <c r="AE190" s="125">
        <v>36</v>
      </c>
      <c r="AF190" s="125">
        <v>51</v>
      </c>
      <c r="AG190" s="125"/>
      <c r="AH190" s="125"/>
      <c r="AI190" s="125">
        <v>6</v>
      </c>
      <c r="AJ190" s="125">
        <v>6818</v>
      </c>
      <c r="AK190" s="125">
        <v>85888</v>
      </c>
      <c r="AL190" s="125">
        <v>3333</v>
      </c>
      <c r="AM190" s="125">
        <v>11629</v>
      </c>
      <c r="AN190" s="125">
        <v>48</v>
      </c>
      <c r="AO190" s="125">
        <v>7</v>
      </c>
      <c r="AP190" s="125">
        <v>98</v>
      </c>
      <c r="AQ190" s="125">
        <v>0</v>
      </c>
      <c r="AR190" s="125">
        <v>1439</v>
      </c>
      <c r="AS190" s="125" t="s">
        <v>370</v>
      </c>
      <c r="AT190" s="125">
        <v>3040</v>
      </c>
      <c r="AU190" s="125">
        <v>2022</v>
      </c>
      <c r="AV190" s="125">
        <v>3176</v>
      </c>
      <c r="AW190" s="125">
        <v>8143</v>
      </c>
      <c r="AX190" s="126"/>
      <c r="AY190" s="126"/>
      <c r="AZ190" s="126">
        <v>190</v>
      </c>
      <c r="BA190" s="126"/>
      <c r="BB190" s="125">
        <v>477</v>
      </c>
      <c r="BC190" s="125"/>
      <c r="BD190" s="125">
        <v>17</v>
      </c>
      <c r="BE190" s="125">
        <v>81</v>
      </c>
      <c r="BF190" s="125">
        <v>518</v>
      </c>
      <c r="BG190" s="125">
        <v>5</v>
      </c>
      <c r="BH190" s="125">
        <v>4</v>
      </c>
      <c r="BI190" s="125">
        <v>7688</v>
      </c>
      <c r="BJ190" s="125">
        <v>38</v>
      </c>
      <c r="BK190" s="125">
        <v>3288</v>
      </c>
      <c r="BL190" s="125"/>
      <c r="BM190" s="125">
        <v>351</v>
      </c>
      <c r="BN190" s="125">
        <v>63</v>
      </c>
      <c r="BO190" s="125">
        <v>1056</v>
      </c>
      <c r="BP190" s="125">
        <v>38796</v>
      </c>
      <c r="BQ190" s="125">
        <v>4217</v>
      </c>
      <c r="BR190" s="125">
        <v>100</v>
      </c>
      <c r="BS190" s="125">
        <v>3263</v>
      </c>
      <c r="BT190" s="125">
        <v>79</v>
      </c>
      <c r="BU190" s="125"/>
      <c r="BV190" s="125">
        <v>10</v>
      </c>
      <c r="BW190" s="125">
        <v>114</v>
      </c>
      <c r="BX190" s="125"/>
      <c r="BY190" s="125">
        <v>48</v>
      </c>
      <c r="BZ190" s="125">
        <v>0</v>
      </c>
      <c r="CA190" s="125">
        <v>12818</v>
      </c>
      <c r="CB190" s="125">
        <v>15042</v>
      </c>
      <c r="CC190" s="125">
        <v>103205</v>
      </c>
      <c r="CD190" s="125">
        <v>163279</v>
      </c>
      <c r="CE190" s="125">
        <v>17088</v>
      </c>
      <c r="CF190" s="125">
        <v>21228</v>
      </c>
      <c r="CG190" s="125">
        <v>0</v>
      </c>
      <c r="CH190" s="125">
        <v>29</v>
      </c>
      <c r="CI190" s="125">
        <v>20</v>
      </c>
      <c r="CJ190" s="125">
        <v>70</v>
      </c>
      <c r="CK190" s="125"/>
      <c r="CL190" s="125"/>
      <c r="CM190" s="125"/>
      <c r="CN190" s="125"/>
      <c r="CO190" s="125"/>
      <c r="CP190" s="125"/>
      <c r="CQ190" s="125"/>
      <c r="CR190" s="125"/>
      <c r="CS190" s="125"/>
      <c r="CT190" s="125"/>
      <c r="CU190" s="125"/>
      <c r="CV190" s="125"/>
      <c r="CW190" s="125"/>
      <c r="CX190" s="125"/>
      <c r="CY190" s="125" t="s">
        <v>370</v>
      </c>
      <c r="CZ190" s="125" t="s">
        <v>370</v>
      </c>
      <c r="DA190" s="125" t="s">
        <v>370</v>
      </c>
      <c r="DB190" s="125">
        <v>37</v>
      </c>
      <c r="DC190" s="125">
        <v>0</v>
      </c>
      <c r="DD190" s="125">
        <v>51</v>
      </c>
      <c r="DE190">
        <f t="shared" si="38"/>
        <v>632907</v>
      </c>
      <c r="DG190" s="1">
        <f t="shared" si="52"/>
        <v>395258</v>
      </c>
      <c r="DH190" s="1">
        <f t="shared" si="39"/>
        <v>199893</v>
      </c>
      <c r="DI190" s="127">
        <f t="shared" si="40"/>
        <v>595151</v>
      </c>
      <c r="DK190" s="1">
        <f t="shared" si="41"/>
        <v>61956</v>
      </c>
      <c r="DL190" s="1">
        <f t="shared" si="42"/>
        <v>107059</v>
      </c>
      <c r="DM190" s="1">
        <f t="shared" si="43"/>
        <v>9876</v>
      </c>
      <c r="DN190" s="1">
        <f t="shared" si="44"/>
        <v>21204</v>
      </c>
      <c r="DO190" s="1">
        <f t="shared" si="45"/>
        <v>303271</v>
      </c>
      <c r="DP190" s="1">
        <f t="shared" si="46"/>
        <v>42432</v>
      </c>
      <c r="DQ190" s="1">
        <f t="shared" si="53"/>
        <v>0</v>
      </c>
      <c r="DR190" s="1">
        <f t="shared" si="47"/>
        <v>14659</v>
      </c>
      <c r="DS190" s="1">
        <f t="shared" si="48"/>
        <v>1445</v>
      </c>
      <c r="DT190" s="1">
        <f t="shared" si="49"/>
        <v>11615</v>
      </c>
      <c r="DU190" s="1"/>
      <c r="DV190" s="1"/>
      <c r="DW190" s="1"/>
      <c r="DX190" s="1">
        <f t="shared" si="54"/>
        <v>573517</v>
      </c>
      <c r="DZ190" s="1">
        <f t="shared" si="55"/>
        <v>21228</v>
      </c>
      <c r="EA190" s="1">
        <f t="shared" si="50"/>
        <v>35026</v>
      </c>
      <c r="EC190" s="1">
        <f t="shared" si="56"/>
        <v>629771</v>
      </c>
      <c r="ED190" s="1">
        <f t="shared" si="51"/>
        <v>-3136</v>
      </c>
      <c r="EE190" s="1"/>
    </row>
    <row r="191" spans="1:135" x14ac:dyDescent="0.25">
      <c r="A191" s="124">
        <v>38018</v>
      </c>
      <c r="B191" s="125">
        <v>2</v>
      </c>
      <c r="C191" s="125">
        <v>31</v>
      </c>
      <c r="D191" s="125">
        <v>6098</v>
      </c>
      <c r="E191" s="125" t="s">
        <v>370</v>
      </c>
      <c r="F191" s="125" t="s">
        <v>370</v>
      </c>
      <c r="G191" s="125">
        <v>8673</v>
      </c>
      <c r="H191" s="125">
        <v>15406</v>
      </c>
      <c r="I191" s="125">
        <v>3088</v>
      </c>
      <c r="J191" s="125">
        <v>7989</v>
      </c>
      <c r="K191" s="125"/>
      <c r="L191" s="125">
        <v>31566</v>
      </c>
      <c r="M191" s="125">
        <v>2820</v>
      </c>
      <c r="N191" s="125"/>
      <c r="O191" s="125">
        <v>1934</v>
      </c>
      <c r="P191" s="125">
        <v>8614</v>
      </c>
      <c r="Q191" s="125">
        <v>607</v>
      </c>
      <c r="R191" s="125">
        <v>8632</v>
      </c>
      <c r="S191" s="125">
        <v>9876</v>
      </c>
      <c r="T191" s="125"/>
      <c r="U191" s="125"/>
      <c r="V191" s="125">
        <v>461</v>
      </c>
      <c r="W191" s="125">
        <v>7322</v>
      </c>
      <c r="X191" s="125">
        <v>460</v>
      </c>
      <c r="Y191" s="125">
        <v>20</v>
      </c>
      <c r="Z191" s="126"/>
      <c r="AA191" s="125">
        <v>10</v>
      </c>
      <c r="AB191" s="125">
        <v>49</v>
      </c>
      <c r="AC191" s="125">
        <v>14</v>
      </c>
      <c r="AD191" s="125">
        <v>28</v>
      </c>
      <c r="AE191" s="125">
        <v>35</v>
      </c>
      <c r="AF191" s="125">
        <v>53</v>
      </c>
      <c r="AG191" s="125"/>
      <c r="AH191" s="125"/>
      <c r="AI191" s="125">
        <v>7</v>
      </c>
      <c r="AJ191" s="125">
        <v>6823</v>
      </c>
      <c r="AK191" s="125">
        <v>85679</v>
      </c>
      <c r="AL191" s="125">
        <v>3329</v>
      </c>
      <c r="AM191" s="125">
        <v>11722</v>
      </c>
      <c r="AN191" s="125">
        <v>40</v>
      </c>
      <c r="AO191" s="125">
        <v>7</v>
      </c>
      <c r="AP191" s="125">
        <v>1205</v>
      </c>
      <c r="AQ191" s="125">
        <v>0</v>
      </c>
      <c r="AR191" s="125">
        <v>1438</v>
      </c>
      <c r="AS191" s="125" t="s">
        <v>370</v>
      </c>
      <c r="AT191" s="125">
        <v>3062</v>
      </c>
      <c r="AU191" s="125">
        <v>2003</v>
      </c>
      <c r="AV191" s="125">
        <v>3174</v>
      </c>
      <c r="AW191" s="125">
        <v>8217</v>
      </c>
      <c r="AX191" s="126"/>
      <c r="AY191" s="126"/>
      <c r="AZ191" s="126">
        <v>203</v>
      </c>
      <c r="BA191" s="126"/>
      <c r="BB191" s="125">
        <v>483</v>
      </c>
      <c r="BC191" s="125"/>
      <c r="BD191" s="125">
        <v>16</v>
      </c>
      <c r="BE191" s="125">
        <v>81</v>
      </c>
      <c r="BF191" s="125">
        <v>526</v>
      </c>
      <c r="BG191" s="125">
        <v>5</v>
      </c>
      <c r="BH191" s="125">
        <v>4</v>
      </c>
      <c r="BI191" s="125">
        <v>7695</v>
      </c>
      <c r="BJ191" s="125">
        <v>44</v>
      </c>
      <c r="BK191" s="125">
        <v>3279</v>
      </c>
      <c r="BL191" s="125"/>
      <c r="BM191" s="125">
        <v>337</v>
      </c>
      <c r="BN191" s="125">
        <v>62</v>
      </c>
      <c r="BO191" s="125">
        <v>1445</v>
      </c>
      <c r="BP191" s="125">
        <v>39345</v>
      </c>
      <c r="BQ191" s="125">
        <v>3927</v>
      </c>
      <c r="BR191" s="125">
        <v>101</v>
      </c>
      <c r="BS191" s="125">
        <v>3485</v>
      </c>
      <c r="BT191" s="125">
        <v>90</v>
      </c>
      <c r="BU191" s="125"/>
      <c r="BV191" s="125">
        <v>14</v>
      </c>
      <c r="BW191" s="125">
        <v>115</v>
      </c>
      <c r="BX191" s="125"/>
      <c r="BY191" s="125">
        <v>44</v>
      </c>
      <c r="BZ191" s="125">
        <v>0</v>
      </c>
      <c r="CA191" s="125">
        <v>12788</v>
      </c>
      <c r="CB191" s="125">
        <v>14633</v>
      </c>
      <c r="CC191" s="125">
        <v>104057</v>
      </c>
      <c r="CD191" s="125">
        <v>164759</v>
      </c>
      <c r="CE191" s="125">
        <v>17215</v>
      </c>
      <c r="CF191" s="125">
        <v>21080</v>
      </c>
      <c r="CG191" s="125">
        <v>0</v>
      </c>
      <c r="CH191" s="125">
        <v>26</v>
      </c>
      <c r="CI191" s="125">
        <v>19</v>
      </c>
      <c r="CJ191" s="125">
        <v>66</v>
      </c>
      <c r="CK191" s="125"/>
      <c r="CL191" s="125"/>
      <c r="CM191" s="125"/>
      <c r="CN191" s="125"/>
      <c r="CO191" s="125"/>
      <c r="CP191" s="125"/>
      <c r="CQ191" s="125"/>
      <c r="CR191" s="125"/>
      <c r="CS191" s="125"/>
      <c r="CT191" s="125"/>
      <c r="CU191" s="125"/>
      <c r="CV191" s="125"/>
      <c r="CW191" s="125"/>
      <c r="CX191" s="125"/>
      <c r="CY191" s="125" t="s">
        <v>370</v>
      </c>
      <c r="CZ191" s="125" t="s">
        <v>370</v>
      </c>
      <c r="DA191" s="125" t="s">
        <v>370</v>
      </c>
      <c r="DB191" s="125">
        <v>37</v>
      </c>
      <c r="DC191" s="125">
        <v>0</v>
      </c>
      <c r="DD191" s="125">
        <v>51</v>
      </c>
      <c r="DE191">
        <f t="shared" si="38"/>
        <v>636438</v>
      </c>
      <c r="DG191" s="1">
        <f t="shared" si="52"/>
        <v>399678</v>
      </c>
      <c r="DH191" s="1">
        <f t="shared" si="39"/>
        <v>201548</v>
      </c>
      <c r="DI191" s="127">
        <f t="shared" si="40"/>
        <v>601226</v>
      </c>
      <c r="DK191" s="1">
        <f t="shared" si="41"/>
        <v>62032</v>
      </c>
      <c r="DL191" s="1">
        <f t="shared" si="42"/>
        <v>106857</v>
      </c>
      <c r="DM191" s="1">
        <f t="shared" si="43"/>
        <v>9933</v>
      </c>
      <c r="DN191" s="1">
        <f t="shared" si="44"/>
        <v>22429</v>
      </c>
      <c r="DO191" s="1">
        <f t="shared" si="45"/>
        <v>305989</v>
      </c>
      <c r="DP191" s="1">
        <f t="shared" si="46"/>
        <v>43188</v>
      </c>
      <c r="DQ191" s="1">
        <f t="shared" si="53"/>
        <v>0</v>
      </c>
      <c r="DR191" s="1">
        <f t="shared" si="47"/>
        <v>14826</v>
      </c>
      <c r="DS191" s="1">
        <f t="shared" si="48"/>
        <v>1950</v>
      </c>
      <c r="DT191" s="1">
        <f t="shared" si="49"/>
        <v>11670</v>
      </c>
      <c r="DU191" s="1"/>
      <c r="DV191" s="1"/>
      <c r="DW191" s="1"/>
      <c r="DX191" s="1">
        <f t="shared" si="54"/>
        <v>578874</v>
      </c>
      <c r="DZ191" s="1">
        <f t="shared" si="55"/>
        <v>21080</v>
      </c>
      <c r="EA191" s="1">
        <f t="shared" si="50"/>
        <v>35156</v>
      </c>
      <c r="EC191" s="1">
        <f t="shared" si="56"/>
        <v>635110</v>
      </c>
      <c r="ED191" s="1">
        <f t="shared" si="51"/>
        <v>-1328</v>
      </c>
      <c r="EE191" s="1"/>
    </row>
    <row r="192" spans="1:135" x14ac:dyDescent="0.25">
      <c r="A192" s="124">
        <v>38047</v>
      </c>
      <c r="B192" s="125">
        <v>2</v>
      </c>
      <c r="C192" s="125">
        <v>29</v>
      </c>
      <c r="D192" s="125">
        <v>6347</v>
      </c>
      <c r="E192" s="125" t="s">
        <v>370</v>
      </c>
      <c r="F192" s="125" t="s">
        <v>370</v>
      </c>
      <c r="G192" s="125">
        <v>8846</v>
      </c>
      <c r="H192" s="125">
        <v>15714</v>
      </c>
      <c r="I192" s="125">
        <v>3096</v>
      </c>
      <c r="J192" s="125">
        <v>7962</v>
      </c>
      <c r="K192" s="125"/>
      <c r="L192" s="125">
        <v>31553</v>
      </c>
      <c r="M192" s="125">
        <v>2803</v>
      </c>
      <c r="N192" s="125"/>
      <c r="O192" s="125">
        <v>1936</v>
      </c>
      <c r="P192" s="125">
        <v>8657</v>
      </c>
      <c r="Q192" s="125">
        <v>608</v>
      </c>
      <c r="R192" s="125">
        <v>8720</v>
      </c>
      <c r="S192" s="125">
        <v>9933</v>
      </c>
      <c r="T192" s="125"/>
      <c r="U192" s="125"/>
      <c r="V192" s="125">
        <v>453</v>
      </c>
      <c r="W192" s="125">
        <v>7302</v>
      </c>
      <c r="X192" s="125">
        <v>457</v>
      </c>
      <c r="Y192" s="125">
        <v>20</v>
      </c>
      <c r="Z192" s="126"/>
      <c r="AA192" s="125">
        <v>10</v>
      </c>
      <c r="AB192" s="125">
        <v>50</v>
      </c>
      <c r="AC192" s="125">
        <v>12</v>
      </c>
      <c r="AD192" s="125">
        <v>29</v>
      </c>
      <c r="AE192" s="125">
        <v>34</v>
      </c>
      <c r="AF192" s="125">
        <v>54</v>
      </c>
      <c r="AG192" s="125"/>
      <c r="AH192" s="125"/>
      <c r="AI192" s="125">
        <v>7</v>
      </c>
      <c r="AJ192" s="125">
        <v>6853</v>
      </c>
      <c r="AK192" s="125">
        <v>85906</v>
      </c>
      <c r="AL192" s="125">
        <v>3296</v>
      </c>
      <c r="AM192" s="125">
        <v>11827</v>
      </c>
      <c r="AN192" s="125">
        <v>36</v>
      </c>
      <c r="AO192" s="125">
        <v>9</v>
      </c>
      <c r="AP192" s="125">
        <v>2260</v>
      </c>
      <c r="AQ192" s="125">
        <v>0</v>
      </c>
      <c r="AR192" s="125">
        <v>1412</v>
      </c>
      <c r="AS192" s="125" t="s">
        <v>370</v>
      </c>
      <c r="AT192" s="125">
        <v>3109</v>
      </c>
      <c r="AU192" s="125">
        <v>2006</v>
      </c>
      <c r="AV192" s="125">
        <v>3227</v>
      </c>
      <c r="AW192" s="125">
        <v>8279</v>
      </c>
      <c r="AX192" s="126"/>
      <c r="AY192" s="126"/>
      <c r="AZ192" s="126">
        <v>210</v>
      </c>
      <c r="BA192" s="126"/>
      <c r="BB192" s="125">
        <v>480</v>
      </c>
      <c r="BC192" s="125"/>
      <c r="BD192" s="125">
        <v>16</v>
      </c>
      <c r="BE192" s="125">
        <v>76</v>
      </c>
      <c r="BF192" s="125">
        <v>528</v>
      </c>
      <c r="BG192" s="125">
        <v>5</v>
      </c>
      <c r="BH192" s="125">
        <v>4</v>
      </c>
      <c r="BI192" s="125">
        <v>7764</v>
      </c>
      <c r="BJ192" s="125">
        <v>40</v>
      </c>
      <c r="BK192" s="125">
        <v>3263</v>
      </c>
      <c r="BL192" s="125"/>
      <c r="BM192" s="125">
        <v>351</v>
      </c>
      <c r="BN192" s="125">
        <v>61</v>
      </c>
      <c r="BO192" s="125">
        <v>1950</v>
      </c>
      <c r="BP192" s="125">
        <v>40029</v>
      </c>
      <c r="BQ192" s="125">
        <v>3592</v>
      </c>
      <c r="BR192" s="125">
        <v>94</v>
      </c>
      <c r="BS192" s="125">
        <v>3751</v>
      </c>
      <c r="BT192" s="125">
        <v>70</v>
      </c>
      <c r="BU192" s="125"/>
      <c r="BV192" s="125">
        <v>6</v>
      </c>
      <c r="BW192" s="125">
        <v>115</v>
      </c>
      <c r="BX192" s="125"/>
      <c r="BY192" s="125">
        <v>44</v>
      </c>
      <c r="BZ192" s="125">
        <v>0</v>
      </c>
      <c r="CA192" s="125">
        <v>13044</v>
      </c>
      <c r="CB192" s="125">
        <v>14800</v>
      </c>
      <c r="CC192" s="125">
        <v>105076</v>
      </c>
      <c r="CD192" s="125">
        <v>166431</v>
      </c>
      <c r="CE192" s="125">
        <v>17365</v>
      </c>
      <c r="CF192" s="125">
        <v>21091</v>
      </c>
      <c r="CG192" s="125">
        <v>0</v>
      </c>
      <c r="CH192" s="125">
        <v>26</v>
      </c>
      <c r="CI192" s="125">
        <v>18</v>
      </c>
      <c r="CJ192" s="125">
        <v>68</v>
      </c>
      <c r="CK192" s="125"/>
      <c r="CL192" s="125"/>
      <c r="CM192" s="125"/>
      <c r="CN192" s="125"/>
      <c r="CO192" s="125"/>
      <c r="CP192" s="125"/>
      <c r="CQ192" s="125"/>
      <c r="CR192" s="125"/>
      <c r="CS192" s="125"/>
      <c r="CT192" s="125"/>
      <c r="CU192" s="125"/>
      <c r="CV192" s="125"/>
      <c r="CW192" s="125"/>
      <c r="CX192" s="125"/>
      <c r="CY192" s="125" t="s">
        <v>370</v>
      </c>
      <c r="CZ192" s="125" t="s">
        <v>370</v>
      </c>
      <c r="DA192" s="125" t="s">
        <v>370</v>
      </c>
      <c r="DB192" s="125">
        <v>37</v>
      </c>
      <c r="DC192" s="125">
        <v>0</v>
      </c>
      <c r="DD192" s="125">
        <v>51</v>
      </c>
      <c r="DE192">
        <f t="shared" si="38"/>
        <v>643222</v>
      </c>
      <c r="DG192" s="1">
        <f t="shared" si="52"/>
        <v>402773</v>
      </c>
      <c r="DH192" s="1">
        <f t="shared" si="39"/>
        <v>202075</v>
      </c>
      <c r="DI192" s="127">
        <f t="shared" si="40"/>
        <v>604848</v>
      </c>
      <c r="DK192" s="1">
        <f t="shared" si="41"/>
        <v>62115</v>
      </c>
      <c r="DL192" s="1">
        <f t="shared" si="42"/>
        <v>107154</v>
      </c>
      <c r="DM192" s="1">
        <f t="shared" si="43"/>
        <v>9912</v>
      </c>
      <c r="DN192" s="1">
        <f t="shared" si="44"/>
        <v>23012</v>
      </c>
      <c r="DO192" s="1">
        <f t="shared" si="45"/>
        <v>307777</v>
      </c>
      <c r="DP192" s="1">
        <f t="shared" si="46"/>
        <v>44152</v>
      </c>
      <c r="DQ192" s="1">
        <f t="shared" si="53"/>
        <v>0</v>
      </c>
      <c r="DR192" s="1">
        <f t="shared" si="47"/>
        <v>14872</v>
      </c>
      <c r="DS192" s="1">
        <f t="shared" si="48"/>
        <v>2531</v>
      </c>
      <c r="DT192" s="1">
        <f t="shared" si="49"/>
        <v>11730</v>
      </c>
      <c r="DU192" s="1"/>
      <c r="DV192" s="1"/>
      <c r="DW192" s="1"/>
      <c r="DX192" s="1">
        <f t="shared" si="54"/>
        <v>583255</v>
      </c>
      <c r="DZ192" s="1">
        <f t="shared" si="55"/>
        <v>21091</v>
      </c>
      <c r="EA192" s="1">
        <f t="shared" si="50"/>
        <v>35618</v>
      </c>
      <c r="EC192" s="1">
        <f t="shared" si="56"/>
        <v>639964</v>
      </c>
      <c r="ED192" s="1">
        <f t="shared" si="51"/>
        <v>-3258</v>
      </c>
      <c r="EE192" s="1"/>
    </row>
    <row r="193" spans="1:135" x14ac:dyDescent="0.25">
      <c r="A193" s="124">
        <v>38078</v>
      </c>
      <c r="B193" s="125">
        <v>1</v>
      </c>
      <c r="C193" s="125">
        <v>25</v>
      </c>
      <c r="D193" s="125">
        <v>6012</v>
      </c>
      <c r="E193" s="125" t="s">
        <v>370</v>
      </c>
      <c r="F193" s="125" t="s">
        <v>370</v>
      </c>
      <c r="G193" s="125">
        <v>8873</v>
      </c>
      <c r="H193" s="125">
        <v>15887</v>
      </c>
      <c r="I193" s="125">
        <v>3074</v>
      </c>
      <c r="J193" s="125">
        <v>7839</v>
      </c>
      <c r="K193" s="125"/>
      <c r="L193" s="125">
        <v>31469</v>
      </c>
      <c r="M193" s="125">
        <v>2823</v>
      </c>
      <c r="N193" s="125"/>
      <c r="O193" s="125">
        <v>1930</v>
      </c>
      <c r="P193" s="125">
        <v>8721</v>
      </c>
      <c r="Q193" s="125">
        <v>604</v>
      </c>
      <c r="R193" s="125">
        <v>8829</v>
      </c>
      <c r="S193" s="125">
        <v>9912</v>
      </c>
      <c r="T193" s="125"/>
      <c r="U193" s="125"/>
      <c r="V193" s="125">
        <v>463</v>
      </c>
      <c r="W193" s="125">
        <v>7276</v>
      </c>
      <c r="X193" s="125">
        <v>447</v>
      </c>
      <c r="Y193" s="125">
        <v>20</v>
      </c>
      <c r="Z193" s="126"/>
      <c r="AA193" s="125">
        <v>9</v>
      </c>
      <c r="AB193" s="125">
        <v>52</v>
      </c>
      <c r="AC193" s="125">
        <v>12</v>
      </c>
      <c r="AD193" s="125">
        <v>28</v>
      </c>
      <c r="AE193" s="125">
        <v>34</v>
      </c>
      <c r="AF193" s="125">
        <v>55</v>
      </c>
      <c r="AG193" s="125"/>
      <c r="AH193" s="125"/>
      <c r="AI193" s="125">
        <v>7</v>
      </c>
      <c r="AJ193" s="125">
        <v>6924</v>
      </c>
      <c r="AK193" s="125">
        <v>85654</v>
      </c>
      <c r="AL193" s="125">
        <v>3289</v>
      </c>
      <c r="AM193" s="125">
        <v>11917</v>
      </c>
      <c r="AN193" s="125">
        <v>40</v>
      </c>
      <c r="AO193" s="125">
        <v>9</v>
      </c>
      <c r="AP193" s="125">
        <v>2747</v>
      </c>
      <c r="AQ193" s="125">
        <v>0</v>
      </c>
      <c r="AR193" s="125">
        <v>1420</v>
      </c>
      <c r="AS193" s="125" t="s">
        <v>370</v>
      </c>
      <c r="AT193" s="125">
        <v>3151</v>
      </c>
      <c r="AU193" s="125">
        <v>2010</v>
      </c>
      <c r="AV193" s="125">
        <v>3234</v>
      </c>
      <c r="AW193" s="125">
        <v>8284</v>
      </c>
      <c r="AX193" s="126"/>
      <c r="AY193" s="126"/>
      <c r="AZ193" s="126">
        <v>216</v>
      </c>
      <c r="BA193" s="126"/>
      <c r="BB193" s="125">
        <v>489</v>
      </c>
      <c r="BC193" s="125"/>
      <c r="BD193" s="125">
        <v>5</v>
      </c>
      <c r="BE193" s="125">
        <v>11</v>
      </c>
      <c r="BF193" s="125">
        <v>539</v>
      </c>
      <c r="BG193" s="125">
        <v>2</v>
      </c>
      <c r="BH193" s="125">
        <v>0</v>
      </c>
      <c r="BI193" s="125">
        <v>7813</v>
      </c>
      <c r="BJ193" s="125">
        <v>38</v>
      </c>
      <c r="BK193" s="125">
        <v>3266</v>
      </c>
      <c r="BL193" s="125"/>
      <c r="BM193" s="125">
        <v>364</v>
      </c>
      <c r="BN193" s="125">
        <v>62</v>
      </c>
      <c r="BO193" s="125">
        <v>2531</v>
      </c>
      <c r="BP193" s="125">
        <v>40463</v>
      </c>
      <c r="BQ193" s="125">
        <v>3200</v>
      </c>
      <c r="BR193" s="125">
        <v>98</v>
      </c>
      <c r="BS193" s="125">
        <v>4023</v>
      </c>
      <c r="BT193" s="125">
        <v>67</v>
      </c>
      <c r="BU193" s="125"/>
      <c r="BV193" s="125">
        <v>6</v>
      </c>
      <c r="BW193" s="125">
        <v>112</v>
      </c>
      <c r="BX193" s="125"/>
      <c r="BY193" s="125">
        <v>42</v>
      </c>
      <c r="BZ193" s="125">
        <v>0</v>
      </c>
      <c r="CA193" s="125">
        <v>13282</v>
      </c>
      <c r="CB193" s="125">
        <v>14851</v>
      </c>
      <c r="CC193" s="125">
        <v>105920</v>
      </c>
      <c r="CD193" s="125">
        <v>167633</v>
      </c>
      <c r="CE193" s="125">
        <v>17336</v>
      </c>
      <c r="CF193" s="125">
        <v>21006</v>
      </c>
      <c r="CG193" s="125">
        <v>0</v>
      </c>
      <c r="CH193" s="125">
        <v>21</v>
      </c>
      <c r="CI193" s="125">
        <v>17</v>
      </c>
      <c r="CJ193" s="125">
        <v>65</v>
      </c>
      <c r="CK193" s="125"/>
      <c r="CL193" s="125"/>
      <c r="CM193" s="125"/>
      <c r="CN193" s="125"/>
      <c r="CO193" s="125"/>
      <c r="CP193" s="125"/>
      <c r="CQ193" s="125"/>
      <c r="CR193" s="125"/>
      <c r="CS193" s="125"/>
      <c r="CT193" s="125"/>
      <c r="CU193" s="125"/>
      <c r="CV193" s="125"/>
      <c r="CW193" s="125"/>
      <c r="CX193" s="125"/>
      <c r="CY193" s="125" t="s">
        <v>370</v>
      </c>
      <c r="CZ193" s="125" t="s">
        <v>370</v>
      </c>
      <c r="DA193" s="125" t="s">
        <v>370</v>
      </c>
      <c r="DB193" s="125">
        <v>36</v>
      </c>
      <c r="DC193" s="125">
        <v>0</v>
      </c>
      <c r="DD193" s="125">
        <v>51</v>
      </c>
      <c r="DE193">
        <f t="shared" si="38"/>
        <v>646559</v>
      </c>
      <c r="DG193" s="1">
        <f t="shared" si="52"/>
        <v>407681</v>
      </c>
      <c r="DH193" s="1">
        <f t="shared" si="39"/>
        <v>202467</v>
      </c>
      <c r="DI193" s="127">
        <f t="shared" si="40"/>
        <v>610148</v>
      </c>
      <c r="DK193" s="1">
        <f t="shared" si="41"/>
        <v>62045</v>
      </c>
      <c r="DL193" s="1">
        <f t="shared" si="42"/>
        <v>107036</v>
      </c>
      <c r="DM193" s="1">
        <f t="shared" si="43"/>
        <v>9899</v>
      </c>
      <c r="DN193" s="1">
        <f t="shared" si="44"/>
        <v>23399</v>
      </c>
      <c r="DO193" s="1">
        <f t="shared" si="45"/>
        <v>310820</v>
      </c>
      <c r="DP193" s="1">
        <f t="shared" si="46"/>
        <v>44857</v>
      </c>
      <c r="DQ193" s="1">
        <f t="shared" si="53"/>
        <v>0</v>
      </c>
      <c r="DR193" s="1">
        <f t="shared" si="47"/>
        <v>15267</v>
      </c>
      <c r="DS193" s="1">
        <f t="shared" si="48"/>
        <v>3142</v>
      </c>
      <c r="DT193" s="1">
        <f t="shared" si="49"/>
        <v>11817</v>
      </c>
      <c r="DU193" s="1"/>
      <c r="DV193" s="1"/>
      <c r="DW193" s="1"/>
      <c r="DX193" s="1">
        <f t="shared" si="54"/>
        <v>588282</v>
      </c>
      <c r="DZ193" s="1">
        <f t="shared" si="55"/>
        <v>21006</v>
      </c>
      <c r="EA193" s="1">
        <f t="shared" si="50"/>
        <v>35673</v>
      </c>
      <c r="EC193" s="1">
        <f t="shared" si="56"/>
        <v>644961</v>
      </c>
      <c r="ED193" s="1">
        <f t="shared" si="51"/>
        <v>-1598</v>
      </c>
      <c r="EE193" s="1"/>
    </row>
    <row r="194" spans="1:135" x14ac:dyDescent="0.25">
      <c r="A194" s="124">
        <v>38108</v>
      </c>
      <c r="B194" s="125">
        <v>1</v>
      </c>
      <c r="C194" s="125">
        <v>19</v>
      </c>
      <c r="D194" s="125">
        <v>4853</v>
      </c>
      <c r="E194" s="125" t="s">
        <v>370</v>
      </c>
      <c r="F194" s="125" t="s">
        <v>370</v>
      </c>
      <c r="G194" s="125">
        <v>9136</v>
      </c>
      <c r="H194" s="125">
        <v>16353</v>
      </c>
      <c r="I194" s="125">
        <v>3083</v>
      </c>
      <c r="J194" s="125">
        <v>7876</v>
      </c>
      <c r="K194" s="125"/>
      <c r="L194" s="125">
        <v>31281</v>
      </c>
      <c r="M194" s="125">
        <v>2762</v>
      </c>
      <c r="N194" s="125"/>
      <c r="O194" s="125">
        <v>1951</v>
      </c>
      <c r="P194" s="125">
        <v>8722</v>
      </c>
      <c r="Q194" s="125">
        <v>603</v>
      </c>
      <c r="R194" s="125">
        <v>8909</v>
      </c>
      <c r="S194" s="125">
        <v>9899</v>
      </c>
      <c r="T194" s="125"/>
      <c r="U194" s="125"/>
      <c r="V194" s="125">
        <v>465</v>
      </c>
      <c r="W194" s="125">
        <v>7352</v>
      </c>
      <c r="X194" s="125">
        <v>449</v>
      </c>
      <c r="Y194" s="125">
        <v>19</v>
      </c>
      <c r="Z194" s="126"/>
      <c r="AA194" s="125">
        <v>12</v>
      </c>
      <c r="AB194" s="125">
        <v>49</v>
      </c>
      <c r="AC194" s="125">
        <v>12</v>
      </c>
      <c r="AD194" s="125">
        <v>26</v>
      </c>
      <c r="AE194" s="125">
        <v>34</v>
      </c>
      <c r="AF194" s="125">
        <v>52</v>
      </c>
      <c r="AG194" s="125"/>
      <c r="AH194" s="125"/>
      <c r="AI194" s="125">
        <v>7</v>
      </c>
      <c r="AJ194" s="125">
        <v>7060</v>
      </c>
      <c r="AK194" s="125">
        <v>85499</v>
      </c>
      <c r="AL194" s="125">
        <v>3260</v>
      </c>
      <c r="AM194" s="125">
        <v>11961</v>
      </c>
      <c r="AN194" s="125">
        <v>47</v>
      </c>
      <c r="AO194" s="125">
        <v>11</v>
      </c>
      <c r="AP194" s="125">
        <v>3068</v>
      </c>
      <c r="AQ194" s="125">
        <v>0</v>
      </c>
      <c r="AR194" s="125">
        <v>1468</v>
      </c>
      <c r="AS194" s="125" t="s">
        <v>370</v>
      </c>
      <c r="AT194" s="125">
        <v>3197</v>
      </c>
      <c r="AU194" s="125">
        <v>2006</v>
      </c>
      <c r="AV194" s="125">
        <v>3267</v>
      </c>
      <c r="AW194" s="125">
        <v>8307</v>
      </c>
      <c r="AX194" s="126"/>
      <c r="AY194" s="126"/>
      <c r="AZ194" s="126">
        <v>219</v>
      </c>
      <c r="BA194" s="126"/>
      <c r="BB194" s="125">
        <v>493</v>
      </c>
      <c r="BC194" s="125"/>
      <c r="BD194" s="125">
        <v>6</v>
      </c>
      <c r="BE194" s="125">
        <v>9</v>
      </c>
      <c r="BF194" s="125">
        <v>586</v>
      </c>
      <c r="BG194" s="125">
        <v>1</v>
      </c>
      <c r="BH194" s="125">
        <v>0</v>
      </c>
      <c r="BI194" s="125">
        <v>7795</v>
      </c>
      <c r="BJ194" s="125">
        <v>47</v>
      </c>
      <c r="BK194" s="125">
        <v>3324</v>
      </c>
      <c r="BL194" s="125"/>
      <c r="BM194" s="125">
        <v>351</v>
      </c>
      <c r="BN194" s="125">
        <v>61</v>
      </c>
      <c r="BO194" s="125">
        <v>3142</v>
      </c>
      <c r="BP194" s="125">
        <v>41075</v>
      </c>
      <c r="BQ194" s="125">
        <v>2844</v>
      </c>
      <c r="BR194" s="125">
        <v>101</v>
      </c>
      <c r="BS194" s="125">
        <v>4265</v>
      </c>
      <c r="BT194" s="125">
        <v>71</v>
      </c>
      <c r="BU194" s="125"/>
      <c r="BV194" s="125">
        <v>6</v>
      </c>
      <c r="BW194" s="125">
        <v>112</v>
      </c>
      <c r="BX194" s="125"/>
      <c r="BY194" s="125">
        <v>35</v>
      </c>
      <c r="BZ194" s="125">
        <v>0</v>
      </c>
      <c r="CA194" s="125">
        <v>13574</v>
      </c>
      <c r="CB194" s="125">
        <v>15243</v>
      </c>
      <c r="CC194" s="125">
        <v>107181</v>
      </c>
      <c r="CD194" s="125">
        <v>169318</v>
      </c>
      <c r="CE194" s="125">
        <v>17488</v>
      </c>
      <c r="CF194" s="125">
        <v>20937</v>
      </c>
      <c r="CG194" s="125">
        <v>0</v>
      </c>
      <c r="CH194" s="125">
        <v>24</v>
      </c>
      <c r="CI194" s="125">
        <v>19</v>
      </c>
      <c r="CJ194" s="125">
        <v>66</v>
      </c>
      <c r="CK194" s="125"/>
      <c r="CL194" s="125"/>
      <c r="CM194" s="125"/>
      <c r="CN194" s="125"/>
      <c r="CO194" s="125"/>
      <c r="CP194" s="125"/>
      <c r="CQ194" s="125"/>
      <c r="CR194" s="125"/>
      <c r="CS194" s="125"/>
      <c r="CT194" s="125"/>
      <c r="CU194" s="125"/>
      <c r="CV194" s="125"/>
      <c r="CW194" s="125"/>
      <c r="CX194" s="125"/>
      <c r="CY194" s="125" t="s">
        <v>370</v>
      </c>
      <c r="CZ194" s="125" t="s">
        <v>370</v>
      </c>
      <c r="DA194" s="125" t="s">
        <v>370</v>
      </c>
      <c r="DB194" s="125">
        <v>36</v>
      </c>
      <c r="DC194" s="125">
        <v>0</v>
      </c>
      <c r="DD194" s="125">
        <v>51</v>
      </c>
      <c r="DE194">
        <f t="shared" si="38"/>
        <v>651469</v>
      </c>
      <c r="DG194" s="1">
        <f t="shared" si="52"/>
        <v>417322</v>
      </c>
      <c r="DH194" s="1">
        <f t="shared" si="39"/>
        <v>204624</v>
      </c>
      <c r="DI194" s="127">
        <f t="shared" si="40"/>
        <v>621946</v>
      </c>
      <c r="DK194" s="1">
        <f t="shared" si="41"/>
        <v>62532</v>
      </c>
      <c r="DL194" s="1">
        <f t="shared" si="42"/>
        <v>107124</v>
      </c>
      <c r="DM194" s="1">
        <f t="shared" si="43"/>
        <v>9844</v>
      </c>
      <c r="DN194" s="1">
        <f t="shared" si="44"/>
        <v>23855</v>
      </c>
      <c r="DO194" s="1">
        <f t="shared" si="45"/>
        <v>316677</v>
      </c>
      <c r="DP194" s="1">
        <f t="shared" si="46"/>
        <v>45698</v>
      </c>
      <c r="DQ194" s="1">
        <f t="shared" si="53"/>
        <v>0</v>
      </c>
      <c r="DR194" s="1">
        <f t="shared" si="47"/>
        <v>15741</v>
      </c>
      <c r="DS194" s="1">
        <f t="shared" si="48"/>
        <v>4152</v>
      </c>
      <c r="DT194" s="1">
        <f t="shared" si="49"/>
        <v>12053</v>
      </c>
      <c r="DU194" s="1"/>
      <c r="DV194" s="1"/>
      <c r="DW194" s="1"/>
      <c r="DX194" s="1">
        <f t="shared" si="54"/>
        <v>597676</v>
      </c>
      <c r="DZ194" s="1">
        <f t="shared" si="55"/>
        <v>20937</v>
      </c>
      <c r="EA194" s="1">
        <f t="shared" si="50"/>
        <v>36448</v>
      </c>
      <c r="EC194" s="1">
        <f t="shared" si="56"/>
        <v>655061</v>
      </c>
      <c r="ED194" s="1">
        <f t="shared" si="51"/>
        <v>3592</v>
      </c>
      <c r="EE194" s="1"/>
    </row>
    <row r="195" spans="1:135" x14ac:dyDescent="0.25">
      <c r="A195" s="128">
        <v>38139</v>
      </c>
      <c r="B195" s="129">
        <v>2</v>
      </c>
      <c r="C195" s="129">
        <v>10</v>
      </c>
      <c r="D195" s="129">
        <v>4120</v>
      </c>
      <c r="E195" s="129" t="s">
        <v>370</v>
      </c>
      <c r="F195" s="129" t="s">
        <v>370</v>
      </c>
      <c r="G195" s="129">
        <v>9424</v>
      </c>
      <c r="H195" s="129">
        <v>16786</v>
      </c>
      <c r="I195" s="129">
        <v>3123</v>
      </c>
      <c r="J195" s="129">
        <v>7927</v>
      </c>
      <c r="K195" s="129"/>
      <c r="L195" s="129">
        <v>31266</v>
      </c>
      <c r="M195" s="129">
        <v>2775</v>
      </c>
      <c r="N195" s="129"/>
      <c r="O195" s="129">
        <v>1985</v>
      </c>
      <c r="P195" s="129">
        <v>8865</v>
      </c>
      <c r="Q195" s="129">
        <v>598</v>
      </c>
      <c r="R195" s="129">
        <v>9122</v>
      </c>
      <c r="S195" s="129">
        <v>9844</v>
      </c>
      <c r="T195" s="129"/>
      <c r="U195" s="129"/>
      <c r="V195" s="129">
        <v>471</v>
      </c>
      <c r="W195" s="129">
        <v>7450</v>
      </c>
      <c r="X195" s="129">
        <v>446</v>
      </c>
      <c r="Y195" s="129">
        <v>19</v>
      </c>
      <c r="Z195" s="130"/>
      <c r="AA195" s="129">
        <v>9</v>
      </c>
      <c r="AB195" s="129">
        <v>50</v>
      </c>
      <c r="AC195" s="129">
        <v>12</v>
      </c>
      <c r="AD195" s="129">
        <v>27</v>
      </c>
      <c r="AE195" s="129">
        <v>38</v>
      </c>
      <c r="AF195" s="129">
        <v>52</v>
      </c>
      <c r="AG195" s="129"/>
      <c r="AH195" s="129"/>
      <c r="AI195" s="129">
        <v>7</v>
      </c>
      <c r="AJ195" s="129">
        <v>7272</v>
      </c>
      <c r="AK195" s="129">
        <v>86335</v>
      </c>
      <c r="AL195" s="129">
        <v>3263</v>
      </c>
      <c r="AM195" s="129">
        <v>12110</v>
      </c>
      <c r="AN195" s="129">
        <v>48</v>
      </c>
      <c r="AO195" s="129">
        <v>13</v>
      </c>
      <c r="AP195" s="129">
        <v>3341</v>
      </c>
      <c r="AQ195" s="129">
        <v>0</v>
      </c>
      <c r="AR195" s="129">
        <v>1560</v>
      </c>
      <c r="AS195" s="129" t="s">
        <v>370</v>
      </c>
      <c r="AT195" s="129">
        <v>3246</v>
      </c>
      <c r="AU195" s="129">
        <v>2027</v>
      </c>
      <c r="AV195" s="129">
        <v>3288</v>
      </c>
      <c r="AW195" s="129">
        <v>8339</v>
      </c>
      <c r="AX195" s="130"/>
      <c r="AY195" s="130"/>
      <c r="AZ195" s="130">
        <v>227</v>
      </c>
      <c r="BA195" s="130"/>
      <c r="BB195" s="129">
        <v>519</v>
      </c>
      <c r="BC195" s="129"/>
      <c r="BD195" s="129">
        <v>4</v>
      </c>
      <c r="BE195" s="129">
        <v>6</v>
      </c>
      <c r="BF195" s="129">
        <v>609</v>
      </c>
      <c r="BG195" s="129">
        <v>1</v>
      </c>
      <c r="BH195" s="129">
        <v>0</v>
      </c>
      <c r="BI195" s="129">
        <v>7922</v>
      </c>
      <c r="BJ195" s="129">
        <v>39</v>
      </c>
      <c r="BK195" s="129">
        <v>3404</v>
      </c>
      <c r="BL195" s="129"/>
      <c r="BM195" s="129">
        <v>433</v>
      </c>
      <c r="BN195" s="129">
        <v>60</v>
      </c>
      <c r="BO195" s="129">
        <v>4152</v>
      </c>
      <c r="BP195" s="129">
        <v>42194</v>
      </c>
      <c r="BQ195" s="129">
        <v>2503</v>
      </c>
      <c r="BR195" s="129">
        <v>106</v>
      </c>
      <c r="BS195" s="129">
        <v>4541</v>
      </c>
      <c r="BT195" s="129">
        <v>85</v>
      </c>
      <c r="BU195" s="129"/>
      <c r="BV195" s="129">
        <v>3</v>
      </c>
      <c r="BW195" s="129">
        <v>118</v>
      </c>
      <c r="BX195" s="129"/>
      <c r="BY195" s="129">
        <v>25</v>
      </c>
      <c r="BZ195" s="129">
        <v>0</v>
      </c>
      <c r="CA195" s="129">
        <v>14205</v>
      </c>
      <c r="CB195" s="129">
        <v>15711</v>
      </c>
      <c r="CC195" s="129">
        <v>109287</v>
      </c>
      <c r="CD195" s="129">
        <v>172577</v>
      </c>
      <c r="CE195" s="129">
        <v>17708</v>
      </c>
      <c r="CF195" s="129">
        <v>21526</v>
      </c>
      <c r="CG195" s="129">
        <v>0</v>
      </c>
      <c r="CH195" s="129">
        <v>30</v>
      </c>
      <c r="CI195" s="129">
        <v>16</v>
      </c>
      <c r="CJ195" s="129">
        <v>57</v>
      </c>
      <c r="CK195" s="129"/>
      <c r="CL195" s="129"/>
      <c r="CM195" s="129"/>
      <c r="CN195" s="129"/>
      <c r="CO195" s="129"/>
      <c r="CP195" s="129"/>
      <c r="CQ195" s="129"/>
      <c r="CR195" s="129"/>
      <c r="CS195" s="129"/>
      <c r="CT195" s="129"/>
      <c r="CU195" s="129"/>
      <c r="CV195" s="129"/>
      <c r="CW195" s="129"/>
      <c r="CX195" s="129"/>
      <c r="CY195" s="129" t="s">
        <v>370</v>
      </c>
      <c r="CZ195" s="129" t="s">
        <v>370</v>
      </c>
      <c r="DA195" s="129" t="s">
        <v>370</v>
      </c>
      <c r="DB195" s="129">
        <v>36</v>
      </c>
      <c r="DC195" s="129">
        <v>0</v>
      </c>
      <c r="DD195" s="129">
        <v>51</v>
      </c>
      <c r="DE195">
        <f t="shared" si="38"/>
        <v>663338</v>
      </c>
      <c r="DG195" s="1">
        <f t="shared" si="52"/>
        <v>414810</v>
      </c>
      <c r="DH195" s="1">
        <f t="shared" si="39"/>
        <v>204600</v>
      </c>
      <c r="DI195" s="127">
        <f t="shared" si="40"/>
        <v>619410</v>
      </c>
      <c r="DJ195" s="131"/>
      <c r="DK195" s="1">
        <f t="shared" si="41"/>
        <v>62564</v>
      </c>
      <c r="DL195" s="1">
        <f t="shared" si="42"/>
        <v>108393</v>
      </c>
      <c r="DM195" s="1">
        <f t="shared" si="43"/>
        <v>9815</v>
      </c>
      <c r="DN195" s="1">
        <f t="shared" si="44"/>
        <v>24016</v>
      </c>
      <c r="DO195" s="1">
        <f t="shared" si="45"/>
        <v>313897</v>
      </c>
      <c r="DP195" s="1">
        <f t="shared" si="46"/>
        <v>47173</v>
      </c>
      <c r="DQ195" s="1">
        <f t="shared" si="53"/>
        <v>0</v>
      </c>
      <c r="DR195" s="1">
        <f t="shared" si="47"/>
        <v>15629</v>
      </c>
      <c r="DS195" s="1">
        <f t="shared" si="48"/>
        <v>4774</v>
      </c>
      <c r="DT195" s="1">
        <f t="shared" si="49"/>
        <v>12079</v>
      </c>
      <c r="DU195" s="1"/>
      <c r="DV195" s="1"/>
      <c r="DW195" s="1"/>
      <c r="DX195" s="1">
        <f t="shared" si="54"/>
        <v>598340</v>
      </c>
      <c r="DY195" s="131"/>
      <c r="DZ195" s="1">
        <f t="shared" si="55"/>
        <v>21526</v>
      </c>
      <c r="EA195" s="1">
        <f t="shared" si="50"/>
        <v>37260</v>
      </c>
      <c r="EC195" s="1">
        <f t="shared" si="56"/>
        <v>657126</v>
      </c>
      <c r="ED195" s="1">
        <f t="shared" si="51"/>
        <v>-6212</v>
      </c>
      <c r="EE195" s="1"/>
    </row>
    <row r="196" spans="1:135" x14ac:dyDescent="0.25">
      <c r="A196" s="132">
        <v>38169</v>
      </c>
      <c r="B196" s="133">
        <v>2</v>
      </c>
      <c r="C196" s="133">
        <v>10</v>
      </c>
      <c r="D196" s="133">
        <v>4353</v>
      </c>
      <c r="E196" s="133" t="s">
        <v>370</v>
      </c>
      <c r="F196" s="133" t="s">
        <v>370</v>
      </c>
      <c r="G196" s="133">
        <v>9469</v>
      </c>
      <c r="H196" s="133">
        <v>17128</v>
      </c>
      <c r="I196" s="133">
        <v>3081</v>
      </c>
      <c r="J196" s="133">
        <v>7888</v>
      </c>
      <c r="K196" s="133"/>
      <c r="L196" s="133">
        <v>31174</v>
      </c>
      <c r="M196" s="133">
        <v>2742</v>
      </c>
      <c r="N196" s="133"/>
      <c r="O196" s="133">
        <v>1982</v>
      </c>
      <c r="P196" s="133">
        <v>8917</v>
      </c>
      <c r="Q196" s="133">
        <v>592</v>
      </c>
      <c r="R196" s="133">
        <v>9199</v>
      </c>
      <c r="S196" s="133">
        <v>9815</v>
      </c>
      <c r="T196" s="133"/>
      <c r="U196" s="133"/>
      <c r="V196" s="133">
        <v>470</v>
      </c>
      <c r="W196" s="133">
        <v>7488</v>
      </c>
      <c r="X196" s="133">
        <v>445</v>
      </c>
      <c r="Y196" s="133">
        <v>19</v>
      </c>
      <c r="Z196" s="134"/>
      <c r="AA196" s="133">
        <v>9</v>
      </c>
      <c r="AB196" s="133">
        <v>50</v>
      </c>
      <c r="AC196" s="133">
        <v>12</v>
      </c>
      <c r="AD196" s="133">
        <v>27</v>
      </c>
      <c r="AE196" s="133">
        <v>38</v>
      </c>
      <c r="AF196" s="133">
        <v>52</v>
      </c>
      <c r="AG196" s="133"/>
      <c r="AH196" s="133"/>
      <c r="AI196" s="133">
        <v>7</v>
      </c>
      <c r="AJ196" s="133">
        <v>7330</v>
      </c>
      <c r="AK196" s="133">
        <v>86015</v>
      </c>
      <c r="AL196" s="133">
        <v>3261</v>
      </c>
      <c r="AM196" s="133">
        <v>12085</v>
      </c>
      <c r="AN196" s="133">
        <v>45</v>
      </c>
      <c r="AO196" s="133">
        <v>14</v>
      </c>
      <c r="AP196" s="133">
        <v>3527</v>
      </c>
      <c r="AQ196" s="133">
        <v>0</v>
      </c>
      <c r="AR196" s="133">
        <v>1578</v>
      </c>
      <c r="AS196" s="133" t="s">
        <v>370</v>
      </c>
      <c r="AT196" s="133">
        <v>3283</v>
      </c>
      <c r="AU196" s="133">
        <v>2026</v>
      </c>
      <c r="AV196" s="133">
        <v>3312</v>
      </c>
      <c r="AW196" s="133">
        <v>8338</v>
      </c>
      <c r="AX196" s="134"/>
      <c r="AY196" s="134"/>
      <c r="AZ196" s="134">
        <v>233</v>
      </c>
      <c r="BA196" s="134"/>
      <c r="BB196" s="133">
        <v>515</v>
      </c>
      <c r="BC196" s="133"/>
      <c r="BD196" s="133">
        <v>5</v>
      </c>
      <c r="BE196" s="133">
        <v>5</v>
      </c>
      <c r="BF196" s="133">
        <v>619</v>
      </c>
      <c r="BG196" s="133">
        <v>1</v>
      </c>
      <c r="BH196" s="133">
        <v>0</v>
      </c>
      <c r="BI196" s="133">
        <v>7912</v>
      </c>
      <c r="BJ196" s="133">
        <v>42</v>
      </c>
      <c r="BK196" s="133">
        <v>3423</v>
      </c>
      <c r="BL196" s="133"/>
      <c r="BM196" s="133">
        <v>462</v>
      </c>
      <c r="BN196" s="133">
        <v>58</v>
      </c>
      <c r="BO196" s="133">
        <v>4774</v>
      </c>
      <c r="BP196" s="133">
        <v>42072</v>
      </c>
      <c r="BQ196" s="133">
        <v>2207</v>
      </c>
      <c r="BR196" s="133">
        <v>104</v>
      </c>
      <c r="BS196" s="133">
        <v>4581</v>
      </c>
      <c r="BT196" s="133">
        <v>74</v>
      </c>
      <c r="BU196" s="133"/>
      <c r="BV196" s="133">
        <v>4</v>
      </c>
      <c r="BW196" s="133">
        <v>125</v>
      </c>
      <c r="BX196" s="133"/>
      <c r="BY196" s="133">
        <v>21</v>
      </c>
      <c r="BZ196" s="133">
        <v>0</v>
      </c>
      <c r="CA196" s="133">
        <v>14334</v>
      </c>
      <c r="CB196" s="133">
        <v>15603</v>
      </c>
      <c r="CC196" s="133">
        <v>107991</v>
      </c>
      <c r="CD196" s="133">
        <v>171409</v>
      </c>
      <c r="CE196" s="133">
        <v>17578</v>
      </c>
      <c r="CF196" s="133">
        <v>21310</v>
      </c>
      <c r="CG196" s="133">
        <v>0</v>
      </c>
      <c r="CH196" s="133">
        <v>26</v>
      </c>
      <c r="CI196" s="133">
        <v>15</v>
      </c>
      <c r="CJ196" s="133">
        <v>55</v>
      </c>
      <c r="CK196" s="133"/>
      <c r="CL196" s="133"/>
      <c r="CM196" s="133"/>
      <c r="CN196" s="133"/>
      <c r="CO196" s="133"/>
      <c r="CP196" s="133"/>
      <c r="CQ196" s="133"/>
      <c r="CR196" s="133"/>
      <c r="CS196" s="133"/>
      <c r="CT196" s="133"/>
      <c r="CU196" s="133"/>
      <c r="CV196" s="133"/>
      <c r="CW196" s="133"/>
      <c r="CX196" s="133"/>
      <c r="CY196" s="133" t="s">
        <v>370</v>
      </c>
      <c r="CZ196" s="133" t="s">
        <v>370</v>
      </c>
      <c r="DA196" s="133" t="s">
        <v>370</v>
      </c>
      <c r="DB196" s="133">
        <v>35</v>
      </c>
      <c r="DC196" s="133">
        <v>0</v>
      </c>
      <c r="DD196" s="133">
        <v>52</v>
      </c>
      <c r="DE196">
        <f t="shared" ref="DE196:DE259" si="57">SUM(B196:CX196)</f>
        <v>661341</v>
      </c>
      <c r="DG196" s="1">
        <f t="shared" si="52"/>
        <v>412796</v>
      </c>
      <c r="DH196" s="1">
        <f t="shared" ref="DH196:DH259" si="58">SUM(L197:M197,O197:AW197,AZ197:BB197)+CQ197+CR197</f>
        <v>204518</v>
      </c>
      <c r="DI196" s="127">
        <f t="shared" ref="DI196:DI218" si="59">SUM(DG196:DH196)</f>
        <v>617314</v>
      </c>
      <c r="DK196" s="1">
        <f t="shared" ref="DK196:DK259" si="60">SUM(L197:M197,O197:R197,T197:W197)</f>
        <v>62477</v>
      </c>
      <c r="DL196" s="1">
        <f t="shared" ref="DL196:DL259" si="61">SUM(X196:Y196,AA196:AE196,AG196:AL196,AN196,AR196:AV196,AZ196:BB196)</f>
        <v>108205</v>
      </c>
      <c r="DM196" s="1">
        <f t="shared" ref="DM196:DM259" si="62">S197</f>
        <v>9775</v>
      </c>
      <c r="DN196" s="1">
        <f t="shared" ref="DN196:DN259" si="63">AF197+AW197+AM197+AO197+AP197+AQ197</f>
        <v>24029</v>
      </c>
      <c r="DO196" s="1">
        <f t="shared" ref="DO196:DO259" si="64">SUM(BE197,BH197,BJ197,BN197,BQ197:BR197,BT197:BV197,BY197:CA197,CC197:CE197,CI197:CJ197)</f>
        <v>311803</v>
      </c>
      <c r="DP196" s="1">
        <f t="shared" ref="DP196:DP259" si="65">SUM(AY196,BC196:BD196,BG196,BM196,BP196,BS196)</f>
        <v>47121</v>
      </c>
      <c r="DQ196" s="1">
        <f t="shared" si="53"/>
        <v>0</v>
      </c>
      <c r="DR196" s="1">
        <f t="shared" ref="DR196:DR259" si="66">CB197+CH197</f>
        <v>15392</v>
      </c>
      <c r="DS196" s="1">
        <f t="shared" ref="DS196:DS259" si="67">BO197</f>
        <v>5009</v>
      </c>
      <c r="DT196" s="1">
        <f t="shared" ref="DT196:DT259" si="68">BF197+BI197+BK197+BW197</f>
        <v>11970</v>
      </c>
      <c r="DU196" s="1"/>
      <c r="DV196" s="1"/>
      <c r="DW196" s="1"/>
      <c r="DX196" s="1">
        <f t="shared" si="54"/>
        <v>595781</v>
      </c>
      <c r="DZ196" s="1">
        <f t="shared" si="55"/>
        <v>21310</v>
      </c>
      <c r="EA196" s="1">
        <f t="shared" ref="EA196:EA259" si="69">SUM(F196:K196,N196,CS196:CT196)</f>
        <v>37566</v>
      </c>
      <c r="EC196" s="1">
        <f t="shared" si="56"/>
        <v>654657</v>
      </c>
      <c r="ED196" s="1">
        <f t="shared" ref="ED196:ED259" si="70">EC196-DE196</f>
        <v>-6684</v>
      </c>
      <c r="EE196" s="1"/>
    </row>
    <row r="197" spans="1:135" x14ac:dyDescent="0.25">
      <c r="A197" s="124">
        <v>38200</v>
      </c>
      <c r="B197" s="125">
        <v>2</v>
      </c>
      <c r="C197" s="125">
        <v>9</v>
      </c>
      <c r="D197" s="125">
        <v>4830</v>
      </c>
      <c r="E197" s="125">
        <v>0</v>
      </c>
      <c r="F197" s="125" t="s">
        <v>370</v>
      </c>
      <c r="G197" s="125">
        <v>9816</v>
      </c>
      <c r="H197" s="125">
        <v>17361</v>
      </c>
      <c r="I197" s="125">
        <v>3029</v>
      </c>
      <c r="J197" s="125">
        <v>7812</v>
      </c>
      <c r="K197" s="125"/>
      <c r="L197" s="125">
        <v>31034</v>
      </c>
      <c r="M197" s="125">
        <v>2727</v>
      </c>
      <c r="N197" s="125"/>
      <c r="O197" s="125">
        <v>1988</v>
      </c>
      <c r="P197" s="125">
        <v>8953</v>
      </c>
      <c r="Q197" s="125">
        <v>577</v>
      </c>
      <c r="R197" s="125">
        <v>9210</v>
      </c>
      <c r="S197" s="125">
        <v>9775</v>
      </c>
      <c r="T197" s="125"/>
      <c r="U197" s="125"/>
      <c r="V197" s="125">
        <v>462</v>
      </c>
      <c r="W197" s="125">
        <v>7526</v>
      </c>
      <c r="X197" s="125">
        <v>443</v>
      </c>
      <c r="Y197" s="125">
        <v>17</v>
      </c>
      <c r="Z197" s="126"/>
      <c r="AA197" s="125">
        <v>9</v>
      </c>
      <c r="AB197" s="125">
        <v>52</v>
      </c>
      <c r="AC197" s="125">
        <v>13</v>
      </c>
      <c r="AD197" s="125">
        <v>26</v>
      </c>
      <c r="AE197" s="125">
        <v>36</v>
      </c>
      <c r="AF197" s="125">
        <v>49</v>
      </c>
      <c r="AG197" s="125"/>
      <c r="AH197" s="125"/>
      <c r="AI197" s="125">
        <v>7</v>
      </c>
      <c r="AJ197" s="125">
        <v>7418</v>
      </c>
      <c r="AK197" s="125">
        <v>85968</v>
      </c>
      <c r="AL197" s="125">
        <v>3264</v>
      </c>
      <c r="AM197" s="125">
        <v>11995</v>
      </c>
      <c r="AN197" s="125">
        <v>46</v>
      </c>
      <c r="AO197" s="125">
        <v>15</v>
      </c>
      <c r="AP197" s="125">
        <v>3649</v>
      </c>
      <c r="AQ197" s="125">
        <v>0</v>
      </c>
      <c r="AR197" s="125">
        <v>1579</v>
      </c>
      <c r="AS197" s="125" t="s">
        <v>370</v>
      </c>
      <c r="AT197" s="125">
        <v>3283</v>
      </c>
      <c r="AU197" s="125">
        <v>2014</v>
      </c>
      <c r="AV197" s="125">
        <v>3306</v>
      </c>
      <c r="AW197" s="125">
        <v>8321</v>
      </c>
      <c r="AX197" s="126"/>
      <c r="AY197" s="126"/>
      <c r="AZ197" s="126">
        <v>235</v>
      </c>
      <c r="BA197" s="126"/>
      <c r="BB197" s="125">
        <v>521</v>
      </c>
      <c r="BC197" s="125"/>
      <c r="BD197" s="125">
        <v>4</v>
      </c>
      <c r="BE197" s="125">
        <v>4</v>
      </c>
      <c r="BF197" s="125">
        <v>660</v>
      </c>
      <c r="BG197" s="125">
        <v>1</v>
      </c>
      <c r="BH197" s="125">
        <v>0</v>
      </c>
      <c r="BI197" s="125">
        <v>7809</v>
      </c>
      <c r="BJ197" s="125">
        <v>26</v>
      </c>
      <c r="BK197" s="125">
        <v>3373</v>
      </c>
      <c r="BL197" s="125"/>
      <c r="BM197" s="125">
        <v>472</v>
      </c>
      <c r="BN197" s="125">
        <v>58</v>
      </c>
      <c r="BO197" s="125">
        <v>5009</v>
      </c>
      <c r="BP197" s="125">
        <v>42604</v>
      </c>
      <c r="BQ197" s="125">
        <v>1998</v>
      </c>
      <c r="BR197" s="125">
        <v>103</v>
      </c>
      <c r="BS197" s="125">
        <v>4591</v>
      </c>
      <c r="BT197" s="125">
        <v>83</v>
      </c>
      <c r="BU197" s="125"/>
      <c r="BV197" s="125">
        <v>3</v>
      </c>
      <c r="BW197" s="125">
        <v>128</v>
      </c>
      <c r="BX197" s="125"/>
      <c r="BY197" s="125">
        <v>22</v>
      </c>
      <c r="BZ197" s="125">
        <v>0</v>
      </c>
      <c r="CA197" s="125">
        <v>14560</v>
      </c>
      <c r="CB197" s="125">
        <v>15366</v>
      </c>
      <c r="CC197" s="125">
        <v>106852</v>
      </c>
      <c r="CD197" s="125">
        <v>170600</v>
      </c>
      <c r="CE197" s="125">
        <v>17427</v>
      </c>
      <c r="CF197" s="125">
        <v>20950</v>
      </c>
      <c r="CG197" s="125">
        <v>0</v>
      </c>
      <c r="CH197" s="125">
        <v>26</v>
      </c>
      <c r="CI197" s="125">
        <v>16</v>
      </c>
      <c r="CJ197" s="125">
        <v>51</v>
      </c>
      <c r="CK197" s="125"/>
      <c r="CL197" s="125"/>
      <c r="CM197" s="125"/>
      <c r="CN197" s="125"/>
      <c r="CO197" s="125"/>
      <c r="CP197" s="125"/>
      <c r="CQ197" s="125"/>
      <c r="CR197" s="125"/>
      <c r="CS197" s="125"/>
      <c r="CT197" s="125"/>
      <c r="CU197" s="125"/>
      <c r="CV197" s="125"/>
      <c r="CW197" s="125"/>
      <c r="CX197" s="125"/>
      <c r="CY197" s="125" t="s">
        <v>370</v>
      </c>
      <c r="CZ197" s="125" t="s">
        <v>370</v>
      </c>
      <c r="DA197" s="125" t="s">
        <v>370</v>
      </c>
      <c r="DB197" s="125">
        <v>35</v>
      </c>
      <c r="DC197" s="125">
        <v>0</v>
      </c>
      <c r="DD197" s="125">
        <v>52</v>
      </c>
      <c r="DE197">
        <f t="shared" si="57"/>
        <v>660173</v>
      </c>
      <c r="DG197" s="1">
        <f t="shared" ref="DG197:DG260" si="71">SUM(AX198:AY198,BC198:CP198,CU198:CX198)</f>
        <v>421093</v>
      </c>
      <c r="DH197" s="1">
        <f t="shared" si="58"/>
        <v>205902</v>
      </c>
      <c r="DI197" s="127">
        <f t="shared" si="59"/>
        <v>626995</v>
      </c>
      <c r="DK197" s="1">
        <f t="shared" si="60"/>
        <v>62626</v>
      </c>
      <c r="DL197" s="1">
        <f t="shared" si="61"/>
        <v>108237</v>
      </c>
      <c r="DM197" s="1">
        <f t="shared" si="62"/>
        <v>9788</v>
      </c>
      <c r="DN197" s="1">
        <f t="shared" si="63"/>
        <v>24456</v>
      </c>
      <c r="DO197" s="1">
        <f t="shared" si="64"/>
        <v>314302</v>
      </c>
      <c r="DP197" s="1">
        <f t="shared" si="65"/>
        <v>47672</v>
      </c>
      <c r="DQ197" s="1">
        <f t="shared" ref="DQ197:DQ260" si="72">SUM(BX197,CQ197,CR197,CW197,CX197)</f>
        <v>0</v>
      </c>
      <c r="DR197" s="1">
        <f t="shared" si="66"/>
        <v>15411</v>
      </c>
      <c r="DS197" s="1">
        <f t="shared" si="67"/>
        <v>6058</v>
      </c>
      <c r="DT197" s="1">
        <f t="shared" si="68"/>
        <v>12123</v>
      </c>
      <c r="DU197" s="1"/>
      <c r="DV197" s="1"/>
      <c r="DW197" s="1"/>
      <c r="DX197" s="1">
        <f t="shared" ref="DX197:DX260" si="73">SUM(DK197:DW197)</f>
        <v>600673</v>
      </c>
      <c r="DZ197" s="1">
        <f t="shared" ref="DZ197:DZ260" si="74">CF197</f>
        <v>20950</v>
      </c>
      <c r="EA197" s="1">
        <f t="shared" si="69"/>
        <v>38018</v>
      </c>
      <c r="EC197" s="1">
        <f t="shared" ref="EC197:EC260" si="75">DX197+EA197+DZ197</f>
        <v>659641</v>
      </c>
      <c r="ED197" s="1">
        <f t="shared" si="70"/>
        <v>-532</v>
      </c>
      <c r="EE197" s="1"/>
    </row>
    <row r="198" spans="1:135" x14ac:dyDescent="0.25">
      <c r="A198" s="124">
        <v>38231</v>
      </c>
      <c r="B198" s="125">
        <v>2</v>
      </c>
      <c r="C198" s="125">
        <v>12</v>
      </c>
      <c r="D198" s="125">
        <v>5497</v>
      </c>
      <c r="E198" s="125">
        <v>0</v>
      </c>
      <c r="F198" s="125" t="s">
        <v>370</v>
      </c>
      <c r="G198" s="125">
        <v>10093</v>
      </c>
      <c r="H198" s="125">
        <v>17798</v>
      </c>
      <c r="I198" s="125">
        <v>3034</v>
      </c>
      <c r="J198" s="125">
        <v>7798</v>
      </c>
      <c r="K198" s="125"/>
      <c r="L198" s="125">
        <v>31017</v>
      </c>
      <c r="M198" s="125">
        <v>2710</v>
      </c>
      <c r="N198" s="125"/>
      <c r="O198" s="125">
        <v>2005</v>
      </c>
      <c r="P198" s="125">
        <v>9023</v>
      </c>
      <c r="Q198" s="125">
        <v>563</v>
      </c>
      <c r="R198" s="125">
        <v>9258</v>
      </c>
      <c r="S198" s="125">
        <v>9788</v>
      </c>
      <c r="T198" s="125"/>
      <c r="U198" s="125"/>
      <c r="V198" s="125">
        <v>467</v>
      </c>
      <c r="W198" s="125">
        <v>7583</v>
      </c>
      <c r="X198" s="125">
        <v>442</v>
      </c>
      <c r="Y198" s="125">
        <v>16</v>
      </c>
      <c r="Z198" s="126"/>
      <c r="AA198" s="125">
        <v>8</v>
      </c>
      <c r="AB198" s="125">
        <v>51</v>
      </c>
      <c r="AC198" s="125">
        <v>14</v>
      </c>
      <c r="AD198" s="125">
        <v>26</v>
      </c>
      <c r="AE198" s="125">
        <v>39</v>
      </c>
      <c r="AF198" s="125">
        <v>51</v>
      </c>
      <c r="AG198" s="125"/>
      <c r="AH198" s="125"/>
      <c r="AI198" s="125">
        <v>6</v>
      </c>
      <c r="AJ198" s="125">
        <v>7576</v>
      </c>
      <c r="AK198" s="125">
        <v>86420</v>
      </c>
      <c r="AL198" s="125">
        <v>3290</v>
      </c>
      <c r="AM198" s="125">
        <v>12134</v>
      </c>
      <c r="AN198" s="125">
        <v>55</v>
      </c>
      <c r="AO198" s="125">
        <v>15</v>
      </c>
      <c r="AP198" s="125">
        <v>3850</v>
      </c>
      <c r="AQ198" s="125">
        <v>0</v>
      </c>
      <c r="AR198" s="125">
        <v>1604</v>
      </c>
      <c r="AS198" s="125" t="s">
        <v>370</v>
      </c>
      <c r="AT198" s="125">
        <v>3324</v>
      </c>
      <c r="AU198" s="125">
        <v>2036</v>
      </c>
      <c r="AV198" s="125">
        <v>3382</v>
      </c>
      <c r="AW198" s="125">
        <v>8406</v>
      </c>
      <c r="AX198" s="126"/>
      <c r="AY198" s="126"/>
      <c r="AZ198" s="126">
        <v>247</v>
      </c>
      <c r="BA198" s="126"/>
      <c r="BB198" s="125">
        <v>496</v>
      </c>
      <c r="BC198" s="125"/>
      <c r="BD198" s="125">
        <v>4</v>
      </c>
      <c r="BE198" s="125">
        <v>2</v>
      </c>
      <c r="BF198" s="125">
        <v>698</v>
      </c>
      <c r="BG198" s="125">
        <v>1</v>
      </c>
      <c r="BH198" s="125">
        <v>0</v>
      </c>
      <c r="BI198" s="125">
        <v>7857</v>
      </c>
      <c r="BJ198" s="125">
        <v>28</v>
      </c>
      <c r="BK198" s="125">
        <v>3440</v>
      </c>
      <c r="BL198" s="125"/>
      <c r="BM198" s="125">
        <v>465</v>
      </c>
      <c r="BN198" s="125">
        <v>58</v>
      </c>
      <c r="BO198" s="125">
        <v>6058</v>
      </c>
      <c r="BP198" s="125">
        <v>44212</v>
      </c>
      <c r="BQ198" s="125">
        <v>1782</v>
      </c>
      <c r="BR198" s="125">
        <v>104</v>
      </c>
      <c r="BS198" s="125">
        <v>4825</v>
      </c>
      <c r="BT198" s="125">
        <v>82</v>
      </c>
      <c r="BU198" s="125"/>
      <c r="BV198" s="125">
        <v>2</v>
      </c>
      <c r="BW198" s="125">
        <v>128</v>
      </c>
      <c r="BX198" s="125"/>
      <c r="BY198" s="125">
        <v>21</v>
      </c>
      <c r="BZ198" s="125">
        <v>0</v>
      </c>
      <c r="CA198" s="125">
        <v>15263</v>
      </c>
      <c r="CB198" s="125">
        <v>15385</v>
      </c>
      <c r="CC198" s="125">
        <v>107913</v>
      </c>
      <c r="CD198" s="125">
        <v>171663</v>
      </c>
      <c r="CE198" s="125">
        <v>17328</v>
      </c>
      <c r="CF198" s="125">
        <v>23692</v>
      </c>
      <c r="CG198" s="125">
        <v>0</v>
      </c>
      <c r="CH198" s="125">
        <v>26</v>
      </c>
      <c r="CI198" s="125">
        <v>13</v>
      </c>
      <c r="CJ198" s="125">
        <v>43</v>
      </c>
      <c r="CK198" s="125"/>
      <c r="CL198" s="125"/>
      <c r="CM198" s="125"/>
      <c r="CN198" s="125"/>
      <c r="CO198" s="125"/>
      <c r="CP198" s="125"/>
      <c r="CQ198" s="125"/>
      <c r="CR198" s="125"/>
      <c r="CS198" s="125"/>
      <c r="CT198" s="125"/>
      <c r="CU198" s="125"/>
      <c r="CV198" s="125"/>
      <c r="CW198" s="125"/>
      <c r="CX198" s="125"/>
      <c r="CY198" s="125" t="s">
        <v>370</v>
      </c>
      <c r="CZ198" s="125" t="s">
        <v>370</v>
      </c>
      <c r="DA198" s="125" t="s">
        <v>370</v>
      </c>
      <c r="DB198" s="125">
        <v>35</v>
      </c>
      <c r="DC198" s="125">
        <v>0</v>
      </c>
      <c r="DD198" s="125">
        <v>52</v>
      </c>
      <c r="DE198">
        <f t="shared" si="57"/>
        <v>671229</v>
      </c>
      <c r="DG198" s="1">
        <f t="shared" si="71"/>
        <v>426784</v>
      </c>
      <c r="DH198" s="1">
        <f t="shared" si="58"/>
        <v>207021</v>
      </c>
      <c r="DI198" s="127">
        <f t="shared" si="59"/>
        <v>633805</v>
      </c>
      <c r="DK198" s="1">
        <f t="shared" si="60"/>
        <v>62766</v>
      </c>
      <c r="DL198" s="1">
        <f t="shared" si="61"/>
        <v>109032</v>
      </c>
      <c r="DM198" s="1">
        <f t="shared" si="62"/>
        <v>9826</v>
      </c>
      <c r="DN198" s="1">
        <f t="shared" si="63"/>
        <v>24766</v>
      </c>
      <c r="DO198" s="1">
        <f t="shared" si="64"/>
        <v>316203</v>
      </c>
      <c r="DP198" s="1">
        <f t="shared" si="65"/>
        <v>49507</v>
      </c>
      <c r="DQ198" s="1">
        <f t="shared" si="72"/>
        <v>0</v>
      </c>
      <c r="DR198" s="1">
        <f t="shared" si="66"/>
        <v>15503</v>
      </c>
      <c r="DS198" s="1">
        <f t="shared" si="67"/>
        <v>6921</v>
      </c>
      <c r="DT198" s="1">
        <f t="shared" si="68"/>
        <v>12167</v>
      </c>
      <c r="DU198" s="1"/>
      <c r="DV198" s="1"/>
      <c r="DW198" s="1"/>
      <c r="DX198" s="1">
        <f t="shared" si="73"/>
        <v>606691</v>
      </c>
      <c r="DZ198" s="1">
        <f t="shared" si="74"/>
        <v>23692</v>
      </c>
      <c r="EA198" s="1">
        <f t="shared" si="69"/>
        <v>38723</v>
      </c>
      <c r="EC198" s="1">
        <f t="shared" si="75"/>
        <v>669106</v>
      </c>
      <c r="ED198" s="1">
        <f t="shared" si="70"/>
        <v>-2123</v>
      </c>
      <c r="EE198" s="1"/>
    </row>
    <row r="199" spans="1:135" x14ac:dyDescent="0.25">
      <c r="A199" s="124">
        <v>38261</v>
      </c>
      <c r="B199" s="125">
        <v>1</v>
      </c>
      <c r="C199" s="125">
        <v>21</v>
      </c>
      <c r="D199" s="125">
        <v>6673</v>
      </c>
      <c r="E199" s="125">
        <v>1</v>
      </c>
      <c r="F199" s="125" t="s">
        <v>370</v>
      </c>
      <c r="G199" s="125">
        <v>10312</v>
      </c>
      <c r="H199" s="125">
        <v>18011</v>
      </c>
      <c r="I199" s="125">
        <v>3032</v>
      </c>
      <c r="J199" s="125">
        <v>7678</v>
      </c>
      <c r="K199" s="125"/>
      <c r="L199" s="125">
        <v>31041</v>
      </c>
      <c r="M199" s="125">
        <v>2709</v>
      </c>
      <c r="N199" s="125"/>
      <c r="O199" s="125">
        <v>2003</v>
      </c>
      <c r="P199" s="125">
        <v>9062</v>
      </c>
      <c r="Q199" s="125">
        <v>559</v>
      </c>
      <c r="R199" s="125">
        <v>9268</v>
      </c>
      <c r="S199" s="125">
        <v>9826</v>
      </c>
      <c r="T199" s="125"/>
      <c r="U199" s="125"/>
      <c r="V199" s="125">
        <v>470</v>
      </c>
      <c r="W199" s="125">
        <v>7654</v>
      </c>
      <c r="X199" s="125">
        <v>439</v>
      </c>
      <c r="Y199" s="125">
        <v>15</v>
      </c>
      <c r="Z199" s="126"/>
      <c r="AA199" s="125">
        <v>7</v>
      </c>
      <c r="AB199" s="125">
        <v>50</v>
      </c>
      <c r="AC199" s="125">
        <v>13</v>
      </c>
      <c r="AD199" s="125">
        <v>26</v>
      </c>
      <c r="AE199" s="125">
        <v>38</v>
      </c>
      <c r="AF199" s="125">
        <v>54</v>
      </c>
      <c r="AG199" s="125"/>
      <c r="AH199" s="125"/>
      <c r="AI199" s="125">
        <v>6</v>
      </c>
      <c r="AJ199" s="125">
        <v>7737</v>
      </c>
      <c r="AK199" s="125">
        <v>86849</v>
      </c>
      <c r="AL199" s="125">
        <v>3266</v>
      </c>
      <c r="AM199" s="125">
        <v>12156</v>
      </c>
      <c r="AN199" s="125">
        <v>54</v>
      </c>
      <c r="AO199" s="125">
        <v>17</v>
      </c>
      <c r="AP199" s="125">
        <v>4032</v>
      </c>
      <c r="AQ199" s="125">
        <v>0</v>
      </c>
      <c r="AR199" s="125">
        <v>1615</v>
      </c>
      <c r="AS199" s="125" t="s">
        <v>370</v>
      </c>
      <c r="AT199" s="125">
        <v>3353</v>
      </c>
      <c r="AU199" s="125">
        <v>2046</v>
      </c>
      <c r="AV199" s="125">
        <v>3394</v>
      </c>
      <c r="AW199" s="125">
        <v>8507</v>
      </c>
      <c r="AX199" s="126"/>
      <c r="AY199" s="126"/>
      <c r="AZ199" s="126">
        <v>261</v>
      </c>
      <c r="BA199" s="126"/>
      <c r="BB199" s="125">
        <v>494</v>
      </c>
      <c r="BC199" s="125"/>
      <c r="BD199" s="125">
        <v>6</v>
      </c>
      <c r="BE199" s="125">
        <v>2</v>
      </c>
      <c r="BF199" s="125">
        <v>717</v>
      </c>
      <c r="BG199" s="125">
        <v>1</v>
      </c>
      <c r="BH199" s="125">
        <v>0</v>
      </c>
      <c r="BI199" s="125">
        <v>7890</v>
      </c>
      <c r="BJ199" s="125">
        <v>23</v>
      </c>
      <c r="BK199" s="125">
        <v>3435</v>
      </c>
      <c r="BL199" s="125"/>
      <c r="BM199" s="125">
        <v>457</v>
      </c>
      <c r="BN199" s="125">
        <v>60</v>
      </c>
      <c r="BO199" s="125">
        <v>6921</v>
      </c>
      <c r="BP199" s="125">
        <v>45548</v>
      </c>
      <c r="BQ199" s="125">
        <v>1539</v>
      </c>
      <c r="BR199" s="125">
        <v>112</v>
      </c>
      <c r="BS199" s="125">
        <v>4863</v>
      </c>
      <c r="BT199" s="125">
        <v>59</v>
      </c>
      <c r="BU199" s="125"/>
      <c r="BV199" s="125">
        <v>4</v>
      </c>
      <c r="BW199" s="125">
        <v>125</v>
      </c>
      <c r="BX199" s="125"/>
      <c r="BY199" s="125">
        <v>18</v>
      </c>
      <c r="BZ199" s="125">
        <v>0</v>
      </c>
      <c r="CA199" s="125">
        <v>15832</v>
      </c>
      <c r="CB199" s="125">
        <v>15478</v>
      </c>
      <c r="CC199" s="125">
        <v>108706</v>
      </c>
      <c r="CD199" s="125">
        <v>172409</v>
      </c>
      <c r="CE199" s="125">
        <v>17386</v>
      </c>
      <c r="CF199" s="125">
        <v>25115</v>
      </c>
      <c r="CG199" s="125">
        <v>0</v>
      </c>
      <c r="CH199" s="125">
        <v>25</v>
      </c>
      <c r="CI199" s="125">
        <v>13</v>
      </c>
      <c r="CJ199" s="125">
        <v>40</v>
      </c>
      <c r="CK199" s="125"/>
      <c r="CL199" s="125"/>
      <c r="CM199" s="125"/>
      <c r="CN199" s="125"/>
      <c r="CO199" s="125"/>
      <c r="CP199" s="125"/>
      <c r="CQ199" s="125"/>
      <c r="CR199" s="125"/>
      <c r="CS199" s="125"/>
      <c r="CT199" s="125"/>
      <c r="CU199" s="125"/>
      <c r="CV199" s="125"/>
      <c r="CW199" s="125"/>
      <c r="CX199" s="125"/>
      <c r="CY199" s="125" t="s">
        <v>370</v>
      </c>
      <c r="CZ199" s="125" t="s">
        <v>370</v>
      </c>
      <c r="DA199" s="125" t="s">
        <v>370</v>
      </c>
      <c r="DB199" s="125">
        <v>35</v>
      </c>
      <c r="DC199" s="125">
        <v>0</v>
      </c>
      <c r="DD199" s="125">
        <v>52</v>
      </c>
      <c r="DE199">
        <f t="shared" si="57"/>
        <v>679534</v>
      </c>
      <c r="DG199" s="1">
        <f t="shared" si="71"/>
        <v>431370</v>
      </c>
      <c r="DH199" s="1">
        <f t="shared" si="58"/>
        <v>207920</v>
      </c>
      <c r="DI199" s="127">
        <f t="shared" si="59"/>
        <v>639290</v>
      </c>
      <c r="DK199" s="1">
        <f t="shared" si="60"/>
        <v>62856</v>
      </c>
      <c r="DL199" s="1">
        <f t="shared" si="61"/>
        <v>109663</v>
      </c>
      <c r="DM199" s="1">
        <f t="shared" si="62"/>
        <v>9896</v>
      </c>
      <c r="DN199" s="1">
        <f t="shared" si="63"/>
        <v>24999</v>
      </c>
      <c r="DO199" s="1">
        <f t="shared" si="64"/>
        <v>318165</v>
      </c>
      <c r="DP199" s="1">
        <f t="shared" si="65"/>
        <v>50875</v>
      </c>
      <c r="DQ199" s="1">
        <f t="shared" si="72"/>
        <v>0</v>
      </c>
      <c r="DR199" s="1">
        <f t="shared" si="66"/>
        <v>15405</v>
      </c>
      <c r="DS199" s="1">
        <f t="shared" si="67"/>
        <v>7454</v>
      </c>
      <c r="DT199" s="1">
        <f t="shared" si="68"/>
        <v>12169</v>
      </c>
      <c r="DU199" s="1"/>
      <c r="DV199" s="1"/>
      <c r="DW199" s="1"/>
      <c r="DX199" s="1">
        <f t="shared" si="73"/>
        <v>611482</v>
      </c>
      <c r="DZ199" s="1">
        <f t="shared" si="74"/>
        <v>25115</v>
      </c>
      <c r="EA199" s="1">
        <f t="shared" si="69"/>
        <v>39033</v>
      </c>
      <c r="EC199" s="1">
        <f t="shared" si="75"/>
        <v>675630</v>
      </c>
      <c r="ED199" s="1">
        <f t="shared" si="70"/>
        <v>-3904</v>
      </c>
      <c r="EE199" s="1"/>
    </row>
    <row r="200" spans="1:135" x14ac:dyDescent="0.25">
      <c r="A200" s="124">
        <v>38292</v>
      </c>
      <c r="B200" s="125">
        <v>0</v>
      </c>
      <c r="C200" s="125">
        <v>27</v>
      </c>
      <c r="D200" s="125">
        <v>7140</v>
      </c>
      <c r="E200" s="125">
        <v>1</v>
      </c>
      <c r="F200" s="125" t="s">
        <v>370</v>
      </c>
      <c r="G200" s="125">
        <v>10486</v>
      </c>
      <c r="H200" s="125">
        <v>18425</v>
      </c>
      <c r="I200" s="125">
        <v>2994</v>
      </c>
      <c r="J200" s="125">
        <v>7609</v>
      </c>
      <c r="K200" s="125"/>
      <c r="L200" s="125">
        <v>31067</v>
      </c>
      <c r="M200" s="125">
        <v>2707</v>
      </c>
      <c r="N200" s="125"/>
      <c r="O200" s="125">
        <v>2021</v>
      </c>
      <c r="P200" s="125">
        <v>9038</v>
      </c>
      <c r="Q200" s="125">
        <v>557</v>
      </c>
      <c r="R200" s="125">
        <v>9272</v>
      </c>
      <c r="S200" s="125">
        <v>9896</v>
      </c>
      <c r="T200" s="125"/>
      <c r="U200" s="125"/>
      <c r="V200" s="125">
        <v>474</v>
      </c>
      <c r="W200" s="125">
        <v>7720</v>
      </c>
      <c r="X200" s="125">
        <v>438</v>
      </c>
      <c r="Y200" s="125">
        <v>14</v>
      </c>
      <c r="Z200" s="126"/>
      <c r="AA200" s="125">
        <v>8</v>
      </c>
      <c r="AB200" s="125">
        <v>51</v>
      </c>
      <c r="AC200" s="125">
        <v>13</v>
      </c>
      <c r="AD200" s="125">
        <v>26</v>
      </c>
      <c r="AE200" s="125">
        <v>38</v>
      </c>
      <c r="AF200" s="125">
        <v>54</v>
      </c>
      <c r="AG200" s="125"/>
      <c r="AH200" s="125"/>
      <c r="AI200" s="125">
        <v>6</v>
      </c>
      <c r="AJ200" s="125">
        <v>7863</v>
      </c>
      <c r="AK200" s="125">
        <v>87130</v>
      </c>
      <c r="AL200" s="125">
        <v>3264</v>
      </c>
      <c r="AM200" s="125">
        <v>12228</v>
      </c>
      <c r="AN200" s="125">
        <v>57</v>
      </c>
      <c r="AO200" s="125">
        <v>18</v>
      </c>
      <c r="AP200" s="125">
        <v>4182</v>
      </c>
      <c r="AQ200" s="125">
        <v>0</v>
      </c>
      <c r="AR200" s="125">
        <v>1628</v>
      </c>
      <c r="AS200" s="125" t="s">
        <v>370</v>
      </c>
      <c r="AT200" s="125">
        <v>3407</v>
      </c>
      <c r="AU200" s="125">
        <v>2038</v>
      </c>
      <c r="AV200" s="125">
        <v>3423</v>
      </c>
      <c r="AW200" s="125">
        <v>8517</v>
      </c>
      <c r="AX200" s="126"/>
      <c r="AY200" s="126"/>
      <c r="AZ200" s="126">
        <v>265</v>
      </c>
      <c r="BA200" s="126"/>
      <c r="BB200" s="125">
        <v>500</v>
      </c>
      <c r="BC200" s="125"/>
      <c r="BD200" s="125">
        <v>6</v>
      </c>
      <c r="BE200" s="125">
        <v>1</v>
      </c>
      <c r="BF200" s="125">
        <v>724</v>
      </c>
      <c r="BG200" s="125">
        <v>1</v>
      </c>
      <c r="BH200" s="125">
        <v>0</v>
      </c>
      <c r="BI200" s="125">
        <v>7898</v>
      </c>
      <c r="BJ200" s="125">
        <v>23</v>
      </c>
      <c r="BK200" s="125">
        <v>3423</v>
      </c>
      <c r="BL200" s="125"/>
      <c r="BM200" s="125">
        <v>441</v>
      </c>
      <c r="BN200" s="125">
        <v>60</v>
      </c>
      <c r="BO200" s="125">
        <v>7454</v>
      </c>
      <c r="BP200" s="125">
        <v>46252</v>
      </c>
      <c r="BQ200" s="125">
        <v>1418</v>
      </c>
      <c r="BR200" s="125">
        <v>122</v>
      </c>
      <c r="BS200" s="125">
        <v>4955</v>
      </c>
      <c r="BT200" s="125">
        <v>60</v>
      </c>
      <c r="BU200" s="125"/>
      <c r="BV200" s="125">
        <v>4</v>
      </c>
      <c r="BW200" s="125">
        <v>124</v>
      </c>
      <c r="BX200" s="125"/>
      <c r="BY200" s="125">
        <v>16</v>
      </c>
      <c r="BZ200" s="125">
        <v>0</v>
      </c>
      <c r="CA200" s="125">
        <v>16403</v>
      </c>
      <c r="CB200" s="125">
        <v>15382</v>
      </c>
      <c r="CC200" s="125">
        <v>109036</v>
      </c>
      <c r="CD200" s="125">
        <v>173455</v>
      </c>
      <c r="CE200" s="125">
        <v>17520</v>
      </c>
      <c r="CF200" s="125">
        <v>26522</v>
      </c>
      <c r="CG200" s="125">
        <v>0</v>
      </c>
      <c r="CH200" s="125">
        <v>23</v>
      </c>
      <c r="CI200" s="125">
        <v>13</v>
      </c>
      <c r="CJ200" s="125">
        <v>34</v>
      </c>
      <c r="CK200" s="125"/>
      <c r="CL200" s="125"/>
      <c r="CM200" s="125"/>
      <c r="CN200" s="125"/>
      <c r="CO200" s="125"/>
      <c r="CP200" s="125"/>
      <c r="CQ200" s="125"/>
      <c r="CR200" s="125"/>
      <c r="CS200" s="125"/>
      <c r="CT200" s="125"/>
      <c r="CU200" s="125"/>
      <c r="CV200" s="125"/>
      <c r="CW200" s="125"/>
      <c r="CX200" s="125"/>
      <c r="CY200" s="125" t="s">
        <v>370</v>
      </c>
      <c r="CZ200" s="125" t="s">
        <v>370</v>
      </c>
      <c r="DA200" s="125" t="s">
        <v>370</v>
      </c>
      <c r="DB200" s="125">
        <v>35</v>
      </c>
      <c r="DC200" s="125">
        <v>0</v>
      </c>
      <c r="DD200" s="125">
        <v>52</v>
      </c>
      <c r="DE200">
        <f t="shared" si="57"/>
        <v>685972</v>
      </c>
      <c r="DG200" s="1">
        <f t="shared" si="71"/>
        <v>436541</v>
      </c>
      <c r="DH200" s="1">
        <f t="shared" si="58"/>
        <v>208930</v>
      </c>
      <c r="DI200" s="127">
        <f t="shared" si="59"/>
        <v>645471</v>
      </c>
      <c r="DK200" s="1">
        <f t="shared" si="60"/>
        <v>62831</v>
      </c>
      <c r="DL200" s="1">
        <f t="shared" si="61"/>
        <v>110169</v>
      </c>
      <c r="DM200" s="1">
        <f t="shared" si="62"/>
        <v>9909</v>
      </c>
      <c r="DN200" s="1">
        <f t="shared" si="63"/>
        <v>25384</v>
      </c>
      <c r="DO200" s="1">
        <f t="shared" si="64"/>
        <v>320706</v>
      </c>
      <c r="DP200" s="1">
        <f t="shared" si="65"/>
        <v>51655</v>
      </c>
      <c r="DQ200" s="1">
        <f t="shared" si="72"/>
        <v>0</v>
      </c>
      <c r="DR200" s="1">
        <f t="shared" si="66"/>
        <v>15308</v>
      </c>
      <c r="DS200" s="1">
        <f t="shared" si="67"/>
        <v>8063</v>
      </c>
      <c r="DT200" s="1">
        <f t="shared" si="68"/>
        <v>12174</v>
      </c>
      <c r="DU200" s="1"/>
      <c r="DV200" s="1"/>
      <c r="DW200" s="1"/>
      <c r="DX200" s="1">
        <f t="shared" si="73"/>
        <v>616199</v>
      </c>
      <c r="DZ200" s="1">
        <f t="shared" si="74"/>
        <v>26522</v>
      </c>
      <c r="EA200" s="1">
        <f t="shared" si="69"/>
        <v>39514</v>
      </c>
      <c r="EC200" s="1">
        <f t="shared" si="75"/>
        <v>682235</v>
      </c>
      <c r="ED200" s="1">
        <f t="shared" si="70"/>
        <v>-3737</v>
      </c>
      <c r="EE200" s="1"/>
    </row>
    <row r="201" spans="1:135" x14ac:dyDescent="0.25">
      <c r="A201" s="124">
        <v>38322</v>
      </c>
      <c r="B201" s="125">
        <v>0</v>
      </c>
      <c r="C201" s="125">
        <v>27</v>
      </c>
      <c r="D201" s="125">
        <v>6559</v>
      </c>
      <c r="E201" s="125">
        <v>1</v>
      </c>
      <c r="F201" s="125" t="s">
        <v>370</v>
      </c>
      <c r="G201" s="125">
        <v>10623</v>
      </c>
      <c r="H201" s="125">
        <v>18748</v>
      </c>
      <c r="I201" s="125">
        <v>2984</v>
      </c>
      <c r="J201" s="125">
        <v>7543</v>
      </c>
      <c r="K201" s="125"/>
      <c r="L201" s="125">
        <v>31028</v>
      </c>
      <c r="M201" s="125">
        <v>2692</v>
      </c>
      <c r="N201" s="125"/>
      <c r="O201" s="125">
        <v>2035</v>
      </c>
      <c r="P201" s="125">
        <v>9037</v>
      </c>
      <c r="Q201" s="125">
        <v>550</v>
      </c>
      <c r="R201" s="125">
        <v>9223</v>
      </c>
      <c r="S201" s="125">
        <v>9909</v>
      </c>
      <c r="T201" s="125"/>
      <c r="U201" s="125"/>
      <c r="V201" s="125">
        <v>473</v>
      </c>
      <c r="W201" s="125">
        <v>7793</v>
      </c>
      <c r="X201" s="125">
        <v>433</v>
      </c>
      <c r="Y201" s="125">
        <v>13</v>
      </c>
      <c r="Z201" s="126"/>
      <c r="AA201" s="125">
        <v>7</v>
      </c>
      <c r="AB201" s="125">
        <v>54</v>
      </c>
      <c r="AC201" s="125">
        <v>12</v>
      </c>
      <c r="AD201" s="125">
        <v>26</v>
      </c>
      <c r="AE201" s="125">
        <v>37</v>
      </c>
      <c r="AF201" s="125">
        <v>52</v>
      </c>
      <c r="AG201" s="125"/>
      <c r="AH201" s="125"/>
      <c r="AI201" s="125">
        <v>7</v>
      </c>
      <c r="AJ201" s="125">
        <v>7982</v>
      </c>
      <c r="AK201" s="125">
        <v>87566</v>
      </c>
      <c r="AL201" s="125">
        <v>3268</v>
      </c>
      <c r="AM201" s="125">
        <v>12406</v>
      </c>
      <c r="AN201" s="125">
        <v>62</v>
      </c>
      <c r="AO201" s="125">
        <v>18</v>
      </c>
      <c r="AP201" s="125">
        <v>4317</v>
      </c>
      <c r="AQ201" s="125">
        <v>0</v>
      </c>
      <c r="AR201" s="125">
        <v>1682</v>
      </c>
      <c r="AS201" s="125" t="s">
        <v>370</v>
      </c>
      <c r="AT201" s="125">
        <v>3430</v>
      </c>
      <c r="AU201" s="125">
        <v>2034</v>
      </c>
      <c r="AV201" s="125">
        <v>3419</v>
      </c>
      <c r="AW201" s="125">
        <v>8591</v>
      </c>
      <c r="AX201" s="126"/>
      <c r="AY201" s="126"/>
      <c r="AZ201" s="126">
        <v>271</v>
      </c>
      <c r="BA201" s="126"/>
      <c r="BB201" s="125">
        <v>503</v>
      </c>
      <c r="BC201" s="125"/>
      <c r="BD201" s="125">
        <v>7</v>
      </c>
      <c r="BE201" s="125">
        <v>0</v>
      </c>
      <c r="BF201" s="125">
        <v>752</v>
      </c>
      <c r="BG201" s="125">
        <v>1</v>
      </c>
      <c r="BH201" s="125">
        <v>0</v>
      </c>
      <c r="BI201" s="125">
        <v>7877</v>
      </c>
      <c r="BJ201" s="125">
        <v>27</v>
      </c>
      <c r="BK201" s="125">
        <v>3420</v>
      </c>
      <c r="BL201" s="125"/>
      <c r="BM201" s="125">
        <v>437</v>
      </c>
      <c r="BN201" s="125">
        <v>61</v>
      </c>
      <c r="BO201" s="125">
        <v>8063</v>
      </c>
      <c r="BP201" s="125">
        <v>47119</v>
      </c>
      <c r="BQ201" s="125">
        <v>1290</v>
      </c>
      <c r="BR201" s="125">
        <v>123</v>
      </c>
      <c r="BS201" s="125">
        <v>5013</v>
      </c>
      <c r="BT201" s="125">
        <v>60</v>
      </c>
      <c r="BU201" s="125"/>
      <c r="BV201" s="125">
        <v>2</v>
      </c>
      <c r="BW201" s="125">
        <v>125</v>
      </c>
      <c r="BX201" s="125"/>
      <c r="BY201" s="125">
        <v>16</v>
      </c>
      <c r="BZ201" s="125">
        <v>0</v>
      </c>
      <c r="CA201" s="125">
        <v>16689</v>
      </c>
      <c r="CB201" s="125">
        <v>15281</v>
      </c>
      <c r="CC201" s="125">
        <v>109663</v>
      </c>
      <c r="CD201" s="125">
        <v>174674</v>
      </c>
      <c r="CE201" s="125">
        <v>18055</v>
      </c>
      <c r="CF201" s="125">
        <v>27713</v>
      </c>
      <c r="CG201" s="125">
        <v>0</v>
      </c>
      <c r="CH201" s="125">
        <v>27</v>
      </c>
      <c r="CI201" s="125">
        <v>9</v>
      </c>
      <c r="CJ201" s="125">
        <v>37</v>
      </c>
      <c r="CK201" s="125"/>
      <c r="CL201" s="125"/>
      <c r="CM201" s="125"/>
      <c r="CN201" s="125"/>
      <c r="CO201" s="125"/>
      <c r="CP201" s="125"/>
      <c r="CQ201" s="125"/>
      <c r="CR201" s="125"/>
      <c r="CS201" s="125"/>
      <c r="CT201" s="125"/>
      <c r="CU201" s="125"/>
      <c r="CV201" s="125"/>
      <c r="CW201" s="125"/>
      <c r="CX201" s="125"/>
      <c r="CY201" s="125" t="s">
        <v>370</v>
      </c>
      <c r="CZ201" s="125" t="s">
        <v>370</v>
      </c>
      <c r="DA201" s="125" t="s">
        <v>370</v>
      </c>
      <c r="DB201" s="125">
        <v>34</v>
      </c>
      <c r="DC201" s="125">
        <v>0</v>
      </c>
      <c r="DD201" s="125">
        <v>52</v>
      </c>
      <c r="DE201">
        <f t="shared" si="57"/>
        <v>691956</v>
      </c>
      <c r="DG201" s="1">
        <f t="shared" si="71"/>
        <v>440012</v>
      </c>
      <c r="DH201" s="1">
        <f t="shared" si="58"/>
        <v>205316</v>
      </c>
      <c r="DI201" s="127">
        <f t="shared" si="59"/>
        <v>645328</v>
      </c>
      <c r="DK201" s="1">
        <f t="shared" si="60"/>
        <v>62657</v>
      </c>
      <c r="DL201" s="1">
        <f t="shared" si="61"/>
        <v>110806</v>
      </c>
      <c r="DM201" s="1">
        <f t="shared" si="62"/>
        <v>9916</v>
      </c>
      <c r="DN201" s="1">
        <f t="shared" si="63"/>
        <v>21319</v>
      </c>
      <c r="DO201" s="1">
        <f t="shared" si="64"/>
        <v>322263</v>
      </c>
      <c r="DP201" s="1">
        <f t="shared" si="65"/>
        <v>52577</v>
      </c>
      <c r="DQ201" s="1">
        <f t="shared" si="72"/>
        <v>0</v>
      </c>
      <c r="DR201" s="1">
        <f t="shared" si="66"/>
        <v>15174</v>
      </c>
      <c r="DS201" s="1">
        <f t="shared" si="67"/>
        <v>8623</v>
      </c>
      <c r="DT201" s="1">
        <f t="shared" si="68"/>
        <v>12235</v>
      </c>
      <c r="DU201" s="1"/>
      <c r="DV201" s="1"/>
      <c r="DW201" s="1"/>
      <c r="DX201" s="1">
        <f t="shared" si="73"/>
        <v>615570</v>
      </c>
      <c r="DZ201" s="1">
        <f t="shared" si="74"/>
        <v>27713</v>
      </c>
      <c r="EA201" s="1">
        <f t="shared" si="69"/>
        <v>39898</v>
      </c>
      <c r="EC201" s="1">
        <f t="shared" si="75"/>
        <v>683181</v>
      </c>
      <c r="ED201" s="1">
        <f t="shared" si="70"/>
        <v>-8775</v>
      </c>
      <c r="EE201" s="1"/>
    </row>
    <row r="202" spans="1:135" x14ac:dyDescent="0.25">
      <c r="A202" s="124">
        <v>38353</v>
      </c>
      <c r="B202" s="125">
        <v>1</v>
      </c>
      <c r="C202" s="125">
        <v>26</v>
      </c>
      <c r="D202" s="125">
        <v>5499</v>
      </c>
      <c r="E202" s="125">
        <v>1</v>
      </c>
      <c r="F202" s="125" t="s">
        <v>370</v>
      </c>
      <c r="G202" s="125">
        <v>10658</v>
      </c>
      <c r="H202" s="125">
        <v>18941</v>
      </c>
      <c r="I202" s="125">
        <v>2956</v>
      </c>
      <c r="J202" s="125">
        <v>7413</v>
      </c>
      <c r="K202" s="125"/>
      <c r="L202" s="125">
        <v>31012</v>
      </c>
      <c r="M202" s="125">
        <v>2674</v>
      </c>
      <c r="N202" s="125"/>
      <c r="O202" s="125">
        <v>2028</v>
      </c>
      <c r="P202" s="125">
        <v>8955</v>
      </c>
      <c r="Q202" s="125">
        <v>539</v>
      </c>
      <c r="R202" s="125">
        <v>9149</v>
      </c>
      <c r="S202" s="125">
        <v>9916</v>
      </c>
      <c r="T202" s="125"/>
      <c r="U202" s="125"/>
      <c r="V202" s="125">
        <v>456</v>
      </c>
      <c r="W202" s="125">
        <v>7844</v>
      </c>
      <c r="X202" s="125">
        <v>432</v>
      </c>
      <c r="Y202" s="125">
        <v>13</v>
      </c>
      <c r="Z202" s="126"/>
      <c r="AA202" s="125">
        <v>5</v>
      </c>
      <c r="AB202" s="125">
        <v>54</v>
      </c>
      <c r="AC202" s="125">
        <v>13</v>
      </c>
      <c r="AD202" s="125">
        <v>26</v>
      </c>
      <c r="AE202" s="125">
        <v>38</v>
      </c>
      <c r="AF202" s="125">
        <v>52</v>
      </c>
      <c r="AG202" s="125"/>
      <c r="AH202" s="125"/>
      <c r="AI202" s="125">
        <v>7</v>
      </c>
      <c r="AJ202" s="125">
        <v>8075</v>
      </c>
      <c r="AK202" s="125">
        <v>88119</v>
      </c>
      <c r="AL202" s="125">
        <v>3263</v>
      </c>
      <c r="AM202" s="125">
        <v>12415</v>
      </c>
      <c r="AN202" s="125">
        <v>61</v>
      </c>
      <c r="AO202" s="125">
        <v>17</v>
      </c>
      <c r="AP202" s="125">
        <v>230</v>
      </c>
      <c r="AQ202" s="125">
        <v>0</v>
      </c>
      <c r="AR202" s="125">
        <v>1634</v>
      </c>
      <c r="AS202" s="125" t="s">
        <v>370</v>
      </c>
      <c r="AT202" s="125">
        <v>3435</v>
      </c>
      <c r="AU202" s="125">
        <v>2047</v>
      </c>
      <c r="AV202" s="125">
        <v>3434</v>
      </c>
      <c r="AW202" s="125">
        <v>8605</v>
      </c>
      <c r="AX202" s="126"/>
      <c r="AY202" s="126"/>
      <c r="AZ202" s="126">
        <v>277</v>
      </c>
      <c r="BA202" s="126"/>
      <c r="BB202" s="125">
        <v>491</v>
      </c>
      <c r="BC202" s="125"/>
      <c r="BD202" s="125">
        <v>6</v>
      </c>
      <c r="BE202" s="125">
        <v>0</v>
      </c>
      <c r="BF202" s="125">
        <v>771</v>
      </c>
      <c r="BG202" s="125">
        <v>1</v>
      </c>
      <c r="BH202" s="125">
        <v>0</v>
      </c>
      <c r="BI202" s="125">
        <v>7880</v>
      </c>
      <c r="BJ202" s="125">
        <v>33</v>
      </c>
      <c r="BK202" s="125">
        <v>3464</v>
      </c>
      <c r="BL202" s="125"/>
      <c r="BM202" s="125">
        <v>394</v>
      </c>
      <c r="BN202" s="125">
        <v>55</v>
      </c>
      <c r="BO202" s="125">
        <v>8623</v>
      </c>
      <c r="BP202" s="125">
        <v>47718</v>
      </c>
      <c r="BQ202" s="125">
        <v>1195</v>
      </c>
      <c r="BR202" s="125">
        <v>127</v>
      </c>
      <c r="BS202" s="125">
        <v>5044</v>
      </c>
      <c r="BT202" s="125">
        <v>59</v>
      </c>
      <c r="BU202" s="125"/>
      <c r="BV202" s="125">
        <v>3</v>
      </c>
      <c r="BW202" s="125">
        <v>120</v>
      </c>
      <c r="BX202" s="125"/>
      <c r="BY202" s="125">
        <v>11</v>
      </c>
      <c r="BZ202" s="125">
        <v>0</v>
      </c>
      <c r="CA202" s="125">
        <v>17008</v>
      </c>
      <c r="CB202" s="125">
        <v>15151</v>
      </c>
      <c r="CC202" s="125">
        <v>109983</v>
      </c>
      <c r="CD202" s="125">
        <v>175323</v>
      </c>
      <c r="CE202" s="125">
        <v>18431</v>
      </c>
      <c r="CF202" s="125">
        <v>28554</v>
      </c>
      <c r="CG202" s="125">
        <v>0</v>
      </c>
      <c r="CH202" s="125">
        <v>23</v>
      </c>
      <c r="CI202" s="125">
        <v>9</v>
      </c>
      <c r="CJ202" s="125">
        <v>26</v>
      </c>
      <c r="CK202" s="125"/>
      <c r="CL202" s="125"/>
      <c r="CM202" s="125"/>
      <c r="CN202" s="125"/>
      <c r="CO202" s="125"/>
      <c r="CP202" s="125"/>
      <c r="CQ202" s="125"/>
      <c r="CR202" s="125"/>
      <c r="CS202" s="125"/>
      <c r="CT202" s="125"/>
      <c r="CU202" s="125"/>
      <c r="CV202" s="125"/>
      <c r="CW202" s="125"/>
      <c r="CX202" s="125"/>
      <c r="CY202" s="125" t="s">
        <v>370</v>
      </c>
      <c r="CZ202" s="125" t="s">
        <v>370</v>
      </c>
      <c r="DA202" s="125" t="s">
        <v>370</v>
      </c>
      <c r="DB202" s="125">
        <v>33</v>
      </c>
      <c r="DC202" s="125">
        <v>0</v>
      </c>
      <c r="DD202" s="125">
        <v>53</v>
      </c>
      <c r="DE202">
        <f t="shared" si="57"/>
        <v>690823</v>
      </c>
      <c r="DG202" s="1">
        <f t="shared" si="71"/>
        <v>446734</v>
      </c>
      <c r="DH202" s="1">
        <f t="shared" si="58"/>
        <v>207645</v>
      </c>
      <c r="DI202" s="127">
        <f t="shared" si="59"/>
        <v>654379</v>
      </c>
      <c r="DK202" s="1">
        <f t="shared" si="60"/>
        <v>62499</v>
      </c>
      <c r="DL202" s="1">
        <f t="shared" si="61"/>
        <v>111424</v>
      </c>
      <c r="DM202" s="1">
        <f t="shared" si="62"/>
        <v>9920</v>
      </c>
      <c r="DN202" s="1">
        <f t="shared" si="63"/>
        <v>22965</v>
      </c>
      <c r="DO202" s="1">
        <f t="shared" si="64"/>
        <v>326011</v>
      </c>
      <c r="DP202" s="1">
        <f t="shared" si="65"/>
        <v>53163</v>
      </c>
      <c r="DQ202" s="1">
        <f t="shared" si="72"/>
        <v>0</v>
      </c>
      <c r="DR202" s="1">
        <f t="shared" si="66"/>
        <v>15145</v>
      </c>
      <c r="DS202" s="1">
        <f t="shared" si="67"/>
        <v>9207</v>
      </c>
      <c r="DT202" s="1">
        <f t="shared" si="68"/>
        <v>12330</v>
      </c>
      <c r="DU202" s="1"/>
      <c r="DV202" s="1"/>
      <c r="DW202" s="1"/>
      <c r="DX202" s="1">
        <f t="shared" si="73"/>
        <v>622664</v>
      </c>
      <c r="DZ202" s="1">
        <f t="shared" si="74"/>
        <v>28554</v>
      </c>
      <c r="EA202" s="1">
        <f t="shared" si="69"/>
        <v>39968</v>
      </c>
      <c r="EC202" s="1">
        <f t="shared" si="75"/>
        <v>691186</v>
      </c>
      <c r="ED202" s="1">
        <f t="shared" si="70"/>
        <v>363</v>
      </c>
      <c r="EE202" s="1"/>
    </row>
    <row r="203" spans="1:135" x14ac:dyDescent="0.25">
      <c r="A203" s="124">
        <v>38384</v>
      </c>
      <c r="B203" s="125">
        <v>1</v>
      </c>
      <c r="C203" s="125">
        <v>22</v>
      </c>
      <c r="D203" s="125">
        <v>4521</v>
      </c>
      <c r="E203" s="125">
        <v>0</v>
      </c>
      <c r="F203" s="125" t="s">
        <v>370</v>
      </c>
      <c r="G203" s="125">
        <v>10830</v>
      </c>
      <c r="H203" s="125">
        <v>19178</v>
      </c>
      <c r="I203" s="125">
        <v>2965</v>
      </c>
      <c r="J203" s="125">
        <v>7356</v>
      </c>
      <c r="K203" s="125"/>
      <c r="L203" s="125">
        <v>30968</v>
      </c>
      <c r="M203" s="125">
        <v>2658</v>
      </c>
      <c r="N203" s="125"/>
      <c r="O203" s="125">
        <v>1997</v>
      </c>
      <c r="P203" s="125">
        <v>8888</v>
      </c>
      <c r="Q203" s="125">
        <v>537</v>
      </c>
      <c r="R203" s="125">
        <v>9075</v>
      </c>
      <c r="S203" s="125">
        <v>9920</v>
      </c>
      <c r="T203" s="125"/>
      <c r="U203" s="125"/>
      <c r="V203" s="125">
        <v>458</v>
      </c>
      <c r="W203" s="125">
        <v>7918</v>
      </c>
      <c r="X203" s="125">
        <v>431</v>
      </c>
      <c r="Y203" s="125">
        <v>13</v>
      </c>
      <c r="Z203" s="126"/>
      <c r="AA203" s="125">
        <v>5</v>
      </c>
      <c r="AB203" s="125">
        <v>52</v>
      </c>
      <c r="AC203" s="125">
        <v>13</v>
      </c>
      <c r="AD203" s="125">
        <v>27</v>
      </c>
      <c r="AE203" s="125">
        <v>41</v>
      </c>
      <c r="AF203" s="125">
        <v>52</v>
      </c>
      <c r="AG203" s="125"/>
      <c r="AH203" s="125"/>
      <c r="AI203" s="125">
        <v>7</v>
      </c>
      <c r="AJ203" s="125">
        <v>8180</v>
      </c>
      <c r="AK203" s="125">
        <v>88800</v>
      </c>
      <c r="AL203" s="125">
        <v>3259</v>
      </c>
      <c r="AM203" s="125">
        <v>12523</v>
      </c>
      <c r="AN203" s="125">
        <v>65</v>
      </c>
      <c r="AO203" s="125">
        <v>21</v>
      </c>
      <c r="AP203" s="125">
        <v>1669</v>
      </c>
      <c r="AQ203" s="125">
        <v>0</v>
      </c>
      <c r="AR203" s="125">
        <v>1695</v>
      </c>
      <c r="AS203" s="125" t="s">
        <v>370</v>
      </c>
      <c r="AT203" s="125">
        <v>3431</v>
      </c>
      <c r="AU203" s="125">
        <v>2057</v>
      </c>
      <c r="AV203" s="125">
        <v>3411</v>
      </c>
      <c r="AW203" s="125">
        <v>8700</v>
      </c>
      <c r="AX203" s="126"/>
      <c r="AY203" s="126"/>
      <c r="AZ203" s="126">
        <v>284</v>
      </c>
      <c r="BA203" s="126"/>
      <c r="BB203" s="125">
        <v>490</v>
      </c>
      <c r="BC203" s="125"/>
      <c r="BD203" s="125">
        <v>5</v>
      </c>
      <c r="BE203" s="125">
        <v>0</v>
      </c>
      <c r="BF203" s="125">
        <v>819</v>
      </c>
      <c r="BG203" s="125">
        <v>1</v>
      </c>
      <c r="BH203" s="125">
        <v>0</v>
      </c>
      <c r="BI203" s="125">
        <v>7909</v>
      </c>
      <c r="BJ203" s="125">
        <v>34</v>
      </c>
      <c r="BK203" s="125">
        <v>3486</v>
      </c>
      <c r="BL203" s="125"/>
      <c r="BM203" s="125">
        <v>390</v>
      </c>
      <c r="BN203" s="125">
        <v>56</v>
      </c>
      <c r="BO203" s="125">
        <v>9207</v>
      </c>
      <c r="BP203" s="125">
        <v>48934</v>
      </c>
      <c r="BQ203" s="125">
        <v>1112</v>
      </c>
      <c r="BR203" s="125">
        <v>129</v>
      </c>
      <c r="BS203" s="125">
        <v>5265</v>
      </c>
      <c r="BT203" s="125">
        <v>58</v>
      </c>
      <c r="BU203" s="125"/>
      <c r="BV203" s="125">
        <v>3</v>
      </c>
      <c r="BW203" s="125">
        <v>116</v>
      </c>
      <c r="BX203" s="125"/>
      <c r="BY203" s="125">
        <v>10</v>
      </c>
      <c r="BZ203" s="125">
        <v>0</v>
      </c>
      <c r="CA203" s="125">
        <v>17329</v>
      </c>
      <c r="CB203" s="125">
        <v>15121</v>
      </c>
      <c r="CC203" s="125">
        <v>110850</v>
      </c>
      <c r="CD203" s="125">
        <v>177133</v>
      </c>
      <c r="CE203" s="125">
        <v>19242</v>
      </c>
      <c r="CF203" s="125">
        <v>29446</v>
      </c>
      <c r="CG203" s="125">
        <v>0</v>
      </c>
      <c r="CH203" s="125">
        <v>24</v>
      </c>
      <c r="CI203" s="125">
        <v>8</v>
      </c>
      <c r="CJ203" s="125">
        <v>47</v>
      </c>
      <c r="CK203" s="125"/>
      <c r="CL203" s="125"/>
      <c r="CM203" s="125"/>
      <c r="CN203" s="125"/>
      <c r="CO203" s="125"/>
      <c r="CP203" s="125"/>
      <c r="CQ203" s="125"/>
      <c r="CR203" s="125"/>
      <c r="CS203" s="125"/>
      <c r="CT203" s="125"/>
      <c r="CU203" s="125"/>
      <c r="CV203" s="125"/>
      <c r="CW203" s="125"/>
      <c r="CX203" s="125"/>
      <c r="CY203" s="125" t="s">
        <v>370</v>
      </c>
      <c r="CZ203" s="125" t="s">
        <v>370</v>
      </c>
      <c r="DA203" s="125" t="s">
        <v>370</v>
      </c>
      <c r="DB203" s="125">
        <v>33</v>
      </c>
      <c r="DC203" s="125">
        <v>0</v>
      </c>
      <c r="DD203" s="125">
        <v>51</v>
      </c>
      <c r="DE203">
        <f t="shared" si="57"/>
        <v>699252</v>
      </c>
      <c r="DG203" s="1">
        <f t="shared" si="71"/>
        <v>444347</v>
      </c>
      <c r="DH203" s="1">
        <f t="shared" si="58"/>
        <v>208396</v>
      </c>
      <c r="DI203" s="127">
        <f t="shared" si="59"/>
        <v>652743</v>
      </c>
      <c r="DK203" s="1">
        <f t="shared" si="60"/>
        <v>62198</v>
      </c>
      <c r="DL203" s="1">
        <f t="shared" si="61"/>
        <v>112261</v>
      </c>
      <c r="DM203" s="1">
        <f t="shared" si="62"/>
        <v>9855</v>
      </c>
      <c r="DN203" s="1">
        <f t="shared" si="63"/>
        <v>24104</v>
      </c>
      <c r="DO203" s="1">
        <f t="shared" si="64"/>
        <v>323708</v>
      </c>
      <c r="DP203" s="1">
        <f t="shared" si="65"/>
        <v>54595</v>
      </c>
      <c r="DQ203" s="1">
        <f t="shared" si="72"/>
        <v>0</v>
      </c>
      <c r="DR203" s="1">
        <f t="shared" si="66"/>
        <v>14943</v>
      </c>
      <c r="DS203" s="1">
        <f t="shared" si="67"/>
        <v>9519</v>
      </c>
      <c r="DT203" s="1">
        <f t="shared" si="68"/>
        <v>12271</v>
      </c>
      <c r="DU203" s="1"/>
      <c r="DV203" s="1"/>
      <c r="DW203" s="1"/>
      <c r="DX203" s="1">
        <f t="shared" si="73"/>
        <v>623454</v>
      </c>
      <c r="DZ203" s="1">
        <f t="shared" si="74"/>
        <v>29446</v>
      </c>
      <c r="EA203" s="1">
        <f t="shared" si="69"/>
        <v>40329</v>
      </c>
      <c r="EC203" s="1">
        <f t="shared" si="75"/>
        <v>693229</v>
      </c>
      <c r="ED203" s="1">
        <f t="shared" si="70"/>
        <v>-6023</v>
      </c>
      <c r="EE203" s="1"/>
    </row>
    <row r="204" spans="1:135" x14ac:dyDescent="0.25">
      <c r="A204" s="124">
        <v>38412</v>
      </c>
      <c r="B204" s="125">
        <v>1</v>
      </c>
      <c r="C204" s="125">
        <v>15</v>
      </c>
      <c r="D204" s="125">
        <v>3584</v>
      </c>
      <c r="E204" s="125">
        <v>0</v>
      </c>
      <c r="F204" s="125" t="s">
        <v>370</v>
      </c>
      <c r="G204" s="125">
        <v>10698</v>
      </c>
      <c r="H204" s="125">
        <v>19093</v>
      </c>
      <c r="I204" s="125">
        <v>2877</v>
      </c>
      <c r="J204" s="125">
        <v>7234</v>
      </c>
      <c r="K204" s="125"/>
      <c r="L204" s="125">
        <v>30883</v>
      </c>
      <c r="M204" s="125">
        <v>2626</v>
      </c>
      <c r="N204" s="125"/>
      <c r="O204" s="125">
        <v>1973</v>
      </c>
      <c r="P204" s="125">
        <v>8823</v>
      </c>
      <c r="Q204" s="125">
        <v>527</v>
      </c>
      <c r="R204" s="125">
        <v>9005</v>
      </c>
      <c r="S204" s="125">
        <v>9855</v>
      </c>
      <c r="T204" s="125"/>
      <c r="U204" s="125"/>
      <c r="V204" s="125">
        <v>453</v>
      </c>
      <c r="W204" s="125">
        <v>7908</v>
      </c>
      <c r="X204" s="125">
        <v>428</v>
      </c>
      <c r="Y204" s="125">
        <v>12</v>
      </c>
      <c r="Z204" s="126"/>
      <c r="AA204" s="125">
        <v>6</v>
      </c>
      <c r="AB204" s="125">
        <v>51</v>
      </c>
      <c r="AC204" s="125">
        <v>13</v>
      </c>
      <c r="AD204" s="125">
        <v>27</v>
      </c>
      <c r="AE204" s="125">
        <v>41</v>
      </c>
      <c r="AF204" s="125">
        <v>52</v>
      </c>
      <c r="AG204" s="125"/>
      <c r="AH204" s="125"/>
      <c r="AI204" s="125">
        <v>7</v>
      </c>
      <c r="AJ204" s="125">
        <v>8204</v>
      </c>
      <c r="AK204" s="125">
        <v>88767</v>
      </c>
      <c r="AL204" s="125">
        <v>3263</v>
      </c>
      <c r="AM204" s="125">
        <v>12615</v>
      </c>
      <c r="AN204" s="125">
        <v>62</v>
      </c>
      <c r="AO204" s="125">
        <v>26</v>
      </c>
      <c r="AP204" s="125">
        <v>2683</v>
      </c>
      <c r="AQ204" s="125">
        <v>0</v>
      </c>
      <c r="AR204" s="125">
        <v>1688</v>
      </c>
      <c r="AS204" s="125" t="s">
        <v>370</v>
      </c>
      <c r="AT204" s="125">
        <v>3428</v>
      </c>
      <c r="AU204" s="125">
        <v>2051</v>
      </c>
      <c r="AV204" s="125">
        <v>3431</v>
      </c>
      <c r="AW204" s="125">
        <v>8728</v>
      </c>
      <c r="AX204" s="126"/>
      <c r="AY204" s="126"/>
      <c r="AZ204" s="126">
        <v>286</v>
      </c>
      <c r="BA204" s="126"/>
      <c r="BB204" s="125">
        <v>474</v>
      </c>
      <c r="BC204" s="125"/>
      <c r="BD204" s="125">
        <v>6</v>
      </c>
      <c r="BE204" s="125">
        <v>0</v>
      </c>
      <c r="BF204" s="125">
        <v>816</v>
      </c>
      <c r="BG204" s="125">
        <v>0</v>
      </c>
      <c r="BH204" s="125">
        <v>0</v>
      </c>
      <c r="BI204" s="125">
        <v>7864</v>
      </c>
      <c r="BJ204" s="125">
        <v>38</v>
      </c>
      <c r="BK204" s="125">
        <v>3474</v>
      </c>
      <c r="BL204" s="125"/>
      <c r="BM204" s="125">
        <v>365</v>
      </c>
      <c r="BN204" s="125">
        <v>48</v>
      </c>
      <c r="BO204" s="125">
        <v>9519</v>
      </c>
      <c r="BP204" s="125">
        <v>48691</v>
      </c>
      <c r="BQ204" s="125">
        <v>1040</v>
      </c>
      <c r="BR204" s="125">
        <v>127</v>
      </c>
      <c r="BS204" s="125">
        <v>5191</v>
      </c>
      <c r="BT204" s="125">
        <v>51</v>
      </c>
      <c r="BU204" s="125"/>
      <c r="BV204" s="125">
        <v>5</v>
      </c>
      <c r="BW204" s="125">
        <v>117</v>
      </c>
      <c r="BX204" s="125"/>
      <c r="BY204" s="125">
        <v>12</v>
      </c>
      <c r="BZ204" s="125">
        <v>0</v>
      </c>
      <c r="CA204" s="125">
        <v>17296</v>
      </c>
      <c r="CB204" s="125">
        <v>14920</v>
      </c>
      <c r="CC204" s="125">
        <v>109870</v>
      </c>
      <c r="CD204" s="125">
        <v>175756</v>
      </c>
      <c r="CE204" s="125">
        <v>19402</v>
      </c>
      <c r="CF204" s="125">
        <v>29653</v>
      </c>
      <c r="CG204" s="125">
        <v>0</v>
      </c>
      <c r="CH204" s="125">
        <v>23</v>
      </c>
      <c r="CI204" s="125">
        <v>8</v>
      </c>
      <c r="CJ204" s="125">
        <v>55</v>
      </c>
      <c r="CK204" s="125"/>
      <c r="CL204" s="125"/>
      <c r="CM204" s="125"/>
      <c r="CN204" s="125"/>
      <c r="CO204" s="125"/>
      <c r="CP204" s="125"/>
      <c r="CQ204" s="125"/>
      <c r="CR204" s="125"/>
      <c r="CS204" s="125"/>
      <c r="CT204" s="125"/>
      <c r="CU204" s="125"/>
      <c r="CV204" s="125"/>
      <c r="CW204" s="125"/>
      <c r="CX204" s="125"/>
      <c r="CY204" s="125" t="s">
        <v>370</v>
      </c>
      <c r="CZ204" s="125" t="s">
        <v>370</v>
      </c>
      <c r="DA204" s="125" t="s">
        <v>370</v>
      </c>
      <c r="DB204" s="125">
        <v>33</v>
      </c>
      <c r="DC204" s="125">
        <v>0</v>
      </c>
      <c r="DD204" s="125">
        <v>50</v>
      </c>
      <c r="DE204">
        <f t="shared" si="57"/>
        <v>696245</v>
      </c>
      <c r="DG204" s="1">
        <f t="shared" si="71"/>
        <v>452650</v>
      </c>
      <c r="DH204" s="1">
        <f t="shared" si="58"/>
        <v>210326</v>
      </c>
      <c r="DI204" s="127">
        <f t="shared" si="59"/>
        <v>662976</v>
      </c>
      <c r="DK204" s="1">
        <f t="shared" si="60"/>
        <v>62274</v>
      </c>
      <c r="DL204" s="1">
        <f t="shared" si="61"/>
        <v>112239</v>
      </c>
      <c r="DM204" s="1">
        <f t="shared" si="62"/>
        <v>9939</v>
      </c>
      <c r="DN204" s="1">
        <f t="shared" si="63"/>
        <v>25025</v>
      </c>
      <c r="DO204" s="1">
        <f t="shared" si="64"/>
        <v>328552</v>
      </c>
      <c r="DP204" s="1">
        <f t="shared" si="65"/>
        <v>54253</v>
      </c>
      <c r="DQ204" s="1">
        <f t="shared" si="72"/>
        <v>0</v>
      </c>
      <c r="DR204" s="1">
        <f t="shared" si="66"/>
        <v>15484</v>
      </c>
      <c r="DS204" s="1">
        <f t="shared" si="67"/>
        <v>10110</v>
      </c>
      <c r="DT204" s="1">
        <f t="shared" si="68"/>
        <v>12465</v>
      </c>
      <c r="DU204" s="1"/>
      <c r="DV204" s="1"/>
      <c r="DW204" s="1"/>
      <c r="DX204" s="1">
        <f t="shared" si="73"/>
        <v>630341</v>
      </c>
      <c r="DZ204" s="1">
        <f t="shared" si="74"/>
        <v>29653</v>
      </c>
      <c r="EA204" s="1">
        <f t="shared" si="69"/>
        <v>39902</v>
      </c>
      <c r="EC204" s="1">
        <f t="shared" si="75"/>
        <v>699896</v>
      </c>
      <c r="ED204" s="1">
        <f t="shared" si="70"/>
        <v>3651</v>
      </c>
      <c r="EE204" s="1"/>
    </row>
    <row r="205" spans="1:135" x14ac:dyDescent="0.25">
      <c r="A205" s="124">
        <v>38443</v>
      </c>
      <c r="B205" s="125">
        <v>1</v>
      </c>
      <c r="C205" s="125">
        <v>6</v>
      </c>
      <c r="D205" s="125">
        <v>2632</v>
      </c>
      <c r="E205" s="125">
        <v>0</v>
      </c>
      <c r="F205" s="125" t="s">
        <v>370</v>
      </c>
      <c r="G205" s="125">
        <v>11051</v>
      </c>
      <c r="H205" s="125">
        <v>19534</v>
      </c>
      <c r="I205" s="125">
        <v>2944</v>
      </c>
      <c r="J205" s="125">
        <v>7324</v>
      </c>
      <c r="K205" s="125"/>
      <c r="L205" s="125">
        <v>30829</v>
      </c>
      <c r="M205" s="125">
        <v>2609</v>
      </c>
      <c r="N205" s="125"/>
      <c r="O205" s="125">
        <v>1995</v>
      </c>
      <c r="P205" s="125">
        <v>8824</v>
      </c>
      <c r="Q205" s="125">
        <v>521</v>
      </c>
      <c r="R205" s="125">
        <v>9055</v>
      </c>
      <c r="S205" s="125">
        <v>9939</v>
      </c>
      <c r="T205" s="125"/>
      <c r="U205" s="125"/>
      <c r="V205" s="125">
        <v>443</v>
      </c>
      <c r="W205" s="125">
        <v>7998</v>
      </c>
      <c r="X205" s="125">
        <v>421</v>
      </c>
      <c r="Y205" s="125">
        <v>13</v>
      </c>
      <c r="Z205" s="126"/>
      <c r="AA205" s="125">
        <v>6</v>
      </c>
      <c r="AB205" s="125">
        <v>49</v>
      </c>
      <c r="AC205" s="125">
        <v>13</v>
      </c>
      <c r="AD205" s="125">
        <v>25</v>
      </c>
      <c r="AE205" s="125">
        <v>40</v>
      </c>
      <c r="AF205" s="125">
        <v>53</v>
      </c>
      <c r="AG205" s="125"/>
      <c r="AH205" s="125"/>
      <c r="AI205" s="125">
        <v>7</v>
      </c>
      <c r="AJ205" s="125">
        <v>8357</v>
      </c>
      <c r="AK205" s="125">
        <v>89265</v>
      </c>
      <c r="AL205" s="125">
        <v>3278</v>
      </c>
      <c r="AM205" s="125">
        <v>12787</v>
      </c>
      <c r="AN205" s="125">
        <v>55</v>
      </c>
      <c r="AO205" s="125">
        <v>27</v>
      </c>
      <c r="AP205" s="125">
        <v>3314</v>
      </c>
      <c r="AQ205" s="125">
        <v>0</v>
      </c>
      <c r="AR205" s="125">
        <v>1786</v>
      </c>
      <c r="AS205" s="125" t="s">
        <v>370</v>
      </c>
      <c r="AT205" s="125">
        <v>3472</v>
      </c>
      <c r="AU205" s="125">
        <v>2087</v>
      </c>
      <c r="AV205" s="125">
        <v>3453</v>
      </c>
      <c r="AW205" s="125">
        <v>8844</v>
      </c>
      <c r="AX205" s="126"/>
      <c r="AY205" s="126"/>
      <c r="AZ205" s="126">
        <v>284</v>
      </c>
      <c r="BA205" s="126"/>
      <c r="BB205" s="125">
        <v>477</v>
      </c>
      <c r="BC205" s="125"/>
      <c r="BD205" s="125">
        <v>5</v>
      </c>
      <c r="BE205" s="125">
        <v>0</v>
      </c>
      <c r="BF205" s="125">
        <v>834</v>
      </c>
      <c r="BG205" s="125">
        <v>0</v>
      </c>
      <c r="BH205" s="125">
        <v>0</v>
      </c>
      <c r="BI205" s="125">
        <v>7945</v>
      </c>
      <c r="BJ205" s="125">
        <v>35</v>
      </c>
      <c r="BK205" s="125">
        <v>3574</v>
      </c>
      <c r="BL205" s="125"/>
      <c r="BM205" s="125">
        <v>330</v>
      </c>
      <c r="BN205" s="125">
        <v>46</v>
      </c>
      <c r="BO205" s="125">
        <v>10110</v>
      </c>
      <c r="BP205" s="125">
        <v>49963</v>
      </c>
      <c r="BQ205" s="125">
        <v>954</v>
      </c>
      <c r="BR205" s="125">
        <v>132</v>
      </c>
      <c r="BS205" s="125">
        <v>5434</v>
      </c>
      <c r="BT205" s="125">
        <v>46</v>
      </c>
      <c r="BU205" s="125"/>
      <c r="BV205" s="125">
        <v>7</v>
      </c>
      <c r="BW205" s="125">
        <v>112</v>
      </c>
      <c r="BX205" s="125"/>
      <c r="BY205" s="125">
        <v>5</v>
      </c>
      <c r="BZ205" s="125">
        <v>0</v>
      </c>
      <c r="CA205" s="125">
        <v>17679</v>
      </c>
      <c r="CB205" s="125">
        <v>15456</v>
      </c>
      <c r="CC205" s="125">
        <v>111575</v>
      </c>
      <c r="CD205" s="125">
        <v>177994</v>
      </c>
      <c r="CE205" s="125">
        <v>20019</v>
      </c>
      <c r="CF205" s="125">
        <v>30307</v>
      </c>
      <c r="CG205" s="125">
        <v>0</v>
      </c>
      <c r="CH205" s="125">
        <v>28</v>
      </c>
      <c r="CI205" s="125">
        <v>7</v>
      </c>
      <c r="CJ205" s="125">
        <v>53</v>
      </c>
      <c r="CK205" s="125"/>
      <c r="CL205" s="125"/>
      <c r="CM205" s="125"/>
      <c r="CN205" s="125"/>
      <c r="CO205" s="125"/>
      <c r="CP205" s="125"/>
      <c r="CQ205" s="125"/>
      <c r="CR205" s="125"/>
      <c r="CS205" s="125"/>
      <c r="CT205" s="125"/>
      <c r="CU205" s="125"/>
      <c r="CV205" s="125"/>
      <c r="CW205" s="125"/>
      <c r="CX205" s="125"/>
      <c r="CY205" s="125" t="s">
        <v>370</v>
      </c>
      <c r="CZ205" s="125" t="s">
        <v>370</v>
      </c>
      <c r="DA205" s="125" t="s">
        <v>370</v>
      </c>
      <c r="DB205" s="125">
        <v>33</v>
      </c>
      <c r="DC205" s="125">
        <v>0</v>
      </c>
      <c r="DD205" s="125">
        <v>48</v>
      </c>
      <c r="DE205">
        <f t="shared" si="57"/>
        <v>706468</v>
      </c>
      <c r="DG205" s="1">
        <f t="shared" si="71"/>
        <v>455104</v>
      </c>
      <c r="DH205" s="1">
        <f t="shared" si="58"/>
        <v>210925</v>
      </c>
      <c r="DI205" s="127">
        <f t="shared" si="59"/>
        <v>666029</v>
      </c>
      <c r="DK205" s="1">
        <f t="shared" si="60"/>
        <v>62249</v>
      </c>
      <c r="DL205" s="1">
        <f t="shared" si="61"/>
        <v>113088</v>
      </c>
      <c r="DM205" s="1">
        <f t="shared" si="62"/>
        <v>9892</v>
      </c>
      <c r="DN205" s="1">
        <f t="shared" si="63"/>
        <v>25299</v>
      </c>
      <c r="DO205" s="1">
        <f t="shared" si="64"/>
        <v>329932</v>
      </c>
      <c r="DP205" s="1">
        <f t="shared" si="65"/>
        <v>55732</v>
      </c>
      <c r="DQ205" s="1">
        <f t="shared" si="72"/>
        <v>0</v>
      </c>
      <c r="DR205" s="1">
        <f t="shared" si="66"/>
        <v>15548</v>
      </c>
      <c r="DS205" s="1">
        <f t="shared" si="67"/>
        <v>10385</v>
      </c>
      <c r="DT205" s="1">
        <f t="shared" si="68"/>
        <v>12474</v>
      </c>
      <c r="DU205" s="1"/>
      <c r="DV205" s="1"/>
      <c r="DW205" s="1"/>
      <c r="DX205" s="1">
        <f t="shared" si="73"/>
        <v>634599</v>
      </c>
      <c r="DZ205" s="1">
        <f t="shared" si="74"/>
        <v>30307</v>
      </c>
      <c r="EA205" s="1">
        <f t="shared" si="69"/>
        <v>40853</v>
      </c>
      <c r="EC205" s="1">
        <f t="shared" si="75"/>
        <v>705759</v>
      </c>
      <c r="ED205" s="1">
        <f t="shared" si="70"/>
        <v>-709</v>
      </c>
      <c r="EE205" s="1"/>
    </row>
    <row r="206" spans="1:135" x14ac:dyDescent="0.25">
      <c r="A206" s="124">
        <v>38473</v>
      </c>
      <c r="B206" s="125">
        <v>1</v>
      </c>
      <c r="C206" s="125">
        <v>1</v>
      </c>
      <c r="D206" s="125">
        <v>2261</v>
      </c>
      <c r="E206" s="125">
        <v>0</v>
      </c>
      <c r="F206" s="125" t="s">
        <v>370</v>
      </c>
      <c r="G206" s="125">
        <v>11158</v>
      </c>
      <c r="H206" s="125">
        <v>19677</v>
      </c>
      <c r="I206" s="125">
        <v>2974</v>
      </c>
      <c r="J206" s="125">
        <v>7331</v>
      </c>
      <c r="K206" s="125"/>
      <c r="L206" s="125">
        <v>30778</v>
      </c>
      <c r="M206" s="125">
        <v>2575</v>
      </c>
      <c r="N206" s="125"/>
      <c r="O206" s="125">
        <v>1958</v>
      </c>
      <c r="P206" s="125">
        <v>8847</v>
      </c>
      <c r="Q206" s="125">
        <v>518</v>
      </c>
      <c r="R206" s="125">
        <v>9071</v>
      </c>
      <c r="S206" s="125">
        <v>9892</v>
      </c>
      <c r="T206" s="125"/>
      <c r="U206" s="125"/>
      <c r="V206" s="125">
        <v>441</v>
      </c>
      <c r="W206" s="125">
        <v>8061</v>
      </c>
      <c r="X206" s="125">
        <v>422</v>
      </c>
      <c r="Y206" s="125">
        <v>12</v>
      </c>
      <c r="Z206" s="126"/>
      <c r="AA206" s="125">
        <v>7</v>
      </c>
      <c r="AB206" s="125">
        <v>48</v>
      </c>
      <c r="AC206" s="125">
        <v>14</v>
      </c>
      <c r="AD206" s="125">
        <v>25</v>
      </c>
      <c r="AE206" s="125">
        <v>40</v>
      </c>
      <c r="AF206" s="125">
        <v>54</v>
      </c>
      <c r="AG206" s="125"/>
      <c r="AH206" s="125"/>
      <c r="AI206" s="125">
        <v>6</v>
      </c>
      <c r="AJ206" s="125">
        <v>8479</v>
      </c>
      <c r="AK206" s="125">
        <v>89523</v>
      </c>
      <c r="AL206" s="125">
        <v>3256</v>
      </c>
      <c r="AM206" s="125">
        <v>12790</v>
      </c>
      <c r="AN206" s="125">
        <v>50</v>
      </c>
      <c r="AO206" s="125">
        <v>24</v>
      </c>
      <c r="AP206" s="125">
        <v>3591</v>
      </c>
      <c r="AQ206" s="125">
        <v>0</v>
      </c>
      <c r="AR206" s="125">
        <v>1802</v>
      </c>
      <c r="AS206" s="125" t="s">
        <v>370</v>
      </c>
      <c r="AT206" s="125">
        <v>3474</v>
      </c>
      <c r="AU206" s="125">
        <v>2095</v>
      </c>
      <c r="AV206" s="125">
        <v>3452</v>
      </c>
      <c r="AW206" s="125">
        <v>8840</v>
      </c>
      <c r="AX206" s="126"/>
      <c r="AY206" s="126"/>
      <c r="AZ206" s="126">
        <v>283</v>
      </c>
      <c r="BA206" s="126"/>
      <c r="BB206" s="125">
        <v>497</v>
      </c>
      <c r="BC206" s="125"/>
      <c r="BD206" s="125">
        <v>1</v>
      </c>
      <c r="BE206" s="125">
        <v>0</v>
      </c>
      <c r="BF206" s="125">
        <v>855</v>
      </c>
      <c r="BG206" s="125">
        <v>0</v>
      </c>
      <c r="BH206" s="125">
        <v>0</v>
      </c>
      <c r="BI206" s="125">
        <v>7948</v>
      </c>
      <c r="BJ206" s="125">
        <v>35</v>
      </c>
      <c r="BK206" s="125">
        <v>3560</v>
      </c>
      <c r="BL206" s="125"/>
      <c r="BM206" s="125">
        <v>268</v>
      </c>
      <c r="BN206" s="125">
        <v>46</v>
      </c>
      <c r="BO206" s="125">
        <v>10385</v>
      </c>
      <c r="BP206" s="125">
        <v>50255</v>
      </c>
      <c r="BQ206" s="125">
        <v>847</v>
      </c>
      <c r="BR206" s="125">
        <v>134</v>
      </c>
      <c r="BS206" s="125">
        <v>5409</v>
      </c>
      <c r="BT206" s="125">
        <v>44</v>
      </c>
      <c r="BU206" s="125"/>
      <c r="BV206" s="125">
        <v>8</v>
      </c>
      <c r="BW206" s="125">
        <v>111</v>
      </c>
      <c r="BX206" s="125"/>
      <c r="BY206" s="125">
        <v>5</v>
      </c>
      <c r="BZ206" s="125">
        <v>0</v>
      </c>
      <c r="CA206" s="125">
        <v>18044</v>
      </c>
      <c r="CB206" s="125">
        <v>15523</v>
      </c>
      <c r="CC206" s="125">
        <v>111657</v>
      </c>
      <c r="CD206" s="125">
        <v>178541</v>
      </c>
      <c r="CE206" s="125">
        <v>20512</v>
      </c>
      <c r="CF206" s="125">
        <v>30832</v>
      </c>
      <c r="CG206" s="125">
        <v>0</v>
      </c>
      <c r="CH206" s="125">
        <v>25</v>
      </c>
      <c r="CI206" s="125">
        <v>5</v>
      </c>
      <c r="CJ206" s="125">
        <v>54</v>
      </c>
      <c r="CK206" s="125"/>
      <c r="CL206" s="125"/>
      <c r="CM206" s="125"/>
      <c r="CN206" s="125"/>
      <c r="CO206" s="125"/>
      <c r="CP206" s="125"/>
      <c r="CQ206" s="125"/>
      <c r="CR206" s="125"/>
      <c r="CS206" s="125"/>
      <c r="CT206" s="125"/>
      <c r="CU206" s="125"/>
      <c r="CV206" s="125"/>
      <c r="CW206" s="125"/>
      <c r="CX206" s="125"/>
      <c r="CY206" s="125" t="s">
        <v>370</v>
      </c>
      <c r="CZ206" s="125" t="s">
        <v>370</v>
      </c>
      <c r="DA206" s="125" t="s">
        <v>370</v>
      </c>
      <c r="DB206" s="125">
        <v>33</v>
      </c>
      <c r="DC206" s="125">
        <v>0</v>
      </c>
      <c r="DD206" s="125">
        <v>46</v>
      </c>
      <c r="DE206">
        <f t="shared" si="57"/>
        <v>709432</v>
      </c>
      <c r="DG206" s="1">
        <f t="shared" si="71"/>
        <v>458260</v>
      </c>
      <c r="DH206" s="1">
        <f t="shared" si="58"/>
        <v>211808</v>
      </c>
      <c r="DI206" s="127">
        <f t="shared" si="59"/>
        <v>670068</v>
      </c>
      <c r="DK206" s="1">
        <f t="shared" si="60"/>
        <v>62324</v>
      </c>
      <c r="DL206" s="1">
        <f t="shared" si="61"/>
        <v>113485</v>
      </c>
      <c r="DM206" s="1">
        <f t="shared" si="62"/>
        <v>9840</v>
      </c>
      <c r="DN206" s="1">
        <f t="shared" si="63"/>
        <v>25631</v>
      </c>
      <c r="DO206" s="1">
        <f t="shared" si="64"/>
        <v>331967</v>
      </c>
      <c r="DP206" s="1">
        <f t="shared" si="65"/>
        <v>55933</v>
      </c>
      <c r="DQ206" s="1">
        <f t="shared" si="72"/>
        <v>0</v>
      </c>
      <c r="DR206" s="1">
        <f t="shared" si="66"/>
        <v>15811</v>
      </c>
      <c r="DS206" s="1">
        <f t="shared" si="67"/>
        <v>10542</v>
      </c>
      <c r="DT206" s="1">
        <f t="shared" si="68"/>
        <v>12513</v>
      </c>
      <c r="DU206" s="1"/>
      <c r="DV206" s="1"/>
      <c r="DW206" s="1"/>
      <c r="DX206" s="1">
        <f t="shared" si="73"/>
        <v>638046</v>
      </c>
      <c r="DZ206" s="1">
        <f t="shared" si="74"/>
        <v>30832</v>
      </c>
      <c r="EA206" s="1">
        <f t="shared" si="69"/>
        <v>41140</v>
      </c>
      <c r="EC206" s="1">
        <f t="shared" si="75"/>
        <v>710018</v>
      </c>
      <c r="ED206" s="1">
        <f t="shared" si="70"/>
        <v>586</v>
      </c>
      <c r="EE206" s="1"/>
    </row>
    <row r="207" spans="1:135" x14ac:dyDescent="0.25">
      <c r="A207" s="128">
        <v>38504</v>
      </c>
      <c r="B207" s="129">
        <v>0</v>
      </c>
      <c r="C207" s="129">
        <v>3</v>
      </c>
      <c r="D207" s="129">
        <v>2443</v>
      </c>
      <c r="E207" s="129">
        <v>0</v>
      </c>
      <c r="F207" s="129" t="s">
        <v>370</v>
      </c>
      <c r="G207" s="129">
        <v>11072</v>
      </c>
      <c r="H207" s="129">
        <v>19831</v>
      </c>
      <c r="I207" s="129">
        <v>2973</v>
      </c>
      <c r="J207" s="129">
        <v>7269</v>
      </c>
      <c r="K207" s="129"/>
      <c r="L207" s="129">
        <v>30706</v>
      </c>
      <c r="M207" s="129">
        <v>2577</v>
      </c>
      <c r="N207" s="129"/>
      <c r="O207" s="129">
        <v>1938</v>
      </c>
      <c r="P207" s="129">
        <v>8899</v>
      </c>
      <c r="Q207" s="129">
        <v>513</v>
      </c>
      <c r="R207" s="129">
        <v>9106</v>
      </c>
      <c r="S207" s="129">
        <v>9840</v>
      </c>
      <c r="T207" s="129"/>
      <c r="U207" s="129"/>
      <c r="V207" s="129">
        <v>473</v>
      </c>
      <c r="W207" s="129">
        <v>8112</v>
      </c>
      <c r="X207" s="129">
        <v>418</v>
      </c>
      <c r="Y207" s="129">
        <v>13</v>
      </c>
      <c r="Z207" s="130"/>
      <c r="AA207" s="129">
        <v>5</v>
      </c>
      <c r="AB207" s="129">
        <v>49</v>
      </c>
      <c r="AC207" s="129">
        <v>14</v>
      </c>
      <c r="AD207" s="129">
        <v>27</v>
      </c>
      <c r="AE207" s="129">
        <v>39</v>
      </c>
      <c r="AF207" s="129">
        <v>53</v>
      </c>
      <c r="AG207" s="129"/>
      <c r="AH207" s="129"/>
      <c r="AI207" s="129">
        <v>8</v>
      </c>
      <c r="AJ207" s="129">
        <v>8611</v>
      </c>
      <c r="AK207" s="129">
        <v>89813</v>
      </c>
      <c r="AL207" s="129">
        <v>3268</v>
      </c>
      <c r="AM207" s="129">
        <v>12861</v>
      </c>
      <c r="AN207" s="129">
        <v>50</v>
      </c>
      <c r="AO207" s="129">
        <v>21</v>
      </c>
      <c r="AP207" s="129">
        <v>3823</v>
      </c>
      <c r="AQ207" s="129">
        <v>0</v>
      </c>
      <c r="AR207" s="129">
        <v>1860</v>
      </c>
      <c r="AS207" s="129" t="s">
        <v>370</v>
      </c>
      <c r="AT207" s="129">
        <v>3503</v>
      </c>
      <c r="AU207" s="129">
        <v>2097</v>
      </c>
      <c r="AV207" s="129">
        <v>3465</v>
      </c>
      <c r="AW207" s="129">
        <v>8873</v>
      </c>
      <c r="AX207" s="130"/>
      <c r="AY207" s="130"/>
      <c r="AZ207" s="130">
        <v>282</v>
      </c>
      <c r="BA207" s="130"/>
      <c r="BB207" s="129">
        <v>491</v>
      </c>
      <c r="BC207" s="129"/>
      <c r="BD207" s="129">
        <v>0</v>
      </c>
      <c r="BE207" s="129">
        <v>0</v>
      </c>
      <c r="BF207" s="129">
        <v>867</v>
      </c>
      <c r="BG207" s="129">
        <v>0</v>
      </c>
      <c r="BH207" s="129">
        <v>0</v>
      </c>
      <c r="BI207" s="129">
        <v>7947</v>
      </c>
      <c r="BJ207" s="129">
        <v>35</v>
      </c>
      <c r="BK207" s="129">
        <v>3589</v>
      </c>
      <c r="BL207" s="129"/>
      <c r="BM207" s="129">
        <v>266</v>
      </c>
      <c r="BN207" s="129">
        <v>45</v>
      </c>
      <c r="BO207" s="129">
        <v>10542</v>
      </c>
      <c r="BP207" s="129">
        <v>50517</v>
      </c>
      <c r="BQ207" s="129">
        <v>787</v>
      </c>
      <c r="BR207" s="129">
        <v>138</v>
      </c>
      <c r="BS207" s="129">
        <v>5388</v>
      </c>
      <c r="BT207" s="129">
        <v>45</v>
      </c>
      <c r="BU207" s="129"/>
      <c r="BV207" s="129">
        <v>8</v>
      </c>
      <c r="BW207" s="129">
        <v>110</v>
      </c>
      <c r="BX207" s="129"/>
      <c r="BY207" s="129">
        <v>8</v>
      </c>
      <c r="BZ207" s="129">
        <v>0</v>
      </c>
      <c r="CA207" s="129">
        <v>18172</v>
      </c>
      <c r="CB207" s="129">
        <v>15783</v>
      </c>
      <c r="CC207" s="129">
        <v>112065</v>
      </c>
      <c r="CD207" s="129">
        <v>179610</v>
      </c>
      <c r="CE207" s="129">
        <v>20995</v>
      </c>
      <c r="CF207" s="129">
        <v>31256</v>
      </c>
      <c r="CG207" s="129">
        <v>0</v>
      </c>
      <c r="CH207" s="129">
        <v>28</v>
      </c>
      <c r="CI207" s="129">
        <v>5</v>
      </c>
      <c r="CJ207" s="129">
        <v>54</v>
      </c>
      <c r="CK207" s="129"/>
      <c r="CL207" s="129"/>
      <c r="CM207" s="129"/>
      <c r="CN207" s="129"/>
      <c r="CO207" s="129"/>
      <c r="CP207" s="129"/>
      <c r="CQ207" s="129"/>
      <c r="CR207" s="129"/>
      <c r="CS207" s="129"/>
      <c r="CT207" s="129"/>
      <c r="CU207" s="129"/>
      <c r="CV207" s="129"/>
      <c r="CW207" s="129"/>
      <c r="CX207" s="129"/>
      <c r="CY207" s="129" t="s">
        <v>370</v>
      </c>
      <c r="CZ207" s="129" t="s">
        <v>370</v>
      </c>
      <c r="DA207" s="129" t="s">
        <v>370</v>
      </c>
      <c r="DB207" s="129">
        <v>32</v>
      </c>
      <c r="DC207" s="129">
        <v>0</v>
      </c>
      <c r="DD207" s="129">
        <v>44</v>
      </c>
      <c r="DE207">
        <f t="shared" si="57"/>
        <v>713659</v>
      </c>
      <c r="DG207" s="1">
        <f t="shared" si="71"/>
        <v>460972</v>
      </c>
      <c r="DH207" s="1">
        <f t="shared" si="58"/>
        <v>212844</v>
      </c>
      <c r="DI207" s="127">
        <f t="shared" si="59"/>
        <v>673816</v>
      </c>
      <c r="DJ207" s="131"/>
      <c r="DK207" s="1">
        <f t="shared" si="60"/>
        <v>62466</v>
      </c>
      <c r="DL207" s="1">
        <f t="shared" si="61"/>
        <v>114013</v>
      </c>
      <c r="DM207" s="1">
        <f t="shared" si="62"/>
        <v>9847</v>
      </c>
      <c r="DN207" s="1">
        <f t="shared" si="63"/>
        <v>25951</v>
      </c>
      <c r="DO207" s="1">
        <f t="shared" si="64"/>
        <v>332968</v>
      </c>
      <c r="DP207" s="1">
        <f t="shared" si="65"/>
        <v>56171</v>
      </c>
      <c r="DQ207" s="1">
        <f t="shared" si="72"/>
        <v>0</v>
      </c>
      <c r="DR207" s="1">
        <f t="shared" si="66"/>
        <v>16132</v>
      </c>
      <c r="DS207" s="1">
        <f t="shared" si="67"/>
        <v>10927</v>
      </c>
      <c r="DT207" s="1">
        <f t="shared" si="68"/>
        <v>12616</v>
      </c>
      <c r="DU207" s="1"/>
      <c r="DV207" s="1"/>
      <c r="DW207" s="1"/>
      <c r="DX207" s="1">
        <f t="shared" si="73"/>
        <v>641091</v>
      </c>
      <c r="DY207" s="131"/>
      <c r="DZ207" s="1">
        <f t="shared" si="74"/>
        <v>31256</v>
      </c>
      <c r="EA207" s="1">
        <f t="shared" si="69"/>
        <v>41145</v>
      </c>
      <c r="EC207" s="1">
        <f t="shared" si="75"/>
        <v>713492</v>
      </c>
      <c r="ED207" s="1">
        <f t="shared" si="70"/>
        <v>-167</v>
      </c>
      <c r="EE207" s="1"/>
    </row>
    <row r="208" spans="1:135" x14ac:dyDescent="0.25">
      <c r="A208" s="132">
        <v>38534</v>
      </c>
      <c r="B208" s="133">
        <v>1</v>
      </c>
      <c r="C208" s="133">
        <v>6</v>
      </c>
      <c r="D208" s="133">
        <v>3354</v>
      </c>
      <c r="E208" s="133">
        <v>0</v>
      </c>
      <c r="F208" s="133" t="s">
        <v>370</v>
      </c>
      <c r="G208" s="133">
        <v>11093</v>
      </c>
      <c r="H208" s="133">
        <v>20124</v>
      </c>
      <c r="I208" s="133">
        <v>2938</v>
      </c>
      <c r="J208" s="133">
        <v>7289</v>
      </c>
      <c r="K208" s="133"/>
      <c r="L208" s="133">
        <v>30706</v>
      </c>
      <c r="M208" s="133">
        <v>2550</v>
      </c>
      <c r="N208" s="133"/>
      <c r="O208" s="133">
        <v>1900</v>
      </c>
      <c r="P208" s="133">
        <v>8941</v>
      </c>
      <c r="Q208" s="133">
        <v>518</v>
      </c>
      <c r="R208" s="133">
        <v>9219</v>
      </c>
      <c r="S208" s="133">
        <v>9847</v>
      </c>
      <c r="T208" s="133"/>
      <c r="U208" s="133"/>
      <c r="V208" s="133">
        <v>520</v>
      </c>
      <c r="W208" s="133">
        <v>8112</v>
      </c>
      <c r="X208" s="133">
        <v>414</v>
      </c>
      <c r="Y208" s="133">
        <v>13</v>
      </c>
      <c r="Z208" s="134"/>
      <c r="AA208" s="133">
        <v>6</v>
      </c>
      <c r="AB208" s="133">
        <v>50</v>
      </c>
      <c r="AC208" s="133">
        <v>13</v>
      </c>
      <c r="AD208" s="133">
        <v>27</v>
      </c>
      <c r="AE208" s="133">
        <v>41</v>
      </c>
      <c r="AF208" s="133">
        <v>52</v>
      </c>
      <c r="AG208" s="133"/>
      <c r="AH208" s="133"/>
      <c r="AI208" s="133">
        <v>7</v>
      </c>
      <c r="AJ208" s="133">
        <v>8700</v>
      </c>
      <c r="AK208" s="133">
        <v>90175</v>
      </c>
      <c r="AL208" s="133">
        <v>3252</v>
      </c>
      <c r="AM208" s="133">
        <v>12904</v>
      </c>
      <c r="AN208" s="133">
        <v>47</v>
      </c>
      <c r="AO208" s="133">
        <v>14</v>
      </c>
      <c r="AP208" s="133">
        <v>4036</v>
      </c>
      <c r="AQ208" s="133">
        <v>0</v>
      </c>
      <c r="AR208" s="133">
        <v>1900</v>
      </c>
      <c r="AS208" s="133" t="s">
        <v>370</v>
      </c>
      <c r="AT208" s="133">
        <v>3559</v>
      </c>
      <c r="AU208" s="133">
        <v>2099</v>
      </c>
      <c r="AV208" s="133">
        <v>3500</v>
      </c>
      <c r="AW208" s="133">
        <v>8945</v>
      </c>
      <c r="AX208" s="134"/>
      <c r="AY208" s="134"/>
      <c r="AZ208" s="134">
        <v>289</v>
      </c>
      <c r="BA208" s="134"/>
      <c r="BB208" s="133">
        <v>488</v>
      </c>
      <c r="BC208" s="133"/>
      <c r="BD208" s="133">
        <v>0</v>
      </c>
      <c r="BE208" s="133">
        <v>0</v>
      </c>
      <c r="BF208" s="133">
        <v>885</v>
      </c>
      <c r="BG208" s="133">
        <v>0</v>
      </c>
      <c r="BH208" s="133">
        <v>0</v>
      </c>
      <c r="BI208" s="133">
        <v>8002</v>
      </c>
      <c r="BJ208" s="133">
        <v>36</v>
      </c>
      <c r="BK208" s="133">
        <v>3613</v>
      </c>
      <c r="BL208" s="133"/>
      <c r="BM208" s="133">
        <v>269</v>
      </c>
      <c r="BN208" s="133">
        <v>45</v>
      </c>
      <c r="BO208" s="133">
        <v>10927</v>
      </c>
      <c r="BP208" s="133">
        <v>50955</v>
      </c>
      <c r="BQ208" s="133">
        <v>751</v>
      </c>
      <c r="BR208" s="133">
        <v>148</v>
      </c>
      <c r="BS208" s="133">
        <v>5381</v>
      </c>
      <c r="BT208" s="133">
        <v>46</v>
      </c>
      <c r="BU208" s="133"/>
      <c r="BV208" s="133">
        <v>9</v>
      </c>
      <c r="BW208" s="133">
        <v>116</v>
      </c>
      <c r="BX208" s="133"/>
      <c r="BY208" s="133">
        <v>7</v>
      </c>
      <c r="BZ208" s="133">
        <v>0</v>
      </c>
      <c r="CA208" s="133">
        <v>18426</v>
      </c>
      <c r="CB208" s="133">
        <v>16105</v>
      </c>
      <c r="CC208" s="133">
        <v>112133</v>
      </c>
      <c r="CD208" s="133">
        <v>179980</v>
      </c>
      <c r="CE208" s="133">
        <v>21327</v>
      </c>
      <c r="CF208" s="133">
        <v>31724</v>
      </c>
      <c r="CG208" s="133">
        <v>0</v>
      </c>
      <c r="CH208" s="133">
        <v>27</v>
      </c>
      <c r="CI208" s="133">
        <v>4</v>
      </c>
      <c r="CJ208" s="133">
        <v>56</v>
      </c>
      <c r="CK208" s="133"/>
      <c r="CL208" s="133"/>
      <c r="CM208" s="133"/>
      <c r="CN208" s="133"/>
      <c r="CO208" s="133"/>
      <c r="CP208" s="133"/>
      <c r="CQ208" s="133"/>
      <c r="CR208" s="133"/>
      <c r="CS208" s="133"/>
      <c r="CT208" s="133"/>
      <c r="CU208" s="133"/>
      <c r="CV208" s="133"/>
      <c r="CW208" s="133"/>
      <c r="CX208" s="133"/>
      <c r="CY208" s="133" t="s">
        <v>370</v>
      </c>
      <c r="CZ208" s="133" t="s">
        <v>370</v>
      </c>
      <c r="DA208" s="133" t="s">
        <v>370</v>
      </c>
      <c r="DB208" s="133">
        <v>32</v>
      </c>
      <c r="DC208" s="133">
        <v>0</v>
      </c>
      <c r="DD208" s="133">
        <v>50</v>
      </c>
      <c r="DE208">
        <f t="shared" si="57"/>
        <v>718621</v>
      </c>
      <c r="DG208" s="1">
        <f t="shared" si="71"/>
        <v>461635</v>
      </c>
      <c r="DH208" s="1">
        <f t="shared" si="58"/>
        <v>213765</v>
      </c>
      <c r="DI208" s="127">
        <f t="shared" si="59"/>
        <v>675400</v>
      </c>
      <c r="DK208" s="1">
        <f t="shared" si="60"/>
        <v>62550</v>
      </c>
      <c r="DL208" s="1">
        <f t="shared" si="61"/>
        <v>114580</v>
      </c>
      <c r="DM208" s="1">
        <f t="shared" si="62"/>
        <v>9860</v>
      </c>
      <c r="DN208" s="1">
        <f t="shared" si="63"/>
        <v>26226</v>
      </c>
      <c r="DO208" s="1">
        <f t="shared" si="64"/>
        <v>332785</v>
      </c>
      <c r="DP208" s="1">
        <f t="shared" si="65"/>
        <v>56605</v>
      </c>
      <c r="DQ208" s="1">
        <f t="shared" si="72"/>
        <v>0</v>
      </c>
      <c r="DR208" s="1">
        <f t="shared" si="66"/>
        <v>16454</v>
      </c>
      <c r="DS208" s="1">
        <f t="shared" si="67"/>
        <v>11130</v>
      </c>
      <c r="DT208" s="1">
        <f t="shared" si="68"/>
        <v>12569</v>
      </c>
      <c r="DU208" s="1"/>
      <c r="DV208" s="1"/>
      <c r="DW208" s="1"/>
      <c r="DX208" s="1">
        <f t="shared" si="73"/>
        <v>642759</v>
      </c>
      <c r="DZ208" s="1">
        <f t="shared" si="74"/>
        <v>31724</v>
      </c>
      <c r="EA208" s="1">
        <f t="shared" si="69"/>
        <v>41444</v>
      </c>
      <c r="EC208" s="1">
        <f t="shared" si="75"/>
        <v>715927</v>
      </c>
      <c r="ED208" s="1">
        <f t="shared" si="70"/>
        <v>-2694</v>
      </c>
      <c r="EE208" s="1"/>
    </row>
    <row r="209" spans="1:135" x14ac:dyDescent="0.25">
      <c r="A209" s="124">
        <v>38565</v>
      </c>
      <c r="B209" s="125">
        <v>1</v>
      </c>
      <c r="C209" s="125">
        <v>9</v>
      </c>
      <c r="D209" s="125">
        <v>4201</v>
      </c>
      <c r="E209" s="125">
        <v>0</v>
      </c>
      <c r="F209" s="125" t="s">
        <v>370</v>
      </c>
      <c r="G209" s="125">
        <v>11158</v>
      </c>
      <c r="H209" s="125">
        <v>20297</v>
      </c>
      <c r="I209" s="125">
        <v>2926</v>
      </c>
      <c r="J209" s="125">
        <v>7262</v>
      </c>
      <c r="K209" s="125"/>
      <c r="L209" s="125">
        <v>30690</v>
      </c>
      <c r="M209" s="125">
        <v>2559</v>
      </c>
      <c r="N209" s="125"/>
      <c r="O209" s="125">
        <v>1798</v>
      </c>
      <c r="P209" s="125">
        <v>8980</v>
      </c>
      <c r="Q209" s="125">
        <v>518</v>
      </c>
      <c r="R209" s="125">
        <v>9270</v>
      </c>
      <c r="S209" s="125">
        <v>9860</v>
      </c>
      <c r="T209" s="125"/>
      <c r="U209" s="125"/>
      <c r="V209" s="125">
        <v>605</v>
      </c>
      <c r="W209" s="125">
        <v>8130</v>
      </c>
      <c r="X209" s="125">
        <v>410</v>
      </c>
      <c r="Y209" s="125">
        <v>13</v>
      </c>
      <c r="Z209" s="126"/>
      <c r="AA209" s="125">
        <v>5</v>
      </c>
      <c r="AB209" s="125">
        <v>47</v>
      </c>
      <c r="AC209" s="125">
        <v>13</v>
      </c>
      <c r="AD209" s="125">
        <v>26</v>
      </c>
      <c r="AE209" s="125">
        <v>39</v>
      </c>
      <c r="AF209" s="125">
        <v>50</v>
      </c>
      <c r="AG209" s="125"/>
      <c r="AH209" s="125"/>
      <c r="AI209" s="125">
        <v>8</v>
      </c>
      <c r="AJ209" s="125">
        <v>8794</v>
      </c>
      <c r="AK209" s="125">
        <v>90569</v>
      </c>
      <c r="AL209" s="125">
        <v>3254</v>
      </c>
      <c r="AM209" s="125">
        <v>12979</v>
      </c>
      <c r="AN209" s="125">
        <v>46</v>
      </c>
      <c r="AO209" s="125">
        <v>9</v>
      </c>
      <c r="AP209" s="125">
        <v>4212</v>
      </c>
      <c r="AQ209" s="125">
        <v>0</v>
      </c>
      <c r="AR209" s="125">
        <v>1893</v>
      </c>
      <c r="AS209" s="125" t="s">
        <v>370</v>
      </c>
      <c r="AT209" s="125">
        <v>3586</v>
      </c>
      <c r="AU209" s="125">
        <v>2109</v>
      </c>
      <c r="AV209" s="125">
        <v>3533</v>
      </c>
      <c r="AW209" s="125">
        <v>8976</v>
      </c>
      <c r="AX209" s="126"/>
      <c r="AY209" s="126"/>
      <c r="AZ209" s="126">
        <v>293</v>
      </c>
      <c r="BA209" s="126"/>
      <c r="BB209" s="125">
        <v>491</v>
      </c>
      <c r="BC209" s="125"/>
      <c r="BD209" s="125">
        <v>0</v>
      </c>
      <c r="BE209" s="125">
        <v>0</v>
      </c>
      <c r="BF209" s="125">
        <v>894</v>
      </c>
      <c r="BG209" s="125">
        <v>0</v>
      </c>
      <c r="BH209" s="125">
        <v>0</v>
      </c>
      <c r="BI209" s="125">
        <v>7913</v>
      </c>
      <c r="BJ209" s="125">
        <v>35</v>
      </c>
      <c r="BK209" s="125">
        <v>3647</v>
      </c>
      <c r="BL209" s="125"/>
      <c r="BM209" s="125">
        <v>263</v>
      </c>
      <c r="BN209" s="125">
        <v>43</v>
      </c>
      <c r="BO209" s="125">
        <v>11130</v>
      </c>
      <c r="BP209" s="125">
        <v>51333</v>
      </c>
      <c r="BQ209" s="125">
        <v>714</v>
      </c>
      <c r="BR209" s="125">
        <v>151</v>
      </c>
      <c r="BS209" s="125">
        <v>5322</v>
      </c>
      <c r="BT209" s="125">
        <v>44</v>
      </c>
      <c r="BU209" s="125"/>
      <c r="BV209" s="125">
        <v>8</v>
      </c>
      <c r="BW209" s="125">
        <v>115</v>
      </c>
      <c r="BX209" s="125"/>
      <c r="BY209" s="125">
        <v>7</v>
      </c>
      <c r="BZ209" s="125">
        <v>0</v>
      </c>
      <c r="CA209" s="125">
        <v>18533</v>
      </c>
      <c r="CB209" s="125">
        <v>16424</v>
      </c>
      <c r="CC209" s="125">
        <v>111708</v>
      </c>
      <c r="CD209" s="125">
        <v>179861</v>
      </c>
      <c r="CE209" s="125">
        <v>21620</v>
      </c>
      <c r="CF209" s="125">
        <v>31779</v>
      </c>
      <c r="CG209" s="125">
        <v>0</v>
      </c>
      <c r="CH209" s="125">
        <v>30</v>
      </c>
      <c r="CI209" s="125">
        <v>4</v>
      </c>
      <c r="CJ209" s="125">
        <v>57</v>
      </c>
      <c r="CK209" s="125"/>
      <c r="CL209" s="125"/>
      <c r="CM209" s="125"/>
      <c r="CN209" s="125"/>
      <c r="CO209" s="125"/>
      <c r="CP209" s="125"/>
      <c r="CQ209" s="125"/>
      <c r="CR209" s="125"/>
      <c r="CS209" s="125"/>
      <c r="CT209" s="125"/>
      <c r="CU209" s="125"/>
      <c r="CV209" s="125"/>
      <c r="CW209" s="125"/>
      <c r="CX209" s="125"/>
      <c r="CY209" s="125" t="s">
        <v>370</v>
      </c>
      <c r="CZ209" s="125" t="s">
        <v>370</v>
      </c>
      <c r="DA209" s="125" t="s">
        <v>370</v>
      </c>
      <c r="DB209" s="125">
        <v>32</v>
      </c>
      <c r="DC209" s="125">
        <v>0</v>
      </c>
      <c r="DD209" s="125">
        <v>51</v>
      </c>
      <c r="DE209">
        <f t="shared" si="57"/>
        <v>721254</v>
      </c>
      <c r="DG209" s="1">
        <f t="shared" si="71"/>
        <v>461640</v>
      </c>
      <c r="DH209" s="1">
        <f t="shared" si="58"/>
        <v>214452</v>
      </c>
      <c r="DI209" s="127">
        <f t="shared" si="59"/>
        <v>676092</v>
      </c>
      <c r="DK209" s="1">
        <f t="shared" si="60"/>
        <v>62470</v>
      </c>
      <c r="DL209" s="1">
        <f t="shared" si="61"/>
        <v>115129</v>
      </c>
      <c r="DM209" s="1">
        <f t="shared" si="62"/>
        <v>9906</v>
      </c>
      <c r="DN209" s="1">
        <f t="shared" si="63"/>
        <v>26460</v>
      </c>
      <c r="DO209" s="1">
        <f t="shared" si="64"/>
        <v>332399</v>
      </c>
      <c r="DP209" s="1">
        <f t="shared" si="65"/>
        <v>56918</v>
      </c>
      <c r="DQ209" s="1">
        <f t="shared" si="72"/>
        <v>0</v>
      </c>
      <c r="DR209" s="1">
        <f t="shared" si="66"/>
        <v>16665</v>
      </c>
      <c r="DS209" s="1">
        <f t="shared" si="67"/>
        <v>11352</v>
      </c>
      <c r="DT209" s="1">
        <f t="shared" si="68"/>
        <v>12557</v>
      </c>
      <c r="DU209" s="1"/>
      <c r="DV209" s="1"/>
      <c r="DW209" s="1"/>
      <c r="DX209" s="1">
        <f t="shared" si="73"/>
        <v>643856</v>
      </c>
      <c r="DZ209" s="1">
        <f t="shared" si="74"/>
        <v>31779</v>
      </c>
      <c r="EA209" s="1">
        <f t="shared" si="69"/>
        <v>41643</v>
      </c>
      <c r="EC209" s="1">
        <f t="shared" si="75"/>
        <v>717278</v>
      </c>
      <c r="ED209" s="1">
        <f t="shared" si="70"/>
        <v>-3976</v>
      </c>
      <c r="EE209" s="1"/>
    </row>
    <row r="210" spans="1:135" x14ac:dyDescent="0.25">
      <c r="A210" s="124">
        <v>38596</v>
      </c>
      <c r="B210" s="125">
        <v>1</v>
      </c>
      <c r="C210" s="125">
        <v>14</v>
      </c>
      <c r="D210" s="125">
        <v>5308</v>
      </c>
      <c r="E210" s="125">
        <v>0</v>
      </c>
      <c r="F210" s="125">
        <v>26</v>
      </c>
      <c r="G210" s="125">
        <v>11271</v>
      </c>
      <c r="H210" s="125">
        <v>20389</v>
      </c>
      <c r="I210" s="125">
        <v>2950</v>
      </c>
      <c r="J210" s="125">
        <v>7222</v>
      </c>
      <c r="K210" s="125"/>
      <c r="L210" s="125">
        <v>30626</v>
      </c>
      <c r="M210" s="125">
        <v>2565</v>
      </c>
      <c r="N210" s="125"/>
      <c r="O210" s="125">
        <v>1740</v>
      </c>
      <c r="P210" s="125">
        <v>9010</v>
      </c>
      <c r="Q210" s="125">
        <v>509</v>
      </c>
      <c r="R210" s="125">
        <v>9222</v>
      </c>
      <c r="S210" s="125">
        <v>9906</v>
      </c>
      <c r="T210" s="125"/>
      <c r="U210" s="125"/>
      <c r="V210" s="125">
        <v>622</v>
      </c>
      <c r="W210" s="125">
        <v>8176</v>
      </c>
      <c r="X210" s="125">
        <v>411</v>
      </c>
      <c r="Y210" s="125">
        <v>12</v>
      </c>
      <c r="Z210" s="126"/>
      <c r="AA210" s="125">
        <v>6</v>
      </c>
      <c r="AB210" s="125">
        <v>45</v>
      </c>
      <c r="AC210" s="125">
        <v>13</v>
      </c>
      <c r="AD210" s="125">
        <v>25</v>
      </c>
      <c r="AE210" s="125">
        <v>39</v>
      </c>
      <c r="AF210" s="125">
        <v>52</v>
      </c>
      <c r="AG210" s="125"/>
      <c r="AH210" s="125"/>
      <c r="AI210" s="125">
        <v>6</v>
      </c>
      <c r="AJ210" s="125">
        <v>8843</v>
      </c>
      <c r="AK210" s="125">
        <v>91008</v>
      </c>
      <c r="AL210" s="125">
        <v>3249</v>
      </c>
      <c r="AM210" s="125">
        <v>13037</v>
      </c>
      <c r="AN210" s="125">
        <v>45</v>
      </c>
      <c r="AO210" s="125">
        <v>12</v>
      </c>
      <c r="AP210" s="125">
        <v>4402</v>
      </c>
      <c r="AQ210" s="125">
        <v>0</v>
      </c>
      <c r="AR210" s="125">
        <v>1879</v>
      </c>
      <c r="AS210" s="125" t="s">
        <v>370</v>
      </c>
      <c r="AT210" s="125">
        <v>3622</v>
      </c>
      <c r="AU210" s="125">
        <v>2082</v>
      </c>
      <c r="AV210" s="125">
        <v>3556</v>
      </c>
      <c r="AW210" s="125">
        <v>8957</v>
      </c>
      <c r="AX210" s="126"/>
      <c r="AY210" s="126"/>
      <c r="AZ210" s="126">
        <v>299</v>
      </c>
      <c r="BA210" s="126"/>
      <c r="BB210" s="125">
        <v>476</v>
      </c>
      <c r="BC210" s="125"/>
      <c r="BD210" s="125">
        <v>0</v>
      </c>
      <c r="BE210" s="125">
        <v>0</v>
      </c>
      <c r="BF210" s="125">
        <v>920</v>
      </c>
      <c r="BG210" s="125">
        <v>0</v>
      </c>
      <c r="BH210" s="125">
        <v>0</v>
      </c>
      <c r="BI210" s="125">
        <v>7880</v>
      </c>
      <c r="BJ210" s="125">
        <v>32</v>
      </c>
      <c r="BK210" s="125">
        <v>3646</v>
      </c>
      <c r="BL210" s="125"/>
      <c r="BM210" s="125">
        <v>271</v>
      </c>
      <c r="BN210" s="125">
        <v>39</v>
      </c>
      <c r="BO210" s="125">
        <v>11352</v>
      </c>
      <c r="BP210" s="125">
        <v>51234</v>
      </c>
      <c r="BQ210" s="125">
        <v>698</v>
      </c>
      <c r="BR210" s="125">
        <v>145</v>
      </c>
      <c r="BS210" s="125">
        <v>5256</v>
      </c>
      <c r="BT210" s="125">
        <v>38</v>
      </c>
      <c r="BU210" s="125"/>
      <c r="BV210" s="125">
        <v>11</v>
      </c>
      <c r="BW210" s="125">
        <v>111</v>
      </c>
      <c r="BX210" s="125"/>
      <c r="BY210" s="125">
        <v>9</v>
      </c>
      <c r="BZ210" s="125">
        <v>0</v>
      </c>
      <c r="CA210" s="125">
        <v>18585</v>
      </c>
      <c r="CB210" s="125">
        <v>16635</v>
      </c>
      <c r="CC210" s="125">
        <v>111546</v>
      </c>
      <c r="CD210" s="125">
        <v>179291</v>
      </c>
      <c r="CE210" s="125">
        <v>21960</v>
      </c>
      <c r="CF210" s="125">
        <v>31906</v>
      </c>
      <c r="CG210" s="125">
        <v>0</v>
      </c>
      <c r="CH210" s="125">
        <v>30</v>
      </c>
      <c r="CI210" s="125">
        <v>8</v>
      </c>
      <c r="CJ210" s="125">
        <v>37</v>
      </c>
      <c r="CK210" s="125"/>
      <c r="CL210" s="125"/>
      <c r="CM210" s="125"/>
      <c r="CN210" s="125"/>
      <c r="CO210" s="125"/>
      <c r="CP210" s="125"/>
      <c r="CQ210" s="125"/>
      <c r="CR210" s="125"/>
      <c r="CS210" s="125"/>
      <c r="CT210" s="125"/>
      <c r="CU210" s="125"/>
      <c r="CV210" s="125"/>
      <c r="CW210" s="125"/>
      <c r="CX210" s="125"/>
      <c r="CY210" s="125" t="s">
        <v>370</v>
      </c>
      <c r="CZ210" s="125" t="s">
        <v>370</v>
      </c>
      <c r="DA210" s="125" t="s">
        <v>370</v>
      </c>
      <c r="DB210" s="125">
        <v>32</v>
      </c>
      <c r="DC210" s="125">
        <v>0</v>
      </c>
      <c r="DD210" s="125">
        <v>51</v>
      </c>
      <c r="DE210">
        <f t="shared" si="57"/>
        <v>723273</v>
      </c>
      <c r="DG210" s="1">
        <f t="shared" si="71"/>
        <v>464197</v>
      </c>
      <c r="DH210" s="1">
        <f t="shared" si="58"/>
        <v>215621</v>
      </c>
      <c r="DI210" s="127">
        <f t="shared" si="59"/>
        <v>679818</v>
      </c>
      <c r="DK210" s="1">
        <f t="shared" si="60"/>
        <v>62501</v>
      </c>
      <c r="DL210" s="1">
        <f t="shared" si="61"/>
        <v>115616</v>
      </c>
      <c r="DM210" s="1">
        <f t="shared" si="62"/>
        <v>9947</v>
      </c>
      <c r="DN210" s="1">
        <f t="shared" si="63"/>
        <v>26789</v>
      </c>
      <c r="DO210" s="1">
        <f t="shared" si="64"/>
        <v>333408</v>
      </c>
      <c r="DP210" s="1">
        <f t="shared" si="65"/>
        <v>56761</v>
      </c>
      <c r="DQ210" s="1">
        <f t="shared" si="72"/>
        <v>0</v>
      </c>
      <c r="DR210" s="1">
        <f t="shared" si="66"/>
        <v>16971</v>
      </c>
      <c r="DS210" s="1">
        <f t="shared" si="67"/>
        <v>11485</v>
      </c>
      <c r="DT210" s="1">
        <f t="shared" si="68"/>
        <v>12609</v>
      </c>
      <c r="DU210" s="1"/>
      <c r="DV210" s="1"/>
      <c r="DW210" s="1"/>
      <c r="DX210" s="1">
        <f t="shared" si="73"/>
        <v>646087</v>
      </c>
      <c r="DZ210" s="1">
        <f t="shared" si="74"/>
        <v>31906</v>
      </c>
      <c r="EA210" s="1">
        <f t="shared" si="69"/>
        <v>41858</v>
      </c>
      <c r="EC210" s="1">
        <f t="shared" si="75"/>
        <v>719851</v>
      </c>
      <c r="ED210" s="1">
        <f t="shared" si="70"/>
        <v>-3422</v>
      </c>
      <c r="EE210" s="1"/>
    </row>
    <row r="211" spans="1:135" x14ac:dyDescent="0.25">
      <c r="A211" s="124">
        <v>38626</v>
      </c>
      <c r="B211" s="125">
        <v>0</v>
      </c>
      <c r="C211" s="125">
        <v>13</v>
      </c>
      <c r="D211" s="125">
        <v>6305</v>
      </c>
      <c r="E211" s="125">
        <v>0</v>
      </c>
      <c r="F211" s="125">
        <v>79</v>
      </c>
      <c r="G211" s="125">
        <v>11219</v>
      </c>
      <c r="H211" s="125">
        <v>20249</v>
      </c>
      <c r="I211" s="125">
        <v>2940</v>
      </c>
      <c r="J211" s="125">
        <v>7111</v>
      </c>
      <c r="K211" s="125"/>
      <c r="L211" s="125">
        <v>30584</v>
      </c>
      <c r="M211" s="125">
        <v>2552</v>
      </c>
      <c r="N211" s="125"/>
      <c r="O211" s="125">
        <v>1736</v>
      </c>
      <c r="P211" s="125">
        <v>9062</v>
      </c>
      <c r="Q211" s="125">
        <v>505</v>
      </c>
      <c r="R211" s="125">
        <v>9225</v>
      </c>
      <c r="S211" s="125">
        <v>9947</v>
      </c>
      <c r="T211" s="125"/>
      <c r="U211" s="125"/>
      <c r="V211" s="125">
        <v>623</v>
      </c>
      <c r="W211" s="125">
        <v>8214</v>
      </c>
      <c r="X211" s="125">
        <v>414</v>
      </c>
      <c r="Y211" s="125">
        <v>12</v>
      </c>
      <c r="Z211" s="126"/>
      <c r="AA211" s="125">
        <v>6</v>
      </c>
      <c r="AB211" s="125">
        <v>47</v>
      </c>
      <c r="AC211" s="125">
        <v>14</v>
      </c>
      <c r="AD211" s="125">
        <v>25</v>
      </c>
      <c r="AE211" s="125">
        <v>40</v>
      </c>
      <c r="AF211" s="125">
        <v>53</v>
      </c>
      <c r="AG211" s="125"/>
      <c r="AH211" s="125"/>
      <c r="AI211" s="125">
        <v>6</v>
      </c>
      <c r="AJ211" s="125">
        <v>8946</v>
      </c>
      <c r="AK211" s="125">
        <v>91516</v>
      </c>
      <c r="AL211" s="125">
        <v>3287</v>
      </c>
      <c r="AM211" s="125">
        <v>13090</v>
      </c>
      <c r="AN211" s="125">
        <v>48</v>
      </c>
      <c r="AO211" s="125">
        <v>12</v>
      </c>
      <c r="AP211" s="125">
        <v>4577</v>
      </c>
      <c r="AQ211" s="125">
        <v>0</v>
      </c>
      <c r="AR211" s="125">
        <v>1905</v>
      </c>
      <c r="AS211" s="125" t="s">
        <v>370</v>
      </c>
      <c r="AT211" s="125">
        <v>3682</v>
      </c>
      <c r="AU211" s="125">
        <v>2093</v>
      </c>
      <c r="AV211" s="125">
        <v>3575</v>
      </c>
      <c r="AW211" s="125">
        <v>9057</v>
      </c>
      <c r="AX211" s="126"/>
      <c r="AY211" s="126"/>
      <c r="AZ211" s="126">
        <v>301</v>
      </c>
      <c r="BA211" s="126"/>
      <c r="BB211" s="125">
        <v>467</v>
      </c>
      <c r="BC211" s="125"/>
      <c r="BD211" s="125">
        <v>0</v>
      </c>
      <c r="BE211" s="125">
        <v>0</v>
      </c>
      <c r="BF211" s="125">
        <v>938</v>
      </c>
      <c r="BG211" s="125">
        <v>0</v>
      </c>
      <c r="BH211" s="125">
        <v>0</v>
      </c>
      <c r="BI211" s="125">
        <v>7886</v>
      </c>
      <c r="BJ211" s="125">
        <v>28</v>
      </c>
      <c r="BK211" s="125">
        <v>3676</v>
      </c>
      <c r="BL211" s="125"/>
      <c r="BM211" s="125">
        <v>310</v>
      </c>
      <c r="BN211" s="125">
        <v>41</v>
      </c>
      <c r="BO211" s="125">
        <v>11485</v>
      </c>
      <c r="BP211" s="125">
        <v>51813</v>
      </c>
      <c r="BQ211" s="125">
        <v>677</v>
      </c>
      <c r="BR211" s="125">
        <v>143</v>
      </c>
      <c r="BS211" s="125">
        <v>5313</v>
      </c>
      <c r="BT211" s="125">
        <v>41</v>
      </c>
      <c r="BU211" s="125"/>
      <c r="BV211" s="125">
        <v>11</v>
      </c>
      <c r="BW211" s="125">
        <v>109</v>
      </c>
      <c r="BX211" s="125"/>
      <c r="BY211" s="125">
        <v>11</v>
      </c>
      <c r="BZ211" s="125">
        <v>0</v>
      </c>
      <c r="CA211" s="125">
        <v>18884</v>
      </c>
      <c r="CB211" s="125">
        <v>16939</v>
      </c>
      <c r="CC211" s="125">
        <v>111623</v>
      </c>
      <c r="CD211" s="125">
        <v>179723</v>
      </c>
      <c r="CE211" s="125">
        <v>22182</v>
      </c>
      <c r="CF211" s="125">
        <v>32288</v>
      </c>
      <c r="CG211" s="125">
        <v>0</v>
      </c>
      <c r="CH211" s="125">
        <v>32</v>
      </c>
      <c r="CI211" s="125">
        <v>7</v>
      </c>
      <c r="CJ211" s="125">
        <v>37</v>
      </c>
      <c r="CK211" s="125"/>
      <c r="CL211" s="125"/>
      <c r="CM211" s="125"/>
      <c r="CN211" s="125"/>
      <c r="CO211" s="125"/>
      <c r="CP211" s="125"/>
      <c r="CQ211" s="125"/>
      <c r="CR211" s="125"/>
      <c r="CS211" s="125"/>
      <c r="CT211" s="125"/>
      <c r="CU211" s="125"/>
      <c r="CV211" s="125"/>
      <c r="CW211" s="125"/>
      <c r="CX211" s="125"/>
      <c r="CY211" s="125" t="s">
        <v>370</v>
      </c>
      <c r="CZ211" s="125" t="s">
        <v>370</v>
      </c>
      <c r="DA211" s="125" t="s">
        <v>370</v>
      </c>
      <c r="DB211" s="125">
        <v>32</v>
      </c>
      <c r="DC211" s="125">
        <v>2981</v>
      </c>
      <c r="DD211" s="125">
        <v>53</v>
      </c>
      <c r="DE211">
        <f t="shared" si="57"/>
        <v>727734</v>
      </c>
      <c r="DG211" s="1">
        <f t="shared" si="71"/>
        <v>467385</v>
      </c>
      <c r="DH211" s="1">
        <f t="shared" si="58"/>
        <v>216815</v>
      </c>
      <c r="DI211" s="127">
        <f t="shared" si="59"/>
        <v>684200</v>
      </c>
      <c r="DK211" s="1">
        <f t="shared" si="60"/>
        <v>62720</v>
      </c>
      <c r="DL211" s="1">
        <f t="shared" si="61"/>
        <v>116384</v>
      </c>
      <c r="DM211" s="1">
        <f t="shared" si="62"/>
        <v>9989</v>
      </c>
      <c r="DN211" s="1">
        <f t="shared" si="63"/>
        <v>27122</v>
      </c>
      <c r="DO211" s="1">
        <f t="shared" si="64"/>
        <v>335248</v>
      </c>
      <c r="DP211" s="1">
        <f t="shared" si="65"/>
        <v>57436</v>
      </c>
      <c r="DQ211" s="1">
        <f t="shared" si="72"/>
        <v>0</v>
      </c>
      <c r="DR211" s="1">
        <f t="shared" si="66"/>
        <v>16838</v>
      </c>
      <c r="DS211" s="1">
        <f t="shared" si="67"/>
        <v>11722</v>
      </c>
      <c r="DT211" s="1">
        <f t="shared" si="68"/>
        <v>12687</v>
      </c>
      <c r="DU211" s="1"/>
      <c r="DV211" s="1"/>
      <c r="DW211" s="1"/>
      <c r="DX211" s="1">
        <f t="shared" si="73"/>
        <v>650146</v>
      </c>
      <c r="DZ211" s="1">
        <f t="shared" si="74"/>
        <v>32288</v>
      </c>
      <c r="EA211" s="1">
        <f t="shared" si="69"/>
        <v>41598</v>
      </c>
      <c r="EC211" s="1">
        <f t="shared" si="75"/>
        <v>724032</v>
      </c>
      <c r="ED211" s="1">
        <f t="shared" si="70"/>
        <v>-3702</v>
      </c>
      <c r="EE211" s="1"/>
    </row>
    <row r="212" spans="1:135" x14ac:dyDescent="0.25">
      <c r="A212" s="124">
        <v>38657</v>
      </c>
      <c r="B212" s="125">
        <v>0</v>
      </c>
      <c r="C212" s="125">
        <v>15</v>
      </c>
      <c r="D212" s="125">
        <v>6723</v>
      </c>
      <c r="E212" s="125">
        <v>0</v>
      </c>
      <c r="F212" s="125">
        <v>116</v>
      </c>
      <c r="G212" s="125">
        <v>11267</v>
      </c>
      <c r="H212" s="125">
        <v>20384</v>
      </c>
      <c r="I212" s="125">
        <v>2956</v>
      </c>
      <c r="J212" s="125">
        <v>6876</v>
      </c>
      <c r="K212" s="125"/>
      <c r="L212" s="125">
        <v>30656</v>
      </c>
      <c r="M212" s="125">
        <v>2525</v>
      </c>
      <c r="N212" s="125"/>
      <c r="O212" s="125">
        <v>1738</v>
      </c>
      <c r="P212" s="125">
        <v>9130</v>
      </c>
      <c r="Q212" s="125">
        <v>512</v>
      </c>
      <c r="R212" s="125">
        <v>9257</v>
      </c>
      <c r="S212" s="125">
        <v>9989</v>
      </c>
      <c r="T212" s="125"/>
      <c r="U212" s="125"/>
      <c r="V212" s="125">
        <v>633</v>
      </c>
      <c r="W212" s="125">
        <v>8269</v>
      </c>
      <c r="X212" s="125">
        <v>410</v>
      </c>
      <c r="Y212" s="125">
        <v>12</v>
      </c>
      <c r="Z212" s="126"/>
      <c r="AA212" s="125">
        <v>6</v>
      </c>
      <c r="AB212" s="125">
        <v>43</v>
      </c>
      <c r="AC212" s="125">
        <v>13</v>
      </c>
      <c r="AD212" s="125">
        <v>26</v>
      </c>
      <c r="AE212" s="125">
        <v>40</v>
      </c>
      <c r="AF212" s="125">
        <v>52</v>
      </c>
      <c r="AG212" s="125"/>
      <c r="AH212" s="125"/>
      <c r="AI212" s="125">
        <v>6</v>
      </c>
      <c r="AJ212" s="125">
        <v>9047</v>
      </c>
      <c r="AK212" s="125">
        <v>91934</v>
      </c>
      <c r="AL212" s="125">
        <v>3296</v>
      </c>
      <c r="AM212" s="125">
        <v>13210</v>
      </c>
      <c r="AN212" s="125">
        <v>50</v>
      </c>
      <c r="AO212" s="125">
        <v>14</v>
      </c>
      <c r="AP212" s="125">
        <v>4743</v>
      </c>
      <c r="AQ212" s="125">
        <v>0</v>
      </c>
      <c r="AR212" s="125">
        <v>1925</v>
      </c>
      <c r="AS212" s="125" t="s">
        <v>370</v>
      </c>
      <c r="AT212" s="125">
        <v>3689</v>
      </c>
      <c r="AU212" s="125">
        <v>2104</v>
      </c>
      <c r="AV212" s="125">
        <v>3599</v>
      </c>
      <c r="AW212" s="125">
        <v>9103</v>
      </c>
      <c r="AX212" s="126"/>
      <c r="AY212" s="126"/>
      <c r="AZ212" s="126">
        <v>300</v>
      </c>
      <c r="BA212" s="126"/>
      <c r="BB212" s="125">
        <v>484</v>
      </c>
      <c r="BC212" s="125"/>
      <c r="BD212" s="125">
        <v>0</v>
      </c>
      <c r="BE212" s="125">
        <v>0</v>
      </c>
      <c r="BF212" s="125">
        <v>957</v>
      </c>
      <c r="BG212" s="125">
        <v>0</v>
      </c>
      <c r="BH212" s="125">
        <v>0</v>
      </c>
      <c r="BI212" s="125">
        <v>7906</v>
      </c>
      <c r="BJ212" s="125">
        <v>26</v>
      </c>
      <c r="BK212" s="125">
        <v>3717</v>
      </c>
      <c r="BL212" s="125"/>
      <c r="BM212" s="125">
        <v>329</v>
      </c>
      <c r="BN212" s="125">
        <v>40</v>
      </c>
      <c r="BO212" s="125">
        <v>11722</v>
      </c>
      <c r="BP212" s="125">
        <v>52091</v>
      </c>
      <c r="BQ212" s="125">
        <v>665</v>
      </c>
      <c r="BR212" s="125">
        <v>138</v>
      </c>
      <c r="BS212" s="125">
        <v>5339</v>
      </c>
      <c r="BT212" s="125">
        <v>30</v>
      </c>
      <c r="BU212" s="125"/>
      <c r="BV212" s="125">
        <v>10</v>
      </c>
      <c r="BW212" s="125">
        <v>107</v>
      </c>
      <c r="BX212" s="125"/>
      <c r="BY212" s="125">
        <v>12</v>
      </c>
      <c r="BZ212" s="125">
        <v>0</v>
      </c>
      <c r="CA212" s="125">
        <v>19318</v>
      </c>
      <c r="CB212" s="125">
        <v>16812</v>
      </c>
      <c r="CC212" s="125">
        <v>112284</v>
      </c>
      <c r="CD212" s="125">
        <v>180550</v>
      </c>
      <c r="CE212" s="125">
        <v>22127</v>
      </c>
      <c r="CF212" s="125">
        <v>33131</v>
      </c>
      <c r="CG212" s="125">
        <v>0</v>
      </c>
      <c r="CH212" s="125">
        <v>26</v>
      </c>
      <c r="CI212" s="125">
        <v>5</v>
      </c>
      <c r="CJ212" s="125">
        <v>43</v>
      </c>
      <c r="CK212" s="125"/>
      <c r="CL212" s="125"/>
      <c r="CM212" s="125"/>
      <c r="CN212" s="125"/>
      <c r="CO212" s="125"/>
      <c r="CP212" s="125"/>
      <c r="CQ212" s="125"/>
      <c r="CR212" s="125"/>
      <c r="CS212" s="125"/>
      <c r="CT212" s="125"/>
      <c r="CU212" s="125"/>
      <c r="CV212" s="125"/>
      <c r="CW212" s="125"/>
      <c r="CX212" s="125"/>
      <c r="CY212" s="125" t="s">
        <v>370</v>
      </c>
      <c r="CZ212" s="125" t="s">
        <v>370</v>
      </c>
      <c r="DA212" s="125" t="s">
        <v>370</v>
      </c>
      <c r="DB212" s="125">
        <v>31</v>
      </c>
      <c r="DC212" s="125">
        <v>3836</v>
      </c>
      <c r="DD212" s="125">
        <v>56</v>
      </c>
      <c r="DE212">
        <f t="shared" si="57"/>
        <v>732537</v>
      </c>
      <c r="DG212" s="1">
        <f t="shared" si="71"/>
        <v>468361</v>
      </c>
      <c r="DH212" s="1">
        <f t="shared" si="58"/>
        <v>217217</v>
      </c>
      <c r="DI212" s="127">
        <f t="shared" si="59"/>
        <v>685578</v>
      </c>
      <c r="DK212" s="1">
        <f t="shared" si="60"/>
        <v>62506</v>
      </c>
      <c r="DL212" s="1">
        <f t="shared" si="61"/>
        <v>116984</v>
      </c>
      <c r="DM212" s="1">
        <f t="shared" si="62"/>
        <v>10069</v>
      </c>
      <c r="DN212" s="1">
        <f t="shared" si="63"/>
        <v>27471</v>
      </c>
      <c r="DO212" s="1">
        <f t="shared" si="64"/>
        <v>335359</v>
      </c>
      <c r="DP212" s="1">
        <f t="shared" si="65"/>
        <v>57759</v>
      </c>
      <c r="DQ212" s="1">
        <f t="shared" si="72"/>
        <v>0</v>
      </c>
      <c r="DR212" s="1">
        <f t="shared" si="66"/>
        <v>16310</v>
      </c>
      <c r="DS212" s="1">
        <f t="shared" si="67"/>
        <v>11878</v>
      </c>
      <c r="DT212" s="1">
        <f t="shared" si="68"/>
        <v>12747</v>
      </c>
      <c r="DU212" s="1"/>
      <c r="DV212" s="1"/>
      <c r="DW212" s="1"/>
      <c r="DX212" s="1">
        <f t="shared" si="73"/>
        <v>651083</v>
      </c>
      <c r="DZ212" s="1">
        <f t="shared" si="74"/>
        <v>33131</v>
      </c>
      <c r="EA212" s="1">
        <f t="shared" si="69"/>
        <v>41599</v>
      </c>
      <c r="EC212" s="1">
        <f t="shared" si="75"/>
        <v>725813</v>
      </c>
      <c r="ED212" s="1">
        <f t="shared" si="70"/>
        <v>-6724</v>
      </c>
      <c r="EE212" s="1"/>
    </row>
    <row r="213" spans="1:135" x14ac:dyDescent="0.25">
      <c r="A213" s="124">
        <v>38687</v>
      </c>
      <c r="B213" s="125">
        <v>0</v>
      </c>
      <c r="C213" s="125">
        <v>16</v>
      </c>
      <c r="D213" s="125">
        <v>6220</v>
      </c>
      <c r="E213" s="125">
        <v>0</v>
      </c>
      <c r="F213" s="125">
        <v>155</v>
      </c>
      <c r="G213" s="125">
        <v>11453</v>
      </c>
      <c r="H213" s="125">
        <v>20616</v>
      </c>
      <c r="I213" s="125">
        <v>2999</v>
      </c>
      <c r="J213" s="125">
        <v>6805</v>
      </c>
      <c r="K213" s="125"/>
      <c r="L213" s="125">
        <v>30591</v>
      </c>
      <c r="M213" s="125">
        <v>2504</v>
      </c>
      <c r="N213" s="125"/>
      <c r="O213" s="125">
        <v>1742</v>
      </c>
      <c r="P213" s="125">
        <v>9086</v>
      </c>
      <c r="Q213" s="125">
        <v>507</v>
      </c>
      <c r="R213" s="125">
        <v>9152</v>
      </c>
      <c r="S213" s="125">
        <v>10069</v>
      </c>
      <c r="T213" s="125"/>
      <c r="U213" s="125"/>
      <c r="V213" s="125">
        <v>629</v>
      </c>
      <c r="W213" s="125">
        <v>8295</v>
      </c>
      <c r="X213" s="125">
        <v>403</v>
      </c>
      <c r="Y213" s="125">
        <v>12</v>
      </c>
      <c r="Z213" s="126"/>
      <c r="AA213" s="125">
        <v>5</v>
      </c>
      <c r="AB213" s="125">
        <v>45</v>
      </c>
      <c r="AC213" s="125">
        <v>14</v>
      </c>
      <c r="AD213" s="125">
        <v>25</v>
      </c>
      <c r="AE213" s="125">
        <v>41</v>
      </c>
      <c r="AF213" s="125">
        <v>53</v>
      </c>
      <c r="AG213" s="125"/>
      <c r="AH213" s="125"/>
      <c r="AI213" s="125">
        <v>6</v>
      </c>
      <c r="AJ213" s="125">
        <v>9085</v>
      </c>
      <c r="AK213" s="125">
        <v>92226</v>
      </c>
      <c r="AL213" s="125">
        <v>3233</v>
      </c>
      <c r="AM213" s="125">
        <v>13283</v>
      </c>
      <c r="AN213" s="125">
        <v>54</v>
      </c>
      <c r="AO213" s="125">
        <v>13</v>
      </c>
      <c r="AP213" s="125">
        <v>4948</v>
      </c>
      <c r="AQ213" s="125">
        <v>0</v>
      </c>
      <c r="AR213" s="125">
        <v>1904</v>
      </c>
      <c r="AS213" s="125" t="s">
        <v>370</v>
      </c>
      <c r="AT213" s="125">
        <v>3671</v>
      </c>
      <c r="AU213" s="125">
        <v>2100</v>
      </c>
      <c r="AV213" s="125">
        <v>3575</v>
      </c>
      <c r="AW213" s="125">
        <v>9174</v>
      </c>
      <c r="AX213" s="126"/>
      <c r="AY213" s="126"/>
      <c r="AZ213" s="126">
        <v>298</v>
      </c>
      <c r="BA213" s="126"/>
      <c r="BB213" s="125">
        <v>474</v>
      </c>
      <c r="BC213" s="125"/>
      <c r="BD213" s="125">
        <v>0</v>
      </c>
      <c r="BE213" s="125">
        <v>0</v>
      </c>
      <c r="BF213" s="125">
        <v>967</v>
      </c>
      <c r="BG213" s="125">
        <v>0</v>
      </c>
      <c r="BH213" s="125">
        <v>0</v>
      </c>
      <c r="BI213" s="125">
        <v>7906</v>
      </c>
      <c r="BJ213" s="125">
        <v>24</v>
      </c>
      <c r="BK213" s="125">
        <v>3764</v>
      </c>
      <c r="BL213" s="125"/>
      <c r="BM213" s="125">
        <v>339</v>
      </c>
      <c r="BN213" s="125">
        <v>39</v>
      </c>
      <c r="BO213" s="125">
        <v>11878</v>
      </c>
      <c r="BP213" s="125">
        <v>52451</v>
      </c>
      <c r="BQ213" s="125">
        <v>680</v>
      </c>
      <c r="BR213" s="125">
        <v>138</v>
      </c>
      <c r="BS213" s="125">
        <v>5421</v>
      </c>
      <c r="BT213" s="125">
        <v>41</v>
      </c>
      <c r="BU213" s="125"/>
      <c r="BV213" s="125">
        <v>10</v>
      </c>
      <c r="BW213" s="125">
        <v>110</v>
      </c>
      <c r="BX213" s="125"/>
      <c r="BY213" s="125">
        <v>12</v>
      </c>
      <c r="BZ213" s="125">
        <v>0</v>
      </c>
      <c r="CA213" s="125">
        <v>19468</v>
      </c>
      <c r="CB213" s="125">
        <v>16283</v>
      </c>
      <c r="CC213" s="125">
        <v>112273</v>
      </c>
      <c r="CD213" s="125">
        <v>180590</v>
      </c>
      <c r="CE213" s="125">
        <v>22033</v>
      </c>
      <c r="CF213" s="125">
        <v>33856</v>
      </c>
      <c r="CG213" s="125">
        <v>0</v>
      </c>
      <c r="CH213" s="125">
        <v>27</v>
      </c>
      <c r="CI213" s="125">
        <v>6</v>
      </c>
      <c r="CJ213" s="125">
        <v>45</v>
      </c>
      <c r="CK213" s="125"/>
      <c r="CL213" s="125"/>
      <c r="CM213" s="125"/>
      <c r="CN213" s="125"/>
      <c r="CO213" s="125"/>
      <c r="CP213" s="125"/>
      <c r="CQ213" s="125"/>
      <c r="CR213" s="125"/>
      <c r="CS213" s="125"/>
      <c r="CT213" s="125"/>
      <c r="CU213" s="125"/>
      <c r="CV213" s="125"/>
      <c r="CW213" s="125"/>
      <c r="CX213" s="125"/>
      <c r="CY213" s="125">
        <v>2</v>
      </c>
      <c r="CZ213" s="125">
        <v>0</v>
      </c>
      <c r="DA213" s="125">
        <v>1</v>
      </c>
      <c r="DB213" s="125">
        <v>31</v>
      </c>
      <c r="DC213" s="125">
        <v>3861</v>
      </c>
      <c r="DD213" s="125">
        <v>57</v>
      </c>
      <c r="DE213">
        <f t="shared" si="57"/>
        <v>733842</v>
      </c>
      <c r="DG213" s="1">
        <f t="shared" si="71"/>
        <v>487450</v>
      </c>
      <c r="DH213" s="1">
        <f t="shared" si="58"/>
        <v>219861</v>
      </c>
      <c r="DI213" s="127">
        <f t="shared" si="59"/>
        <v>707311</v>
      </c>
      <c r="DK213" s="1">
        <f t="shared" si="60"/>
        <v>62854</v>
      </c>
      <c r="DL213" s="1">
        <f t="shared" si="61"/>
        <v>117171</v>
      </c>
      <c r="DM213" s="1">
        <f t="shared" si="62"/>
        <v>10085</v>
      </c>
      <c r="DN213" s="1">
        <f t="shared" si="63"/>
        <v>27911</v>
      </c>
      <c r="DO213" s="1">
        <f t="shared" si="64"/>
        <v>347263</v>
      </c>
      <c r="DP213" s="1">
        <f t="shared" si="65"/>
        <v>58211</v>
      </c>
      <c r="DQ213" s="1">
        <f t="shared" si="72"/>
        <v>0</v>
      </c>
      <c r="DR213" s="1">
        <f t="shared" si="66"/>
        <v>19184</v>
      </c>
      <c r="DS213" s="1">
        <f t="shared" si="67"/>
        <v>12010</v>
      </c>
      <c r="DT213" s="1">
        <f t="shared" si="68"/>
        <v>12985</v>
      </c>
      <c r="DU213" s="1"/>
      <c r="DV213" s="1"/>
      <c r="DW213" s="1"/>
      <c r="DX213" s="1">
        <f t="shared" si="73"/>
        <v>667674</v>
      </c>
      <c r="DZ213" s="1">
        <f t="shared" si="74"/>
        <v>33856</v>
      </c>
      <c r="EA213" s="1">
        <f t="shared" si="69"/>
        <v>42028</v>
      </c>
      <c r="EC213" s="1">
        <f t="shared" si="75"/>
        <v>743558</v>
      </c>
      <c r="ED213" s="1">
        <f t="shared" si="70"/>
        <v>9716</v>
      </c>
      <c r="EE213" s="1"/>
    </row>
    <row r="214" spans="1:135" x14ac:dyDescent="0.25">
      <c r="A214" s="124">
        <v>38718</v>
      </c>
      <c r="B214" s="125">
        <v>0</v>
      </c>
      <c r="C214" s="125">
        <v>17</v>
      </c>
      <c r="D214" s="125">
        <v>5369</v>
      </c>
      <c r="E214" s="125">
        <v>0</v>
      </c>
      <c r="F214" s="125">
        <v>200</v>
      </c>
      <c r="G214" s="125">
        <v>12102</v>
      </c>
      <c r="H214" s="125">
        <v>21548</v>
      </c>
      <c r="I214" s="125">
        <v>3144</v>
      </c>
      <c r="J214" s="125">
        <v>7053</v>
      </c>
      <c r="K214" s="125"/>
      <c r="L214" s="125">
        <v>30619</v>
      </c>
      <c r="M214" s="125">
        <v>2510</v>
      </c>
      <c r="N214" s="125"/>
      <c r="O214" s="125">
        <v>1786</v>
      </c>
      <c r="P214" s="125">
        <v>9178</v>
      </c>
      <c r="Q214" s="125">
        <v>510</v>
      </c>
      <c r="R214" s="125">
        <v>9152</v>
      </c>
      <c r="S214" s="125">
        <v>10085</v>
      </c>
      <c r="T214" s="125"/>
      <c r="U214" s="125"/>
      <c r="V214" s="125">
        <v>645</v>
      </c>
      <c r="W214" s="125">
        <v>8454</v>
      </c>
      <c r="X214" s="125">
        <v>403</v>
      </c>
      <c r="Y214" s="125">
        <v>12</v>
      </c>
      <c r="Z214" s="126"/>
      <c r="AA214" s="125">
        <v>7</v>
      </c>
      <c r="AB214" s="125">
        <v>47</v>
      </c>
      <c r="AC214" s="125">
        <v>14</v>
      </c>
      <c r="AD214" s="125">
        <v>24</v>
      </c>
      <c r="AE214" s="125">
        <v>41</v>
      </c>
      <c r="AF214" s="125">
        <v>53</v>
      </c>
      <c r="AG214" s="125"/>
      <c r="AH214" s="125"/>
      <c r="AI214" s="125">
        <v>7</v>
      </c>
      <c r="AJ214" s="125">
        <v>9349</v>
      </c>
      <c r="AK214" s="125">
        <v>93287</v>
      </c>
      <c r="AL214" s="125">
        <v>3310</v>
      </c>
      <c r="AM214" s="125">
        <v>13523</v>
      </c>
      <c r="AN214" s="125">
        <v>53</v>
      </c>
      <c r="AO214" s="125">
        <v>14</v>
      </c>
      <c r="AP214" s="125">
        <v>5107</v>
      </c>
      <c r="AQ214" s="125">
        <v>0</v>
      </c>
      <c r="AR214" s="125">
        <v>2158</v>
      </c>
      <c r="AS214" s="125" t="s">
        <v>370</v>
      </c>
      <c r="AT214" s="125">
        <v>3730</v>
      </c>
      <c r="AU214" s="125">
        <v>2135</v>
      </c>
      <c r="AV214" s="125">
        <v>3627</v>
      </c>
      <c r="AW214" s="125">
        <v>9214</v>
      </c>
      <c r="AX214" s="126"/>
      <c r="AY214" s="126"/>
      <c r="AZ214" s="126">
        <v>307</v>
      </c>
      <c r="BA214" s="126"/>
      <c r="BB214" s="125">
        <v>500</v>
      </c>
      <c r="BC214" s="125"/>
      <c r="BD214" s="125">
        <v>0</v>
      </c>
      <c r="BE214" s="125">
        <v>0</v>
      </c>
      <c r="BF214" s="125">
        <v>978</v>
      </c>
      <c r="BG214" s="125">
        <v>0</v>
      </c>
      <c r="BH214" s="125">
        <v>0</v>
      </c>
      <c r="BI214" s="125">
        <v>8015</v>
      </c>
      <c r="BJ214" s="125">
        <v>31</v>
      </c>
      <c r="BK214" s="125">
        <v>3881</v>
      </c>
      <c r="BL214" s="125"/>
      <c r="BM214" s="125">
        <v>419</v>
      </c>
      <c r="BN214" s="125">
        <v>39</v>
      </c>
      <c r="BO214" s="125">
        <v>12010</v>
      </c>
      <c r="BP214" s="125">
        <v>54793</v>
      </c>
      <c r="BQ214" s="125">
        <v>732</v>
      </c>
      <c r="BR214" s="125">
        <v>137</v>
      </c>
      <c r="BS214" s="125">
        <v>5833</v>
      </c>
      <c r="BT214" s="125">
        <v>45</v>
      </c>
      <c r="BU214" s="125"/>
      <c r="BV214" s="125">
        <v>10</v>
      </c>
      <c r="BW214" s="125">
        <v>111</v>
      </c>
      <c r="BX214" s="125"/>
      <c r="BY214" s="125">
        <v>13</v>
      </c>
      <c r="BZ214" s="125">
        <v>0</v>
      </c>
      <c r="CA214" s="125">
        <v>20759</v>
      </c>
      <c r="CB214" s="125">
        <v>19155</v>
      </c>
      <c r="CC214" s="125">
        <v>115600</v>
      </c>
      <c r="CD214" s="125">
        <v>185902</v>
      </c>
      <c r="CE214" s="125">
        <v>23941</v>
      </c>
      <c r="CF214" s="125">
        <v>34963</v>
      </c>
      <c r="CG214" s="125">
        <v>0</v>
      </c>
      <c r="CH214" s="125">
        <v>29</v>
      </c>
      <c r="CI214" s="125">
        <v>6</v>
      </c>
      <c r="CJ214" s="125">
        <v>48</v>
      </c>
      <c r="CK214" s="125"/>
      <c r="CL214" s="125"/>
      <c r="CM214" s="125"/>
      <c r="CN214" s="125"/>
      <c r="CO214" s="125"/>
      <c r="CP214" s="125"/>
      <c r="CQ214" s="125"/>
      <c r="CR214" s="125"/>
      <c r="CS214" s="125"/>
      <c r="CT214" s="125"/>
      <c r="CU214" s="125"/>
      <c r="CV214" s="125"/>
      <c r="CW214" s="125"/>
      <c r="CX214" s="125"/>
      <c r="CY214" s="125">
        <v>0</v>
      </c>
      <c r="CZ214" s="125">
        <v>0</v>
      </c>
      <c r="DA214" s="125">
        <v>0</v>
      </c>
      <c r="DB214" s="125">
        <v>31</v>
      </c>
      <c r="DC214" s="125">
        <v>3898</v>
      </c>
      <c r="DD214" s="125">
        <v>58</v>
      </c>
      <c r="DE214">
        <f t="shared" si="57"/>
        <v>756744</v>
      </c>
      <c r="DG214" s="1">
        <f t="shared" si="71"/>
        <v>475045</v>
      </c>
      <c r="DH214" s="1">
        <f t="shared" si="58"/>
        <v>216137</v>
      </c>
      <c r="DI214" s="127">
        <f t="shared" si="59"/>
        <v>691182</v>
      </c>
      <c r="DK214" s="1">
        <f t="shared" si="60"/>
        <v>62349</v>
      </c>
      <c r="DL214" s="1">
        <f t="shared" si="61"/>
        <v>119011</v>
      </c>
      <c r="DM214" s="1">
        <f t="shared" si="62"/>
        <v>10263</v>
      </c>
      <c r="DN214" s="1">
        <f t="shared" si="63"/>
        <v>25034</v>
      </c>
      <c r="DO214" s="1">
        <f t="shared" si="64"/>
        <v>339580</v>
      </c>
      <c r="DP214" s="1">
        <f t="shared" si="65"/>
        <v>61045</v>
      </c>
      <c r="DQ214" s="1">
        <f t="shared" si="72"/>
        <v>0</v>
      </c>
      <c r="DR214" s="1">
        <f t="shared" si="66"/>
        <v>16492</v>
      </c>
      <c r="DS214" s="1">
        <f t="shared" si="67"/>
        <v>12083</v>
      </c>
      <c r="DT214" s="1">
        <f t="shared" si="68"/>
        <v>12868</v>
      </c>
      <c r="DU214" s="1"/>
      <c r="DV214" s="1"/>
      <c r="DW214" s="1"/>
      <c r="DX214" s="1">
        <f t="shared" si="73"/>
        <v>658725</v>
      </c>
      <c r="DZ214" s="1">
        <f t="shared" si="74"/>
        <v>34963</v>
      </c>
      <c r="EA214" s="1">
        <f t="shared" si="69"/>
        <v>44047</v>
      </c>
      <c r="EC214" s="1">
        <f t="shared" si="75"/>
        <v>737735</v>
      </c>
      <c r="ED214" s="1">
        <f t="shared" si="70"/>
        <v>-19009</v>
      </c>
      <c r="EE214" s="1"/>
    </row>
    <row r="215" spans="1:135" x14ac:dyDescent="0.25">
      <c r="A215" s="124">
        <v>38749</v>
      </c>
      <c r="B215" s="125">
        <v>0</v>
      </c>
      <c r="C215" s="125">
        <v>12</v>
      </c>
      <c r="D215" s="125">
        <v>4239</v>
      </c>
      <c r="E215" s="125">
        <v>0</v>
      </c>
      <c r="F215" s="125">
        <v>220</v>
      </c>
      <c r="G215" s="125">
        <v>11693</v>
      </c>
      <c r="H215" s="125">
        <v>20752</v>
      </c>
      <c r="I215" s="125">
        <v>2995</v>
      </c>
      <c r="J215" s="125">
        <v>6525</v>
      </c>
      <c r="K215" s="125"/>
      <c r="L215" s="125">
        <v>30527</v>
      </c>
      <c r="M215" s="125">
        <v>2497</v>
      </c>
      <c r="N215" s="125"/>
      <c r="O215" s="125">
        <v>1700</v>
      </c>
      <c r="P215" s="125">
        <v>9096</v>
      </c>
      <c r="Q215" s="125">
        <v>505</v>
      </c>
      <c r="R215" s="125">
        <v>9007</v>
      </c>
      <c r="S215" s="125">
        <v>10263</v>
      </c>
      <c r="T215" s="125"/>
      <c r="U215" s="125"/>
      <c r="V215" s="125">
        <v>633</v>
      </c>
      <c r="W215" s="125">
        <v>8384</v>
      </c>
      <c r="X215" s="125">
        <v>393</v>
      </c>
      <c r="Y215" s="125">
        <v>10</v>
      </c>
      <c r="Z215" s="126"/>
      <c r="AA215" s="125">
        <v>7</v>
      </c>
      <c r="AB215" s="125">
        <v>46</v>
      </c>
      <c r="AC215" s="125">
        <v>14</v>
      </c>
      <c r="AD215" s="125">
        <v>24</v>
      </c>
      <c r="AE215" s="125">
        <v>41</v>
      </c>
      <c r="AF215" s="125">
        <v>53</v>
      </c>
      <c r="AG215" s="125"/>
      <c r="AH215" s="125"/>
      <c r="AI215" s="125">
        <v>7</v>
      </c>
      <c r="AJ215" s="125">
        <v>9229</v>
      </c>
      <c r="AK215" s="125">
        <v>93313</v>
      </c>
      <c r="AL215" s="125">
        <v>3288</v>
      </c>
      <c r="AM215" s="125">
        <v>13610</v>
      </c>
      <c r="AN215" s="125">
        <v>46</v>
      </c>
      <c r="AO215" s="125">
        <v>18</v>
      </c>
      <c r="AP215" s="125">
        <v>1984</v>
      </c>
      <c r="AQ215" s="125">
        <v>0</v>
      </c>
      <c r="AR215" s="125">
        <v>1909</v>
      </c>
      <c r="AS215" s="125" t="s">
        <v>370</v>
      </c>
      <c r="AT215" s="125">
        <v>3703</v>
      </c>
      <c r="AU215" s="125">
        <v>2112</v>
      </c>
      <c r="AV215" s="125">
        <v>3604</v>
      </c>
      <c r="AW215" s="125">
        <v>9369</v>
      </c>
      <c r="AX215" s="126"/>
      <c r="AY215" s="126"/>
      <c r="AZ215" s="126">
        <v>313</v>
      </c>
      <c r="BA215" s="126"/>
      <c r="BB215" s="125">
        <v>432</v>
      </c>
      <c r="BC215" s="125"/>
      <c r="BD215" s="125">
        <v>0</v>
      </c>
      <c r="BE215" s="125">
        <v>0</v>
      </c>
      <c r="BF215" s="125">
        <v>991</v>
      </c>
      <c r="BG215" s="125">
        <v>0</v>
      </c>
      <c r="BH215" s="125">
        <v>0</v>
      </c>
      <c r="BI215" s="125">
        <v>7944</v>
      </c>
      <c r="BJ215" s="125">
        <v>35</v>
      </c>
      <c r="BK215" s="125">
        <v>3820</v>
      </c>
      <c r="BL215" s="125"/>
      <c r="BM215" s="125">
        <v>346</v>
      </c>
      <c r="BN215" s="125">
        <v>36</v>
      </c>
      <c r="BO215" s="125">
        <v>12083</v>
      </c>
      <c r="BP215" s="125">
        <v>53469</v>
      </c>
      <c r="BQ215" s="125">
        <v>702</v>
      </c>
      <c r="BR215" s="125">
        <v>129</v>
      </c>
      <c r="BS215" s="125">
        <v>5702</v>
      </c>
      <c r="BT215" s="125">
        <v>41</v>
      </c>
      <c r="BU215" s="125"/>
      <c r="BV215" s="125">
        <v>8</v>
      </c>
      <c r="BW215" s="125">
        <v>113</v>
      </c>
      <c r="BX215" s="125"/>
      <c r="BY215" s="125">
        <v>7</v>
      </c>
      <c r="BZ215" s="125">
        <v>0</v>
      </c>
      <c r="CA215" s="125">
        <v>19928</v>
      </c>
      <c r="CB215" s="125">
        <v>16459</v>
      </c>
      <c r="CC215" s="125">
        <v>113401</v>
      </c>
      <c r="CD215" s="125">
        <v>182672</v>
      </c>
      <c r="CE215" s="125">
        <v>22576</v>
      </c>
      <c r="CF215" s="125">
        <v>34505</v>
      </c>
      <c r="CG215" s="125">
        <v>0</v>
      </c>
      <c r="CH215" s="125">
        <v>33</v>
      </c>
      <c r="CI215" s="125">
        <v>6</v>
      </c>
      <c r="CJ215" s="125">
        <v>39</v>
      </c>
      <c r="CK215" s="125"/>
      <c r="CL215" s="125"/>
      <c r="CM215" s="125"/>
      <c r="CN215" s="125"/>
      <c r="CO215" s="125"/>
      <c r="CP215" s="125"/>
      <c r="CQ215" s="125"/>
      <c r="CR215" s="125"/>
      <c r="CS215" s="125"/>
      <c r="CT215" s="125"/>
      <c r="CU215" s="125"/>
      <c r="CV215" s="125"/>
      <c r="CW215" s="125"/>
      <c r="CX215" s="125"/>
      <c r="CY215" s="125">
        <v>1</v>
      </c>
      <c r="CZ215" s="125">
        <v>0</v>
      </c>
      <c r="DA215" s="125">
        <v>0</v>
      </c>
      <c r="DB215" s="125">
        <v>31</v>
      </c>
      <c r="DC215" s="125">
        <v>1039</v>
      </c>
      <c r="DD215" s="125">
        <v>60</v>
      </c>
      <c r="DE215">
        <f t="shared" si="57"/>
        <v>737618</v>
      </c>
      <c r="DG215" s="1">
        <f t="shared" si="71"/>
        <v>471089</v>
      </c>
      <c r="DH215" s="1">
        <f t="shared" si="58"/>
        <v>217361</v>
      </c>
      <c r="DI215" s="127">
        <f t="shared" si="59"/>
        <v>688450</v>
      </c>
      <c r="DK215" s="1">
        <f t="shared" si="60"/>
        <v>62194</v>
      </c>
      <c r="DL215" s="1">
        <f t="shared" si="61"/>
        <v>118491</v>
      </c>
      <c r="DM215" s="1">
        <f t="shared" si="62"/>
        <v>10306</v>
      </c>
      <c r="DN215" s="1">
        <f t="shared" si="63"/>
        <v>26739</v>
      </c>
      <c r="DO215" s="1">
        <f t="shared" si="64"/>
        <v>337356</v>
      </c>
      <c r="DP215" s="1">
        <f t="shared" si="65"/>
        <v>59517</v>
      </c>
      <c r="DQ215" s="1">
        <f t="shared" si="72"/>
        <v>0</v>
      </c>
      <c r="DR215" s="1">
        <f t="shared" si="66"/>
        <v>16576</v>
      </c>
      <c r="DS215" s="1">
        <f t="shared" si="67"/>
        <v>12235</v>
      </c>
      <c r="DT215" s="1">
        <f t="shared" si="68"/>
        <v>12803</v>
      </c>
      <c r="DU215" s="1"/>
      <c r="DV215" s="1"/>
      <c r="DW215" s="1"/>
      <c r="DX215" s="1">
        <f t="shared" si="73"/>
        <v>656217</v>
      </c>
      <c r="DZ215" s="1">
        <f t="shared" si="74"/>
        <v>34505</v>
      </c>
      <c r="EA215" s="1">
        <f t="shared" si="69"/>
        <v>42185</v>
      </c>
      <c r="EC215" s="1">
        <f t="shared" si="75"/>
        <v>732907</v>
      </c>
      <c r="ED215" s="1">
        <f t="shared" si="70"/>
        <v>-4711</v>
      </c>
      <c r="EE215" s="1"/>
    </row>
    <row r="216" spans="1:135" x14ac:dyDescent="0.25">
      <c r="A216" s="124">
        <v>38777</v>
      </c>
      <c r="B216" s="125">
        <v>0</v>
      </c>
      <c r="C216" s="125">
        <v>6</v>
      </c>
      <c r="D216" s="125">
        <v>3375</v>
      </c>
      <c r="E216" s="125">
        <v>0</v>
      </c>
      <c r="F216" s="125">
        <v>255</v>
      </c>
      <c r="G216" s="125">
        <v>11569</v>
      </c>
      <c r="H216" s="125">
        <v>20628</v>
      </c>
      <c r="I216" s="125">
        <v>2985</v>
      </c>
      <c r="J216" s="125">
        <v>6359</v>
      </c>
      <c r="K216" s="125"/>
      <c r="L216" s="125">
        <v>30564</v>
      </c>
      <c r="M216" s="125">
        <v>2492</v>
      </c>
      <c r="N216" s="125"/>
      <c r="O216" s="125">
        <v>1683</v>
      </c>
      <c r="P216" s="125">
        <v>9067</v>
      </c>
      <c r="Q216" s="125">
        <v>502</v>
      </c>
      <c r="R216" s="125">
        <v>8967</v>
      </c>
      <c r="S216" s="125">
        <v>10306</v>
      </c>
      <c r="T216" s="125"/>
      <c r="U216" s="125"/>
      <c r="V216" s="125">
        <v>648</v>
      </c>
      <c r="W216" s="125">
        <v>8271</v>
      </c>
      <c r="X216" s="125">
        <v>389</v>
      </c>
      <c r="Y216" s="125">
        <v>9</v>
      </c>
      <c r="Z216" s="126"/>
      <c r="AA216" s="125">
        <v>7</v>
      </c>
      <c r="AB216" s="125">
        <v>48</v>
      </c>
      <c r="AC216" s="125">
        <v>13</v>
      </c>
      <c r="AD216" s="125">
        <v>23</v>
      </c>
      <c r="AE216" s="125">
        <v>42</v>
      </c>
      <c r="AF216" s="125">
        <v>50</v>
      </c>
      <c r="AG216" s="125"/>
      <c r="AH216" s="125"/>
      <c r="AI216" s="125">
        <v>8</v>
      </c>
      <c r="AJ216" s="125">
        <v>9101</v>
      </c>
      <c r="AK216" s="125">
        <v>93185</v>
      </c>
      <c r="AL216" s="125">
        <v>3261</v>
      </c>
      <c r="AM216" s="125">
        <v>13837</v>
      </c>
      <c r="AN216" s="125">
        <v>44</v>
      </c>
      <c r="AO216" s="125">
        <v>24</v>
      </c>
      <c r="AP216" s="125">
        <v>3393</v>
      </c>
      <c r="AQ216" s="125">
        <v>0</v>
      </c>
      <c r="AR216" s="125">
        <v>1876</v>
      </c>
      <c r="AS216" s="125" t="s">
        <v>370</v>
      </c>
      <c r="AT216" s="125">
        <v>3693</v>
      </c>
      <c r="AU216" s="125">
        <v>2094</v>
      </c>
      <c r="AV216" s="125">
        <v>3578</v>
      </c>
      <c r="AW216" s="125">
        <v>9435</v>
      </c>
      <c r="AX216" s="126"/>
      <c r="AY216" s="126"/>
      <c r="AZ216" s="126">
        <v>322</v>
      </c>
      <c r="BA216" s="126"/>
      <c r="BB216" s="125">
        <v>429</v>
      </c>
      <c r="BC216" s="125"/>
      <c r="BD216" s="125">
        <v>0</v>
      </c>
      <c r="BE216" s="125">
        <v>0</v>
      </c>
      <c r="BF216" s="125">
        <v>1002</v>
      </c>
      <c r="BG216" s="125">
        <v>0</v>
      </c>
      <c r="BH216" s="125">
        <v>0</v>
      </c>
      <c r="BI216" s="125">
        <v>7898</v>
      </c>
      <c r="BJ216" s="125">
        <v>35</v>
      </c>
      <c r="BK216" s="125">
        <v>3788</v>
      </c>
      <c r="BL216" s="125"/>
      <c r="BM216" s="125">
        <v>338</v>
      </c>
      <c r="BN216" s="125">
        <v>36</v>
      </c>
      <c r="BO216" s="125">
        <v>12235</v>
      </c>
      <c r="BP216" s="125">
        <v>52297</v>
      </c>
      <c r="BQ216" s="125">
        <v>648</v>
      </c>
      <c r="BR216" s="125">
        <v>130</v>
      </c>
      <c r="BS216" s="125">
        <v>5574</v>
      </c>
      <c r="BT216" s="125">
        <v>41</v>
      </c>
      <c r="BU216" s="125"/>
      <c r="BV216" s="125">
        <v>6</v>
      </c>
      <c r="BW216" s="125">
        <v>115</v>
      </c>
      <c r="BX216" s="125"/>
      <c r="BY216" s="125">
        <v>8</v>
      </c>
      <c r="BZ216" s="125">
        <v>0</v>
      </c>
      <c r="CA216" s="125">
        <v>19445</v>
      </c>
      <c r="CB216" s="125">
        <v>16547</v>
      </c>
      <c r="CC216" s="125">
        <v>112578</v>
      </c>
      <c r="CD216" s="125">
        <v>181711</v>
      </c>
      <c r="CE216" s="125">
        <v>22670</v>
      </c>
      <c r="CF216" s="125">
        <v>33910</v>
      </c>
      <c r="CG216" s="125">
        <v>0</v>
      </c>
      <c r="CH216" s="125">
        <v>29</v>
      </c>
      <c r="CI216" s="125">
        <v>7</v>
      </c>
      <c r="CJ216" s="125">
        <v>41</v>
      </c>
      <c r="CK216" s="125"/>
      <c r="CL216" s="125"/>
      <c r="CM216" s="125"/>
      <c r="CN216" s="125"/>
      <c r="CO216" s="125"/>
      <c r="CP216" s="125"/>
      <c r="CQ216" s="125"/>
      <c r="CR216" s="125"/>
      <c r="CS216" s="125"/>
      <c r="CT216" s="125"/>
      <c r="CU216" s="125"/>
      <c r="CV216" s="125"/>
      <c r="CW216" s="125"/>
      <c r="CX216" s="125"/>
      <c r="CY216" s="125">
        <v>1</v>
      </c>
      <c r="CZ216" s="125">
        <v>0</v>
      </c>
      <c r="DA216" s="125">
        <v>0</v>
      </c>
      <c r="DB216" s="125">
        <v>30</v>
      </c>
      <c r="DC216" s="125">
        <v>142</v>
      </c>
      <c r="DD216" s="125">
        <v>56</v>
      </c>
      <c r="DE216">
        <f t="shared" si="57"/>
        <v>733627</v>
      </c>
      <c r="DG216" s="1">
        <f t="shared" si="71"/>
        <v>473747</v>
      </c>
      <c r="DH216" s="1">
        <f t="shared" si="58"/>
        <v>218742</v>
      </c>
      <c r="DI216" s="127">
        <f t="shared" si="59"/>
        <v>692489</v>
      </c>
      <c r="DK216" s="1">
        <f t="shared" si="60"/>
        <v>62255</v>
      </c>
      <c r="DL216" s="1">
        <f t="shared" si="61"/>
        <v>118122</v>
      </c>
      <c r="DM216" s="1">
        <f t="shared" si="62"/>
        <v>10416</v>
      </c>
      <c r="DN216" s="1">
        <f t="shared" si="63"/>
        <v>27844</v>
      </c>
      <c r="DO216" s="1">
        <f t="shared" si="64"/>
        <v>339273</v>
      </c>
      <c r="DP216" s="1">
        <f t="shared" si="65"/>
        <v>58209</v>
      </c>
      <c r="DQ216" s="1">
        <f t="shared" si="72"/>
        <v>0</v>
      </c>
      <c r="DR216" s="1">
        <f t="shared" si="66"/>
        <v>17089</v>
      </c>
      <c r="DS216" s="1">
        <f t="shared" si="67"/>
        <v>12322</v>
      </c>
      <c r="DT216" s="1">
        <f t="shared" si="68"/>
        <v>12999</v>
      </c>
      <c r="DU216" s="1"/>
      <c r="DV216" s="1"/>
      <c r="DW216" s="1"/>
      <c r="DX216" s="1">
        <f t="shared" si="73"/>
        <v>658529</v>
      </c>
      <c r="DZ216" s="1">
        <f t="shared" si="74"/>
        <v>33910</v>
      </c>
      <c r="EA216" s="1">
        <f t="shared" si="69"/>
        <v>41796</v>
      </c>
      <c r="EC216" s="1">
        <f t="shared" si="75"/>
        <v>734235</v>
      </c>
      <c r="ED216" s="1">
        <f t="shared" si="70"/>
        <v>608</v>
      </c>
      <c r="EE216" s="1"/>
    </row>
    <row r="217" spans="1:135" x14ac:dyDescent="0.25">
      <c r="A217" s="124">
        <v>38808</v>
      </c>
      <c r="B217" s="125">
        <v>0</v>
      </c>
      <c r="C217" s="125">
        <v>4</v>
      </c>
      <c r="D217" s="125">
        <v>2574</v>
      </c>
      <c r="E217" s="125">
        <v>0</v>
      </c>
      <c r="F217" s="125">
        <v>320</v>
      </c>
      <c r="G217" s="125">
        <v>11931</v>
      </c>
      <c r="H217" s="125">
        <v>21224</v>
      </c>
      <c r="I217" s="125">
        <v>3086</v>
      </c>
      <c r="J217" s="125">
        <v>6471</v>
      </c>
      <c r="K217" s="125"/>
      <c r="L217" s="125">
        <v>30573</v>
      </c>
      <c r="M217" s="125">
        <v>2494</v>
      </c>
      <c r="N217" s="125"/>
      <c r="O217" s="125">
        <v>1690</v>
      </c>
      <c r="P217" s="125">
        <v>9157</v>
      </c>
      <c r="Q217" s="125">
        <v>500</v>
      </c>
      <c r="R217" s="125">
        <v>8976</v>
      </c>
      <c r="S217" s="125">
        <v>10416</v>
      </c>
      <c r="T217" s="125"/>
      <c r="U217" s="125"/>
      <c r="V217" s="125">
        <v>652</v>
      </c>
      <c r="W217" s="125">
        <v>8213</v>
      </c>
      <c r="X217" s="125">
        <v>386</v>
      </c>
      <c r="Y217" s="125">
        <v>9</v>
      </c>
      <c r="Z217" s="126"/>
      <c r="AA217" s="125">
        <v>8</v>
      </c>
      <c r="AB217" s="125">
        <v>47</v>
      </c>
      <c r="AC217" s="125">
        <v>13</v>
      </c>
      <c r="AD217" s="125">
        <v>23</v>
      </c>
      <c r="AE217" s="125">
        <v>41</v>
      </c>
      <c r="AF217" s="125">
        <v>51</v>
      </c>
      <c r="AG217" s="125"/>
      <c r="AH217" s="125"/>
      <c r="AI217" s="125">
        <v>8</v>
      </c>
      <c r="AJ217" s="125">
        <v>9141</v>
      </c>
      <c r="AK217" s="125">
        <v>93180</v>
      </c>
      <c r="AL217" s="125">
        <v>3262</v>
      </c>
      <c r="AM217" s="125">
        <v>14081</v>
      </c>
      <c r="AN217" s="125">
        <v>45</v>
      </c>
      <c r="AO217" s="125">
        <v>22</v>
      </c>
      <c r="AP217" s="125">
        <v>4125</v>
      </c>
      <c r="AQ217" s="125">
        <v>0</v>
      </c>
      <c r="AR217" s="125">
        <v>1936</v>
      </c>
      <c r="AS217" s="125" t="s">
        <v>370</v>
      </c>
      <c r="AT217" s="125">
        <v>3709</v>
      </c>
      <c r="AU217" s="125">
        <v>2080</v>
      </c>
      <c r="AV217" s="125">
        <v>3591</v>
      </c>
      <c r="AW217" s="125">
        <v>9565</v>
      </c>
      <c r="AX217" s="126"/>
      <c r="AY217" s="126"/>
      <c r="AZ217" s="126">
        <v>322</v>
      </c>
      <c r="BA217" s="126"/>
      <c r="BB217" s="125">
        <v>426</v>
      </c>
      <c r="BC217" s="125"/>
      <c r="BD217" s="125">
        <v>0</v>
      </c>
      <c r="BE217" s="125">
        <v>0</v>
      </c>
      <c r="BF217" s="125">
        <v>1018</v>
      </c>
      <c r="BG217" s="125">
        <v>0</v>
      </c>
      <c r="BH217" s="125">
        <v>0</v>
      </c>
      <c r="BI217" s="125">
        <v>7923</v>
      </c>
      <c r="BJ217" s="125">
        <v>36</v>
      </c>
      <c r="BK217" s="125">
        <v>3949</v>
      </c>
      <c r="BL217" s="125"/>
      <c r="BM217" s="125">
        <v>398</v>
      </c>
      <c r="BN217" s="125">
        <v>34</v>
      </c>
      <c r="BO217" s="125">
        <v>12322</v>
      </c>
      <c r="BP217" s="125">
        <v>52524</v>
      </c>
      <c r="BQ217" s="125">
        <v>639</v>
      </c>
      <c r="BR217" s="125">
        <v>132</v>
      </c>
      <c r="BS217" s="125">
        <v>5705</v>
      </c>
      <c r="BT217" s="125">
        <v>45</v>
      </c>
      <c r="BU217" s="125"/>
      <c r="BV217" s="125">
        <v>5</v>
      </c>
      <c r="BW217" s="125">
        <v>109</v>
      </c>
      <c r="BX217" s="125"/>
      <c r="BY217" s="125">
        <v>6</v>
      </c>
      <c r="BZ217" s="125">
        <v>0</v>
      </c>
      <c r="CA217" s="125">
        <v>19472</v>
      </c>
      <c r="CB217" s="125">
        <v>17058</v>
      </c>
      <c r="CC217" s="125">
        <v>113244</v>
      </c>
      <c r="CD217" s="125">
        <v>182608</v>
      </c>
      <c r="CE217" s="125">
        <v>23007</v>
      </c>
      <c r="CF217" s="125">
        <v>33437</v>
      </c>
      <c r="CG217" s="125">
        <v>0</v>
      </c>
      <c r="CH217" s="125">
        <v>31</v>
      </c>
      <c r="CI217" s="125">
        <v>6</v>
      </c>
      <c r="CJ217" s="125">
        <v>39</v>
      </c>
      <c r="CK217" s="125"/>
      <c r="CL217" s="125"/>
      <c r="CM217" s="125"/>
      <c r="CN217" s="125"/>
      <c r="CO217" s="125"/>
      <c r="CP217" s="125"/>
      <c r="CQ217" s="125"/>
      <c r="CR217" s="125"/>
      <c r="CS217" s="125"/>
      <c r="CT217" s="125"/>
      <c r="CU217" s="125"/>
      <c r="CV217" s="125"/>
      <c r="CW217" s="125"/>
      <c r="CX217" s="125"/>
      <c r="CY217" s="125">
        <v>1</v>
      </c>
      <c r="CZ217" s="125">
        <v>0</v>
      </c>
      <c r="DA217" s="125">
        <v>0</v>
      </c>
      <c r="DB217" s="125">
        <v>28</v>
      </c>
      <c r="DC217" s="125">
        <v>3</v>
      </c>
      <c r="DD217" s="125">
        <v>57</v>
      </c>
      <c r="DE217">
        <f t="shared" si="57"/>
        <v>738099</v>
      </c>
      <c r="DG217" s="1">
        <f t="shared" si="71"/>
        <v>473140</v>
      </c>
      <c r="DH217" s="1">
        <f t="shared" si="58"/>
        <v>219352</v>
      </c>
      <c r="DI217" s="127">
        <f t="shared" si="59"/>
        <v>692492</v>
      </c>
      <c r="DK217" s="1">
        <f t="shared" si="60"/>
        <v>62054</v>
      </c>
      <c r="DL217" s="1">
        <f t="shared" si="61"/>
        <v>118227</v>
      </c>
      <c r="DM217" s="1">
        <f t="shared" si="62"/>
        <v>10470</v>
      </c>
      <c r="DN217" s="1">
        <f t="shared" si="63"/>
        <v>28270</v>
      </c>
      <c r="DO217" s="1">
        <f t="shared" si="64"/>
        <v>338765</v>
      </c>
      <c r="DP217" s="1">
        <f t="shared" si="65"/>
        <v>58627</v>
      </c>
      <c r="DQ217" s="1">
        <f t="shared" si="72"/>
        <v>0</v>
      </c>
      <c r="DR217" s="1">
        <f t="shared" si="66"/>
        <v>16941</v>
      </c>
      <c r="DS217" s="1">
        <f t="shared" si="67"/>
        <v>12476</v>
      </c>
      <c r="DT217" s="1">
        <f t="shared" si="68"/>
        <v>13045</v>
      </c>
      <c r="DU217" s="1"/>
      <c r="DV217" s="1"/>
      <c r="DW217" s="1"/>
      <c r="DX217" s="1">
        <f t="shared" si="73"/>
        <v>658875</v>
      </c>
      <c r="DZ217" s="1">
        <f t="shared" si="74"/>
        <v>33437</v>
      </c>
      <c r="EA217" s="1">
        <f t="shared" si="69"/>
        <v>43032</v>
      </c>
      <c r="EC217" s="1">
        <f t="shared" si="75"/>
        <v>735344</v>
      </c>
      <c r="ED217" s="1">
        <f t="shared" si="70"/>
        <v>-2755</v>
      </c>
      <c r="EE217" s="1"/>
    </row>
    <row r="218" spans="1:135" x14ac:dyDescent="0.25">
      <c r="A218" s="124">
        <v>38838</v>
      </c>
      <c r="B218" s="125">
        <v>0</v>
      </c>
      <c r="C218" s="125">
        <v>3</v>
      </c>
      <c r="D218" s="125">
        <v>2168</v>
      </c>
      <c r="E218" s="125">
        <v>0</v>
      </c>
      <c r="F218" s="125">
        <v>326</v>
      </c>
      <c r="G218" s="125">
        <v>12126</v>
      </c>
      <c r="H218" s="125">
        <v>21600</v>
      </c>
      <c r="I218" s="125">
        <v>3163</v>
      </c>
      <c r="J218" s="125">
        <v>6458</v>
      </c>
      <c r="K218" s="125"/>
      <c r="L218" s="125">
        <v>30509</v>
      </c>
      <c r="M218" s="125">
        <v>2490</v>
      </c>
      <c r="N218" s="125"/>
      <c r="O218" s="125">
        <v>1700</v>
      </c>
      <c r="P218" s="125">
        <v>9124</v>
      </c>
      <c r="Q218" s="125">
        <v>495</v>
      </c>
      <c r="R218" s="125">
        <v>8901</v>
      </c>
      <c r="S218" s="125">
        <v>10470</v>
      </c>
      <c r="T218" s="125"/>
      <c r="U218" s="125"/>
      <c r="V218" s="125">
        <v>650</v>
      </c>
      <c r="W218" s="125">
        <v>8185</v>
      </c>
      <c r="X218" s="125">
        <v>386</v>
      </c>
      <c r="Y218" s="125">
        <v>8</v>
      </c>
      <c r="Z218" s="126"/>
      <c r="AA218" s="125">
        <v>8</v>
      </c>
      <c r="AB218" s="125">
        <v>40</v>
      </c>
      <c r="AC218" s="125">
        <v>13</v>
      </c>
      <c r="AD218" s="125">
        <v>24</v>
      </c>
      <c r="AE218" s="125">
        <v>42</v>
      </c>
      <c r="AF218" s="125">
        <v>52</v>
      </c>
      <c r="AG218" s="125"/>
      <c r="AH218" s="125"/>
      <c r="AI218" s="125">
        <v>7</v>
      </c>
      <c r="AJ218" s="125">
        <v>9069</v>
      </c>
      <c r="AK218" s="125">
        <v>93571</v>
      </c>
      <c r="AL218" s="125">
        <v>3261</v>
      </c>
      <c r="AM218" s="125">
        <v>14170</v>
      </c>
      <c r="AN218" s="125">
        <v>54</v>
      </c>
      <c r="AO218" s="125">
        <v>23</v>
      </c>
      <c r="AP218" s="125">
        <v>4424</v>
      </c>
      <c r="AQ218" s="125">
        <v>0</v>
      </c>
      <c r="AR218" s="125">
        <v>1923</v>
      </c>
      <c r="AS218" s="125" t="s">
        <v>370</v>
      </c>
      <c r="AT218" s="125">
        <v>3716</v>
      </c>
      <c r="AU218" s="125">
        <v>2088</v>
      </c>
      <c r="AV218" s="125">
        <v>3591</v>
      </c>
      <c r="AW218" s="125">
        <v>9601</v>
      </c>
      <c r="AX218" s="126"/>
      <c r="AY218" s="126"/>
      <c r="AZ218" s="126">
        <v>319</v>
      </c>
      <c r="BA218" s="126"/>
      <c r="BB218" s="125">
        <v>438</v>
      </c>
      <c r="BC218" s="125"/>
      <c r="BD218" s="125">
        <v>0</v>
      </c>
      <c r="BE218" s="125">
        <v>0</v>
      </c>
      <c r="BF218" s="125">
        <v>1013</v>
      </c>
      <c r="BG218" s="125">
        <v>0</v>
      </c>
      <c r="BH218" s="125">
        <v>0</v>
      </c>
      <c r="BI218" s="125">
        <v>7902</v>
      </c>
      <c r="BJ218" s="125">
        <v>41</v>
      </c>
      <c r="BK218" s="125">
        <v>4023</v>
      </c>
      <c r="BL218" s="125"/>
      <c r="BM218" s="125">
        <v>305</v>
      </c>
      <c r="BN218" s="125">
        <v>32</v>
      </c>
      <c r="BO218" s="125">
        <v>12476</v>
      </c>
      <c r="BP218" s="125">
        <v>52154</v>
      </c>
      <c r="BQ218" s="125">
        <v>633</v>
      </c>
      <c r="BR218" s="125">
        <v>132</v>
      </c>
      <c r="BS218" s="125">
        <v>5656</v>
      </c>
      <c r="BT218" s="125">
        <v>49</v>
      </c>
      <c r="BU218" s="125"/>
      <c r="BV218" s="125">
        <v>1</v>
      </c>
      <c r="BW218" s="125">
        <v>107</v>
      </c>
      <c r="BX218" s="125"/>
      <c r="BY218" s="125">
        <v>8</v>
      </c>
      <c r="BZ218" s="125">
        <v>0</v>
      </c>
      <c r="CA218" s="125">
        <v>19554</v>
      </c>
      <c r="CB218" s="125">
        <v>16911</v>
      </c>
      <c r="CC218" s="125">
        <v>113011</v>
      </c>
      <c r="CD218" s="125">
        <v>182279</v>
      </c>
      <c r="CE218" s="125">
        <v>22982</v>
      </c>
      <c r="CF218" s="125">
        <v>33798</v>
      </c>
      <c r="CG218" s="125">
        <v>0</v>
      </c>
      <c r="CH218" s="125">
        <v>30</v>
      </c>
      <c r="CI218" s="125">
        <v>4</v>
      </c>
      <c r="CJ218" s="125">
        <v>39</v>
      </c>
      <c r="CK218" s="125"/>
      <c r="CL218" s="125"/>
      <c r="CM218" s="125"/>
      <c r="CN218" s="125"/>
      <c r="CO218" s="125"/>
      <c r="CP218" s="125"/>
      <c r="CQ218" s="125"/>
      <c r="CR218" s="125"/>
      <c r="CS218" s="125"/>
      <c r="CT218" s="125"/>
      <c r="CU218" s="125"/>
      <c r="CV218" s="125"/>
      <c r="CW218" s="125"/>
      <c r="CX218" s="125"/>
      <c r="CY218" s="125">
        <v>1</v>
      </c>
      <c r="CZ218" s="125">
        <v>0</v>
      </c>
      <c r="DA218" s="125">
        <v>0</v>
      </c>
      <c r="DB218" s="125">
        <v>28</v>
      </c>
      <c r="DC218" s="125">
        <v>0</v>
      </c>
      <c r="DD218" s="125">
        <v>57</v>
      </c>
      <c r="DE218">
        <f t="shared" si="57"/>
        <v>738336</v>
      </c>
      <c r="DG218" s="1">
        <f t="shared" si="71"/>
        <v>473678</v>
      </c>
      <c r="DH218" s="1">
        <f t="shared" si="58"/>
        <v>219490</v>
      </c>
      <c r="DI218" s="127">
        <f t="shared" si="59"/>
        <v>693168</v>
      </c>
      <c r="DK218" s="1">
        <f t="shared" si="60"/>
        <v>61838</v>
      </c>
      <c r="DL218" s="1">
        <f t="shared" si="61"/>
        <v>118558</v>
      </c>
      <c r="DM218" s="1">
        <f t="shared" si="62"/>
        <v>10526</v>
      </c>
      <c r="DN218" s="1">
        <f t="shared" si="63"/>
        <v>28738</v>
      </c>
      <c r="DO218" s="1">
        <f t="shared" si="64"/>
        <v>338724</v>
      </c>
      <c r="DP218" s="1">
        <f t="shared" si="65"/>
        <v>58115</v>
      </c>
      <c r="DQ218" s="1">
        <f t="shared" si="72"/>
        <v>0</v>
      </c>
      <c r="DR218" s="1">
        <f t="shared" si="66"/>
        <v>17162</v>
      </c>
      <c r="DS218" s="1">
        <f t="shared" si="67"/>
        <v>12599</v>
      </c>
      <c r="DT218" s="1">
        <f t="shared" si="68"/>
        <v>13201</v>
      </c>
      <c r="DU218" s="1"/>
      <c r="DV218" s="1"/>
      <c r="DW218" s="1"/>
      <c r="DX218" s="1">
        <f t="shared" si="73"/>
        <v>659461</v>
      </c>
      <c r="DZ218" s="1">
        <f t="shared" si="74"/>
        <v>33798</v>
      </c>
      <c r="EA218" s="1">
        <f t="shared" si="69"/>
        <v>43673</v>
      </c>
      <c r="EC218" s="1">
        <f t="shared" si="75"/>
        <v>736932</v>
      </c>
      <c r="ED218" s="1">
        <f t="shared" si="70"/>
        <v>-1404</v>
      </c>
      <c r="EE218" s="1"/>
    </row>
    <row r="219" spans="1:135" x14ac:dyDescent="0.25">
      <c r="A219" s="128">
        <v>38869</v>
      </c>
      <c r="B219" s="129">
        <v>0</v>
      </c>
      <c r="C219" s="129">
        <v>6</v>
      </c>
      <c r="D219" s="129">
        <v>2422</v>
      </c>
      <c r="E219" s="129">
        <v>0</v>
      </c>
      <c r="F219" s="129">
        <v>362</v>
      </c>
      <c r="G219" s="129">
        <v>12105</v>
      </c>
      <c r="H219" s="129">
        <v>21605</v>
      </c>
      <c r="I219" s="129">
        <v>3198</v>
      </c>
      <c r="J219" s="129">
        <v>6417</v>
      </c>
      <c r="K219" s="129"/>
      <c r="L219" s="129">
        <v>30456</v>
      </c>
      <c r="M219" s="129">
        <v>2462</v>
      </c>
      <c r="N219" s="129"/>
      <c r="O219" s="129">
        <v>1699</v>
      </c>
      <c r="P219" s="129">
        <v>9088</v>
      </c>
      <c r="Q219" s="129">
        <v>497</v>
      </c>
      <c r="R219" s="129">
        <v>8876</v>
      </c>
      <c r="S219" s="129">
        <v>10526</v>
      </c>
      <c r="T219" s="129"/>
      <c r="U219" s="129"/>
      <c r="V219" s="129">
        <v>649</v>
      </c>
      <c r="W219" s="129">
        <v>8111</v>
      </c>
      <c r="X219" s="129">
        <v>383</v>
      </c>
      <c r="Y219" s="129">
        <v>8</v>
      </c>
      <c r="Z219" s="130"/>
      <c r="AA219" s="129">
        <v>6</v>
      </c>
      <c r="AB219" s="129">
        <v>38</v>
      </c>
      <c r="AC219" s="129">
        <v>13</v>
      </c>
      <c r="AD219" s="129">
        <v>23</v>
      </c>
      <c r="AE219" s="129">
        <v>41</v>
      </c>
      <c r="AF219" s="129">
        <v>55</v>
      </c>
      <c r="AG219" s="129"/>
      <c r="AH219" s="129"/>
      <c r="AI219" s="129">
        <v>4</v>
      </c>
      <c r="AJ219" s="129">
        <v>9010</v>
      </c>
      <c r="AK219" s="129">
        <v>93451</v>
      </c>
      <c r="AL219" s="129">
        <v>3217</v>
      </c>
      <c r="AM219" s="129">
        <v>14269</v>
      </c>
      <c r="AN219" s="129">
        <v>48</v>
      </c>
      <c r="AO219" s="129">
        <v>24</v>
      </c>
      <c r="AP219" s="129">
        <v>4691</v>
      </c>
      <c r="AQ219" s="129">
        <v>0</v>
      </c>
      <c r="AR219" s="129">
        <v>1960</v>
      </c>
      <c r="AS219" s="129">
        <v>1</v>
      </c>
      <c r="AT219" s="129">
        <v>3749</v>
      </c>
      <c r="AU219" s="129">
        <v>2085</v>
      </c>
      <c r="AV219" s="129">
        <v>3579</v>
      </c>
      <c r="AW219" s="129">
        <v>9699</v>
      </c>
      <c r="AX219" s="130"/>
      <c r="AY219" s="130"/>
      <c r="AZ219" s="130">
        <v>325</v>
      </c>
      <c r="BA219" s="130"/>
      <c r="BB219" s="129">
        <v>447</v>
      </c>
      <c r="BC219" s="129"/>
      <c r="BD219" s="129">
        <v>0</v>
      </c>
      <c r="BE219" s="129">
        <v>0</v>
      </c>
      <c r="BF219" s="129">
        <v>1030</v>
      </c>
      <c r="BG219" s="129">
        <v>0</v>
      </c>
      <c r="BH219" s="129">
        <v>0</v>
      </c>
      <c r="BI219" s="129">
        <v>7980</v>
      </c>
      <c r="BJ219" s="129">
        <v>41</v>
      </c>
      <c r="BK219" s="129">
        <v>4084</v>
      </c>
      <c r="BL219" s="129"/>
      <c r="BM219" s="129">
        <v>331</v>
      </c>
      <c r="BN219" s="129">
        <v>31</v>
      </c>
      <c r="BO219" s="129">
        <v>12599</v>
      </c>
      <c r="BP219" s="129">
        <v>51956</v>
      </c>
      <c r="BQ219" s="129">
        <v>693</v>
      </c>
      <c r="BR219" s="129">
        <v>126</v>
      </c>
      <c r="BS219" s="129">
        <v>5530</v>
      </c>
      <c r="BT219" s="129">
        <v>51</v>
      </c>
      <c r="BU219" s="129"/>
      <c r="BV219" s="129">
        <v>1</v>
      </c>
      <c r="BW219" s="129">
        <v>107</v>
      </c>
      <c r="BX219" s="129"/>
      <c r="BY219" s="129">
        <v>7</v>
      </c>
      <c r="BZ219" s="129">
        <v>0</v>
      </c>
      <c r="CA219" s="129">
        <v>19696</v>
      </c>
      <c r="CB219" s="129">
        <v>17133</v>
      </c>
      <c r="CC219" s="129">
        <v>112784</v>
      </c>
      <c r="CD219" s="129">
        <v>182018</v>
      </c>
      <c r="CE219" s="129">
        <v>23239</v>
      </c>
      <c r="CF219" s="129">
        <v>34175</v>
      </c>
      <c r="CG219" s="129">
        <v>0</v>
      </c>
      <c r="CH219" s="129">
        <v>29</v>
      </c>
      <c r="CI219" s="129">
        <v>4</v>
      </c>
      <c r="CJ219" s="129">
        <v>33</v>
      </c>
      <c r="CK219" s="129"/>
      <c r="CL219" s="129"/>
      <c r="CM219" s="129"/>
      <c r="CN219" s="129"/>
      <c r="CO219" s="129"/>
      <c r="CP219" s="129"/>
      <c r="CQ219" s="129"/>
      <c r="CR219" s="129"/>
      <c r="CS219" s="129"/>
      <c r="CT219" s="129"/>
      <c r="CU219" s="129"/>
      <c r="CV219" s="129"/>
      <c r="CW219" s="129"/>
      <c r="CX219" s="129"/>
      <c r="CY219" s="129">
        <v>1</v>
      </c>
      <c r="CZ219" s="129">
        <v>0</v>
      </c>
      <c r="DA219" s="129">
        <v>0</v>
      </c>
      <c r="DB219" s="129">
        <v>28</v>
      </c>
      <c r="DC219" s="129">
        <v>0</v>
      </c>
      <c r="DD219" s="129">
        <v>58</v>
      </c>
      <c r="DE219">
        <f t="shared" si="57"/>
        <v>739283</v>
      </c>
      <c r="DG219" s="1">
        <f t="shared" si="71"/>
        <v>475375</v>
      </c>
      <c r="DH219" s="1">
        <f t="shared" si="58"/>
        <v>220595</v>
      </c>
      <c r="DI219" s="127">
        <f>SUM(DG219:DH219)</f>
        <v>695970</v>
      </c>
      <c r="DJ219" s="131"/>
      <c r="DK219" s="1">
        <f t="shared" si="60"/>
        <v>61949</v>
      </c>
      <c r="DL219" s="1">
        <f t="shared" si="61"/>
        <v>118388</v>
      </c>
      <c r="DM219" s="1">
        <f t="shared" si="62"/>
        <v>10581</v>
      </c>
      <c r="DN219" s="1">
        <f t="shared" si="63"/>
        <v>29249</v>
      </c>
      <c r="DO219" s="1">
        <f t="shared" si="64"/>
        <v>339408</v>
      </c>
      <c r="DP219" s="1">
        <f t="shared" si="65"/>
        <v>57817</v>
      </c>
      <c r="DQ219" s="1">
        <f t="shared" si="72"/>
        <v>0</v>
      </c>
      <c r="DR219" s="1">
        <f t="shared" si="66"/>
        <v>17384</v>
      </c>
      <c r="DS219" s="1">
        <f t="shared" si="67"/>
        <v>12683</v>
      </c>
      <c r="DT219" s="1">
        <f t="shared" si="68"/>
        <v>13198</v>
      </c>
      <c r="DU219" s="1"/>
      <c r="DV219" s="1"/>
      <c r="DW219" s="1"/>
      <c r="DX219" s="1">
        <f t="shared" si="73"/>
        <v>660657</v>
      </c>
      <c r="DY219" s="131"/>
      <c r="DZ219" s="1">
        <f t="shared" si="74"/>
        <v>34175</v>
      </c>
      <c r="EA219" s="1">
        <f t="shared" si="69"/>
        <v>43687</v>
      </c>
      <c r="EC219" s="1">
        <f t="shared" si="75"/>
        <v>738519</v>
      </c>
      <c r="ED219" s="1">
        <f t="shared" si="70"/>
        <v>-764</v>
      </c>
      <c r="EE219" s="1"/>
    </row>
    <row r="220" spans="1:135" x14ac:dyDescent="0.25">
      <c r="A220" s="132">
        <v>38899</v>
      </c>
      <c r="B220" s="133">
        <v>2</v>
      </c>
      <c r="C220" s="133">
        <v>9</v>
      </c>
      <c r="D220" s="133">
        <v>3320</v>
      </c>
      <c r="E220" s="133">
        <v>0</v>
      </c>
      <c r="F220" s="133">
        <v>410</v>
      </c>
      <c r="G220" s="133">
        <v>12202</v>
      </c>
      <c r="H220" s="133">
        <v>21777</v>
      </c>
      <c r="I220" s="133">
        <v>3238</v>
      </c>
      <c r="J220" s="133">
        <v>6343</v>
      </c>
      <c r="K220" s="133"/>
      <c r="L220" s="133">
        <v>30507</v>
      </c>
      <c r="M220" s="133">
        <v>2441</v>
      </c>
      <c r="N220" s="133"/>
      <c r="O220" s="133">
        <v>1714</v>
      </c>
      <c r="P220" s="133">
        <v>9202</v>
      </c>
      <c r="Q220" s="133">
        <v>487</v>
      </c>
      <c r="R220" s="133">
        <v>8902</v>
      </c>
      <c r="S220" s="133">
        <v>10581</v>
      </c>
      <c r="T220" s="133"/>
      <c r="U220" s="133"/>
      <c r="V220" s="133">
        <v>628</v>
      </c>
      <c r="W220" s="133">
        <v>8068</v>
      </c>
      <c r="X220" s="133">
        <v>380</v>
      </c>
      <c r="Y220" s="133">
        <v>8</v>
      </c>
      <c r="Z220" s="134"/>
      <c r="AA220" s="133">
        <v>7</v>
      </c>
      <c r="AB220" s="133">
        <v>39</v>
      </c>
      <c r="AC220" s="133">
        <v>13</v>
      </c>
      <c r="AD220" s="133">
        <v>23</v>
      </c>
      <c r="AE220" s="133">
        <v>40</v>
      </c>
      <c r="AF220" s="133">
        <v>56</v>
      </c>
      <c r="AG220" s="133"/>
      <c r="AH220" s="133"/>
      <c r="AI220" s="133">
        <v>4</v>
      </c>
      <c r="AJ220" s="133">
        <v>8915</v>
      </c>
      <c r="AK220" s="133">
        <v>93915</v>
      </c>
      <c r="AL220" s="133">
        <v>3230</v>
      </c>
      <c r="AM220" s="133">
        <v>14467</v>
      </c>
      <c r="AN220" s="133">
        <v>51</v>
      </c>
      <c r="AO220" s="133">
        <v>20</v>
      </c>
      <c r="AP220" s="133">
        <v>4949</v>
      </c>
      <c r="AQ220" s="133">
        <v>0</v>
      </c>
      <c r="AR220" s="133">
        <v>1944</v>
      </c>
      <c r="AS220" s="133">
        <v>0</v>
      </c>
      <c r="AT220" s="133">
        <v>3808</v>
      </c>
      <c r="AU220" s="133">
        <v>2080</v>
      </c>
      <c r="AV220" s="133">
        <v>3602</v>
      </c>
      <c r="AW220" s="133">
        <v>9757</v>
      </c>
      <c r="AX220" s="134"/>
      <c r="AY220" s="134"/>
      <c r="AZ220" s="134">
        <v>326</v>
      </c>
      <c r="BA220" s="134"/>
      <c r="BB220" s="133">
        <v>431</v>
      </c>
      <c r="BC220" s="133"/>
      <c r="BD220" s="133">
        <v>0</v>
      </c>
      <c r="BE220" s="133">
        <v>0</v>
      </c>
      <c r="BF220" s="133">
        <v>1015</v>
      </c>
      <c r="BG220" s="133">
        <v>0</v>
      </c>
      <c r="BH220" s="133">
        <v>0</v>
      </c>
      <c r="BI220" s="133">
        <v>7956</v>
      </c>
      <c r="BJ220" s="133">
        <v>41</v>
      </c>
      <c r="BK220" s="133">
        <v>4121</v>
      </c>
      <c r="BL220" s="133"/>
      <c r="BM220" s="133">
        <v>303</v>
      </c>
      <c r="BN220" s="133">
        <v>32</v>
      </c>
      <c r="BO220" s="133">
        <v>12683</v>
      </c>
      <c r="BP220" s="133">
        <v>52012</v>
      </c>
      <c r="BQ220" s="133">
        <v>715</v>
      </c>
      <c r="BR220" s="133">
        <v>119</v>
      </c>
      <c r="BS220" s="133">
        <v>5597</v>
      </c>
      <c r="BT220" s="133">
        <v>62</v>
      </c>
      <c r="BU220" s="133"/>
      <c r="BV220" s="133">
        <v>1</v>
      </c>
      <c r="BW220" s="133">
        <v>106</v>
      </c>
      <c r="BX220" s="133"/>
      <c r="BY220" s="133">
        <v>11</v>
      </c>
      <c r="BZ220" s="133">
        <v>0</v>
      </c>
      <c r="CA220" s="133">
        <v>20011</v>
      </c>
      <c r="CB220" s="133">
        <v>17356</v>
      </c>
      <c r="CC220" s="133">
        <v>112963</v>
      </c>
      <c r="CD220" s="133">
        <v>181880</v>
      </c>
      <c r="CE220" s="133">
        <v>23533</v>
      </c>
      <c r="CF220" s="133">
        <v>34790</v>
      </c>
      <c r="CG220" s="133">
        <v>0</v>
      </c>
      <c r="CH220" s="133">
        <v>28</v>
      </c>
      <c r="CI220" s="133">
        <v>3</v>
      </c>
      <c r="CJ220" s="133">
        <v>37</v>
      </c>
      <c r="CK220" s="133"/>
      <c r="CL220" s="133"/>
      <c r="CM220" s="133"/>
      <c r="CN220" s="133"/>
      <c r="CO220" s="133"/>
      <c r="CP220" s="133"/>
      <c r="CQ220" s="133"/>
      <c r="CR220" s="133"/>
      <c r="CS220" s="133"/>
      <c r="CT220" s="133"/>
      <c r="CU220" s="133"/>
      <c r="CV220" s="133"/>
      <c r="CW220" s="133"/>
      <c r="CX220" s="133"/>
      <c r="CY220" s="133">
        <v>1</v>
      </c>
      <c r="CZ220" s="133">
        <v>0</v>
      </c>
      <c r="DA220" s="133">
        <v>0</v>
      </c>
      <c r="DB220" s="133">
        <v>28</v>
      </c>
      <c r="DC220" s="133">
        <v>0</v>
      </c>
      <c r="DD220" s="133">
        <v>59</v>
      </c>
      <c r="DE220">
        <f t="shared" si="57"/>
        <v>743271</v>
      </c>
      <c r="DG220" s="1">
        <f t="shared" si="71"/>
        <v>469954</v>
      </c>
      <c r="DH220" s="1">
        <f t="shared" si="58"/>
        <v>220644</v>
      </c>
      <c r="DI220" s="1">
        <f t="shared" ref="DI220:DI283" si="76">SUM(DG220:DH220)</f>
        <v>690598</v>
      </c>
      <c r="DK220" s="1">
        <f t="shared" si="60"/>
        <v>61710</v>
      </c>
      <c r="DL220" s="1">
        <f t="shared" si="61"/>
        <v>118816</v>
      </c>
      <c r="DM220" s="1">
        <f t="shared" si="62"/>
        <v>10556</v>
      </c>
      <c r="DN220" s="1">
        <f t="shared" si="63"/>
        <v>29528</v>
      </c>
      <c r="DO220" s="1">
        <f t="shared" si="64"/>
        <v>334908</v>
      </c>
      <c r="DP220" s="1">
        <f t="shared" si="65"/>
        <v>57912</v>
      </c>
      <c r="DQ220" s="1">
        <f t="shared" si="72"/>
        <v>0</v>
      </c>
      <c r="DR220" s="1">
        <f t="shared" si="66"/>
        <v>17099</v>
      </c>
      <c r="DS220" s="1">
        <f t="shared" si="67"/>
        <v>12684</v>
      </c>
      <c r="DT220" s="1">
        <f t="shared" si="68"/>
        <v>13180</v>
      </c>
      <c r="DU220" s="1"/>
      <c r="DV220" s="1"/>
      <c r="DW220" s="1"/>
      <c r="DX220" s="1">
        <f t="shared" si="73"/>
        <v>656393</v>
      </c>
      <c r="DZ220" s="1">
        <f t="shared" si="74"/>
        <v>34790</v>
      </c>
      <c r="EA220" s="1">
        <f t="shared" si="69"/>
        <v>43970</v>
      </c>
      <c r="EC220" s="1">
        <f t="shared" si="75"/>
        <v>735153</v>
      </c>
      <c r="ED220" s="1">
        <f t="shared" si="70"/>
        <v>-8118</v>
      </c>
      <c r="EE220" s="1"/>
    </row>
    <row r="221" spans="1:135" x14ac:dyDescent="0.25">
      <c r="A221" s="124">
        <v>38930</v>
      </c>
      <c r="B221" s="125">
        <v>2</v>
      </c>
      <c r="C221" s="125">
        <v>9</v>
      </c>
      <c r="D221" s="125">
        <v>4100</v>
      </c>
      <c r="E221" s="125">
        <v>0</v>
      </c>
      <c r="F221" s="125">
        <v>420</v>
      </c>
      <c r="G221" s="125">
        <v>12205</v>
      </c>
      <c r="H221" s="125">
        <v>21756</v>
      </c>
      <c r="I221" s="125">
        <v>3216</v>
      </c>
      <c r="J221" s="125">
        <v>6229</v>
      </c>
      <c r="K221" s="125"/>
      <c r="L221" s="125">
        <v>30413</v>
      </c>
      <c r="M221" s="125">
        <v>2424</v>
      </c>
      <c r="N221" s="125"/>
      <c r="O221" s="125">
        <v>1697</v>
      </c>
      <c r="P221" s="125">
        <v>9190</v>
      </c>
      <c r="Q221" s="125">
        <v>481</v>
      </c>
      <c r="R221" s="125">
        <v>8858</v>
      </c>
      <c r="S221" s="125">
        <v>10556</v>
      </c>
      <c r="T221" s="125"/>
      <c r="U221" s="125"/>
      <c r="V221" s="125">
        <v>621</v>
      </c>
      <c r="W221" s="125">
        <v>8026</v>
      </c>
      <c r="X221" s="125">
        <v>373</v>
      </c>
      <c r="Y221" s="125">
        <v>8</v>
      </c>
      <c r="Z221" s="126"/>
      <c r="AA221" s="125">
        <v>6</v>
      </c>
      <c r="AB221" s="125">
        <v>38</v>
      </c>
      <c r="AC221" s="125">
        <v>12</v>
      </c>
      <c r="AD221" s="125">
        <v>23</v>
      </c>
      <c r="AE221" s="125">
        <v>39</v>
      </c>
      <c r="AF221" s="125">
        <v>56</v>
      </c>
      <c r="AG221" s="125"/>
      <c r="AH221" s="125"/>
      <c r="AI221" s="125">
        <v>4</v>
      </c>
      <c r="AJ221" s="125">
        <v>8840</v>
      </c>
      <c r="AK221" s="125">
        <v>94018</v>
      </c>
      <c r="AL221" s="125">
        <v>3229</v>
      </c>
      <c r="AM221" s="125">
        <v>14526</v>
      </c>
      <c r="AN221" s="125">
        <v>46</v>
      </c>
      <c r="AO221" s="125">
        <v>20</v>
      </c>
      <c r="AP221" s="125">
        <v>5154</v>
      </c>
      <c r="AQ221" s="125">
        <v>0</v>
      </c>
      <c r="AR221" s="125">
        <v>1949</v>
      </c>
      <c r="AS221" s="125">
        <v>0</v>
      </c>
      <c r="AT221" s="125">
        <v>3827</v>
      </c>
      <c r="AU221" s="125">
        <v>2086</v>
      </c>
      <c r="AV221" s="125">
        <v>3594</v>
      </c>
      <c r="AW221" s="125">
        <v>9772</v>
      </c>
      <c r="AX221" s="126"/>
      <c r="AY221" s="126"/>
      <c r="AZ221" s="126">
        <v>325</v>
      </c>
      <c r="BA221" s="126"/>
      <c r="BB221" s="125">
        <v>433</v>
      </c>
      <c r="BC221" s="125"/>
      <c r="BD221" s="125">
        <v>0</v>
      </c>
      <c r="BE221" s="125">
        <v>0</v>
      </c>
      <c r="BF221" s="125">
        <v>1003</v>
      </c>
      <c r="BG221" s="125">
        <v>0</v>
      </c>
      <c r="BH221" s="125">
        <v>0</v>
      </c>
      <c r="BI221" s="125">
        <v>7968</v>
      </c>
      <c r="BJ221" s="125">
        <v>32</v>
      </c>
      <c r="BK221" s="125">
        <v>4100</v>
      </c>
      <c r="BL221" s="125"/>
      <c r="BM221" s="125">
        <v>262</v>
      </c>
      <c r="BN221" s="125">
        <v>32</v>
      </c>
      <c r="BO221" s="125">
        <v>12684</v>
      </c>
      <c r="BP221" s="125">
        <v>51705</v>
      </c>
      <c r="BQ221" s="125">
        <v>730</v>
      </c>
      <c r="BR221" s="125">
        <v>122</v>
      </c>
      <c r="BS221" s="125">
        <v>5481</v>
      </c>
      <c r="BT221" s="125">
        <v>57</v>
      </c>
      <c r="BU221" s="125"/>
      <c r="BV221" s="125">
        <v>1</v>
      </c>
      <c r="BW221" s="125">
        <v>109</v>
      </c>
      <c r="BX221" s="125"/>
      <c r="BY221" s="125">
        <v>14</v>
      </c>
      <c r="BZ221" s="125">
        <v>0</v>
      </c>
      <c r="CA221" s="125">
        <v>19724</v>
      </c>
      <c r="CB221" s="125">
        <v>17074</v>
      </c>
      <c r="CC221" s="125">
        <v>110942</v>
      </c>
      <c r="CD221" s="125">
        <v>179795</v>
      </c>
      <c r="CE221" s="125">
        <v>23419</v>
      </c>
      <c r="CF221" s="125">
        <v>34635</v>
      </c>
      <c r="CG221" s="125">
        <v>0</v>
      </c>
      <c r="CH221" s="125">
        <v>25</v>
      </c>
      <c r="CI221" s="125">
        <v>3</v>
      </c>
      <c r="CJ221" s="125">
        <v>37</v>
      </c>
      <c r="CK221" s="125"/>
      <c r="CL221" s="125"/>
      <c r="CM221" s="125"/>
      <c r="CN221" s="125"/>
      <c r="CO221" s="125"/>
      <c r="CP221" s="125"/>
      <c r="CQ221" s="125"/>
      <c r="CR221" s="125"/>
      <c r="CS221" s="125"/>
      <c r="CT221" s="125"/>
      <c r="CU221" s="125"/>
      <c r="CV221" s="125"/>
      <c r="CW221" s="125"/>
      <c r="CX221" s="125"/>
      <c r="CY221" s="125">
        <v>1</v>
      </c>
      <c r="CZ221" s="125">
        <v>0</v>
      </c>
      <c r="DA221" s="125">
        <v>0</v>
      </c>
      <c r="DB221" s="125">
        <v>27</v>
      </c>
      <c r="DC221" s="125">
        <v>0</v>
      </c>
      <c r="DD221" s="125">
        <v>60</v>
      </c>
      <c r="DE221">
        <f t="shared" si="57"/>
        <v>738535</v>
      </c>
      <c r="DG221" s="1">
        <f t="shared" si="71"/>
        <v>466629</v>
      </c>
      <c r="DH221" s="1">
        <f t="shared" si="58"/>
        <v>221264</v>
      </c>
      <c r="DI221" s="1">
        <f t="shared" si="76"/>
        <v>687893</v>
      </c>
      <c r="DK221" s="1">
        <f t="shared" si="60"/>
        <v>61728</v>
      </c>
      <c r="DL221" s="1">
        <f t="shared" si="61"/>
        <v>118850</v>
      </c>
      <c r="DM221" s="1">
        <f t="shared" si="62"/>
        <v>10555</v>
      </c>
      <c r="DN221" s="1">
        <f t="shared" si="63"/>
        <v>29890</v>
      </c>
      <c r="DO221" s="1">
        <f t="shared" si="64"/>
        <v>331398</v>
      </c>
      <c r="DP221" s="1">
        <f t="shared" si="65"/>
        <v>57448</v>
      </c>
      <c r="DQ221" s="1">
        <f t="shared" si="72"/>
        <v>0</v>
      </c>
      <c r="DR221" s="1">
        <f t="shared" si="66"/>
        <v>17580</v>
      </c>
      <c r="DS221" s="1">
        <f t="shared" si="67"/>
        <v>12736</v>
      </c>
      <c r="DT221" s="1">
        <f t="shared" si="68"/>
        <v>13124</v>
      </c>
      <c r="DU221" s="1"/>
      <c r="DV221" s="1"/>
      <c r="DW221" s="1"/>
      <c r="DX221" s="1">
        <f t="shared" si="73"/>
        <v>653309</v>
      </c>
      <c r="DZ221" s="1">
        <f t="shared" si="74"/>
        <v>34635</v>
      </c>
      <c r="EA221" s="1">
        <f t="shared" si="69"/>
        <v>43826</v>
      </c>
      <c r="EC221" s="1">
        <f t="shared" si="75"/>
        <v>731770</v>
      </c>
      <c r="ED221" s="1">
        <f t="shared" si="70"/>
        <v>-6765</v>
      </c>
      <c r="EE221" s="1"/>
    </row>
    <row r="222" spans="1:135" s="131" customFormat="1" x14ac:dyDescent="0.25">
      <c r="A222" s="124">
        <v>38961</v>
      </c>
      <c r="B222" s="125">
        <v>2</v>
      </c>
      <c r="C222" s="125">
        <v>14</v>
      </c>
      <c r="D222" s="125">
        <v>4976</v>
      </c>
      <c r="E222" s="125">
        <v>0</v>
      </c>
      <c r="F222" s="125">
        <v>443</v>
      </c>
      <c r="G222" s="125">
        <v>12237</v>
      </c>
      <c r="H222" s="125">
        <v>21603</v>
      </c>
      <c r="I222" s="125">
        <v>3362</v>
      </c>
      <c r="J222" s="125">
        <v>6387</v>
      </c>
      <c r="K222" s="125"/>
      <c r="L222" s="125">
        <v>30387</v>
      </c>
      <c r="M222" s="125">
        <v>2393</v>
      </c>
      <c r="N222" s="125"/>
      <c r="O222" s="125">
        <v>1710</v>
      </c>
      <c r="P222" s="125">
        <v>9258</v>
      </c>
      <c r="Q222" s="125">
        <v>481</v>
      </c>
      <c r="R222" s="125">
        <v>8902</v>
      </c>
      <c r="S222" s="125">
        <v>10555</v>
      </c>
      <c r="T222" s="125"/>
      <c r="U222" s="125"/>
      <c r="V222" s="125">
        <v>612</v>
      </c>
      <c r="W222" s="125">
        <v>7985</v>
      </c>
      <c r="X222" s="125">
        <v>370</v>
      </c>
      <c r="Y222" s="125">
        <v>8</v>
      </c>
      <c r="Z222" s="126"/>
      <c r="AA222" s="125">
        <v>7</v>
      </c>
      <c r="AB222" s="125">
        <v>40</v>
      </c>
      <c r="AC222" s="125">
        <v>12</v>
      </c>
      <c r="AD222" s="125">
        <v>23</v>
      </c>
      <c r="AE222" s="125">
        <v>40</v>
      </c>
      <c r="AF222" s="125">
        <v>55</v>
      </c>
      <c r="AG222" s="125"/>
      <c r="AH222" s="125"/>
      <c r="AI222" s="125">
        <v>5</v>
      </c>
      <c r="AJ222" s="125">
        <v>8791</v>
      </c>
      <c r="AK222" s="125">
        <v>94255</v>
      </c>
      <c r="AL222" s="125">
        <v>3220</v>
      </c>
      <c r="AM222" s="125">
        <v>14612</v>
      </c>
      <c r="AN222" s="125">
        <v>45</v>
      </c>
      <c r="AO222" s="125">
        <v>21</v>
      </c>
      <c r="AP222" s="125">
        <v>5379</v>
      </c>
      <c r="AQ222" s="125">
        <v>0</v>
      </c>
      <c r="AR222" s="125">
        <v>1969</v>
      </c>
      <c r="AS222" s="125">
        <v>0</v>
      </c>
      <c r="AT222" s="125">
        <v>3852</v>
      </c>
      <c r="AU222" s="125">
        <v>2083</v>
      </c>
      <c r="AV222" s="125">
        <v>3613</v>
      </c>
      <c r="AW222" s="125">
        <v>9823</v>
      </c>
      <c r="AX222" s="126"/>
      <c r="AY222" s="126"/>
      <c r="AZ222" s="126">
        <v>335</v>
      </c>
      <c r="BA222" s="126"/>
      <c r="BB222" s="125">
        <v>423</v>
      </c>
      <c r="BC222" s="125"/>
      <c r="BD222" s="125">
        <v>0</v>
      </c>
      <c r="BE222" s="125">
        <v>0</v>
      </c>
      <c r="BF222" s="125">
        <v>997</v>
      </c>
      <c r="BG222" s="125">
        <v>0</v>
      </c>
      <c r="BH222" s="125">
        <v>0</v>
      </c>
      <c r="BI222" s="125">
        <v>7946</v>
      </c>
      <c r="BJ222" s="125">
        <v>38</v>
      </c>
      <c r="BK222" s="125">
        <v>4071</v>
      </c>
      <c r="BL222" s="125"/>
      <c r="BM222" s="125">
        <v>314</v>
      </c>
      <c r="BN222" s="125">
        <v>34</v>
      </c>
      <c r="BO222" s="125">
        <v>12736</v>
      </c>
      <c r="BP222" s="125">
        <v>51706</v>
      </c>
      <c r="BQ222" s="125">
        <v>757</v>
      </c>
      <c r="BR222" s="125">
        <v>124</v>
      </c>
      <c r="BS222" s="125">
        <v>5339</v>
      </c>
      <c r="BT222" s="125">
        <v>65</v>
      </c>
      <c r="BU222" s="125"/>
      <c r="BV222" s="125">
        <v>1</v>
      </c>
      <c r="BW222" s="125">
        <v>110</v>
      </c>
      <c r="BX222" s="125"/>
      <c r="BY222" s="125">
        <v>11</v>
      </c>
      <c r="BZ222" s="125">
        <v>0</v>
      </c>
      <c r="CA222" s="125">
        <v>19615</v>
      </c>
      <c r="CB222" s="125">
        <v>17559</v>
      </c>
      <c r="CC222" s="125">
        <v>109656</v>
      </c>
      <c r="CD222" s="125">
        <v>177256</v>
      </c>
      <c r="CE222" s="125">
        <v>23796</v>
      </c>
      <c r="CF222" s="125">
        <v>34432</v>
      </c>
      <c r="CG222" s="125">
        <v>0</v>
      </c>
      <c r="CH222" s="125">
        <v>21</v>
      </c>
      <c r="CI222" s="125">
        <v>4</v>
      </c>
      <c r="CJ222" s="125">
        <v>41</v>
      </c>
      <c r="CK222" s="125"/>
      <c r="CL222" s="125"/>
      <c r="CM222" s="125"/>
      <c r="CN222" s="125"/>
      <c r="CO222" s="125"/>
      <c r="CP222" s="125"/>
      <c r="CQ222" s="125"/>
      <c r="CR222" s="125"/>
      <c r="CS222" s="125"/>
      <c r="CT222" s="125"/>
      <c r="CU222" s="125"/>
      <c r="CV222" s="125"/>
      <c r="CW222" s="125"/>
      <c r="CX222" s="125"/>
      <c r="CY222" s="125">
        <v>1</v>
      </c>
      <c r="CZ222" s="125">
        <v>0</v>
      </c>
      <c r="DA222" s="125">
        <v>0</v>
      </c>
      <c r="DB222" s="125">
        <v>27</v>
      </c>
      <c r="DC222" s="125">
        <v>0</v>
      </c>
      <c r="DD222" s="125">
        <v>61</v>
      </c>
      <c r="DE222">
        <f t="shared" si="57"/>
        <v>736917</v>
      </c>
      <c r="DF222"/>
      <c r="DG222" s="1">
        <f t="shared" si="71"/>
        <v>465237</v>
      </c>
      <c r="DH222" s="1">
        <f t="shared" si="58"/>
        <v>221961</v>
      </c>
      <c r="DI222" s="1">
        <f t="shared" si="76"/>
        <v>687198</v>
      </c>
      <c r="DJ222"/>
      <c r="DK222" s="1">
        <f t="shared" si="60"/>
        <v>61659</v>
      </c>
      <c r="DL222" s="1">
        <f t="shared" si="61"/>
        <v>119091</v>
      </c>
      <c r="DM222" s="1">
        <f t="shared" si="62"/>
        <v>10534</v>
      </c>
      <c r="DN222" s="1">
        <f t="shared" si="63"/>
        <v>30295</v>
      </c>
      <c r="DO222" s="1">
        <f t="shared" si="64"/>
        <v>330066</v>
      </c>
      <c r="DP222" s="1">
        <f t="shared" si="65"/>
        <v>57359</v>
      </c>
      <c r="DQ222" s="1">
        <f t="shared" si="72"/>
        <v>0</v>
      </c>
      <c r="DR222" s="1">
        <f t="shared" si="66"/>
        <v>17593</v>
      </c>
      <c r="DS222" s="1">
        <f t="shared" si="67"/>
        <v>12680</v>
      </c>
      <c r="DT222" s="1">
        <f t="shared" si="68"/>
        <v>13219</v>
      </c>
      <c r="DU222" s="1"/>
      <c r="DV222" s="1"/>
      <c r="DW222" s="1"/>
      <c r="DX222" s="1">
        <f t="shared" si="73"/>
        <v>652496</v>
      </c>
      <c r="DY222"/>
      <c r="DZ222" s="1">
        <f t="shared" si="74"/>
        <v>34432</v>
      </c>
      <c r="EA222" s="1">
        <f t="shared" si="69"/>
        <v>44032</v>
      </c>
      <c r="EB222"/>
      <c r="EC222" s="1">
        <f t="shared" si="75"/>
        <v>730960</v>
      </c>
      <c r="ED222" s="1">
        <f t="shared" si="70"/>
        <v>-5957</v>
      </c>
      <c r="EE222" s="1"/>
    </row>
    <row r="223" spans="1:135" x14ac:dyDescent="0.25">
      <c r="A223" s="124">
        <v>38991</v>
      </c>
      <c r="B223" s="125">
        <v>1</v>
      </c>
      <c r="C223" s="125">
        <v>15</v>
      </c>
      <c r="D223" s="125">
        <v>5797</v>
      </c>
      <c r="E223" s="125">
        <v>1</v>
      </c>
      <c r="F223" s="125">
        <v>472</v>
      </c>
      <c r="G223" s="125">
        <v>12352</v>
      </c>
      <c r="H223" s="125">
        <v>21649</v>
      </c>
      <c r="I223" s="125">
        <v>3441</v>
      </c>
      <c r="J223" s="125">
        <v>6416</v>
      </c>
      <c r="K223" s="125"/>
      <c r="L223" s="125">
        <v>30337</v>
      </c>
      <c r="M223" s="125">
        <v>2377</v>
      </c>
      <c r="N223" s="125"/>
      <c r="O223" s="125">
        <v>1714</v>
      </c>
      <c r="P223" s="125">
        <v>9323</v>
      </c>
      <c r="Q223" s="125">
        <v>480</v>
      </c>
      <c r="R223" s="125">
        <v>8909</v>
      </c>
      <c r="S223" s="125">
        <v>10534</v>
      </c>
      <c r="T223" s="125"/>
      <c r="U223" s="125"/>
      <c r="V223" s="125">
        <v>600</v>
      </c>
      <c r="W223" s="125">
        <v>7919</v>
      </c>
      <c r="X223" s="125">
        <v>368</v>
      </c>
      <c r="Y223" s="125">
        <v>7</v>
      </c>
      <c r="Z223" s="126"/>
      <c r="AA223" s="125">
        <v>7</v>
      </c>
      <c r="AB223" s="125">
        <v>41</v>
      </c>
      <c r="AC223" s="125">
        <v>12</v>
      </c>
      <c r="AD223" s="125">
        <v>23</v>
      </c>
      <c r="AE223" s="125">
        <v>40</v>
      </c>
      <c r="AF223" s="125">
        <v>53</v>
      </c>
      <c r="AG223" s="125"/>
      <c r="AH223" s="125"/>
      <c r="AI223" s="125">
        <v>4</v>
      </c>
      <c r="AJ223" s="125">
        <v>8700</v>
      </c>
      <c r="AK223" s="125">
        <v>94656</v>
      </c>
      <c r="AL223" s="125">
        <v>3218</v>
      </c>
      <c r="AM223" s="125">
        <v>14752</v>
      </c>
      <c r="AN223" s="125">
        <v>44</v>
      </c>
      <c r="AO223" s="125">
        <v>22</v>
      </c>
      <c r="AP223" s="125">
        <v>5566</v>
      </c>
      <c r="AQ223" s="125">
        <v>0</v>
      </c>
      <c r="AR223" s="125">
        <v>1966</v>
      </c>
      <c r="AS223" s="125">
        <v>0</v>
      </c>
      <c r="AT223" s="125">
        <v>3899</v>
      </c>
      <c r="AU223" s="125">
        <v>2085</v>
      </c>
      <c r="AV223" s="125">
        <v>3623</v>
      </c>
      <c r="AW223" s="125">
        <v>9902</v>
      </c>
      <c r="AX223" s="126"/>
      <c r="AY223" s="126"/>
      <c r="AZ223" s="126">
        <v>352</v>
      </c>
      <c r="BA223" s="126"/>
      <c r="BB223" s="125">
        <v>428</v>
      </c>
      <c r="BC223" s="125"/>
      <c r="BD223" s="125">
        <v>0</v>
      </c>
      <c r="BE223" s="125">
        <v>0</v>
      </c>
      <c r="BF223" s="125">
        <v>1014</v>
      </c>
      <c r="BG223" s="125">
        <v>0</v>
      </c>
      <c r="BH223" s="125">
        <v>0</v>
      </c>
      <c r="BI223" s="125">
        <v>7958</v>
      </c>
      <c r="BJ223" s="125">
        <v>39</v>
      </c>
      <c r="BK223" s="125">
        <v>4138</v>
      </c>
      <c r="BL223" s="125"/>
      <c r="BM223" s="125">
        <v>329</v>
      </c>
      <c r="BN223" s="125">
        <v>35</v>
      </c>
      <c r="BO223" s="125">
        <v>12680</v>
      </c>
      <c r="BP223" s="125">
        <v>51515</v>
      </c>
      <c r="BQ223" s="125">
        <v>745</v>
      </c>
      <c r="BR223" s="125">
        <v>127</v>
      </c>
      <c r="BS223" s="125">
        <v>5280</v>
      </c>
      <c r="BT223" s="125">
        <v>71</v>
      </c>
      <c r="BU223" s="125"/>
      <c r="BV223" s="125">
        <v>2</v>
      </c>
      <c r="BW223" s="125">
        <v>109</v>
      </c>
      <c r="BX223" s="125"/>
      <c r="BY223" s="125">
        <v>8</v>
      </c>
      <c r="BZ223" s="125">
        <v>0</v>
      </c>
      <c r="CA223" s="125">
        <v>19684</v>
      </c>
      <c r="CB223" s="125">
        <v>17573</v>
      </c>
      <c r="CC223" s="125">
        <v>109228</v>
      </c>
      <c r="CD223" s="125">
        <v>176326</v>
      </c>
      <c r="CE223" s="125">
        <v>23754</v>
      </c>
      <c r="CF223" s="125">
        <v>34555</v>
      </c>
      <c r="CG223" s="125">
        <v>0</v>
      </c>
      <c r="CH223" s="125">
        <v>20</v>
      </c>
      <c r="CI223" s="125">
        <v>3</v>
      </c>
      <c r="CJ223" s="125">
        <v>44</v>
      </c>
      <c r="CK223" s="125"/>
      <c r="CL223" s="125"/>
      <c r="CM223" s="125"/>
      <c r="CN223" s="125"/>
      <c r="CO223" s="125"/>
      <c r="CP223" s="125"/>
      <c r="CQ223" s="125"/>
      <c r="CR223" s="125"/>
      <c r="CS223" s="125"/>
      <c r="CT223" s="125"/>
      <c r="CU223" s="125"/>
      <c r="CV223" s="125"/>
      <c r="CW223" s="125"/>
      <c r="CX223" s="125"/>
      <c r="CY223" s="125">
        <v>1</v>
      </c>
      <c r="CZ223" s="125">
        <v>0</v>
      </c>
      <c r="DA223" s="125">
        <v>0</v>
      </c>
      <c r="DB223" s="125">
        <v>27</v>
      </c>
      <c r="DC223" s="125">
        <v>0</v>
      </c>
      <c r="DD223" s="125">
        <v>60</v>
      </c>
      <c r="DE223">
        <f t="shared" si="57"/>
        <v>737342</v>
      </c>
      <c r="DG223" s="1">
        <f t="shared" si="71"/>
        <v>463854</v>
      </c>
      <c r="DH223" s="1">
        <f t="shared" si="58"/>
        <v>222675</v>
      </c>
      <c r="DI223" s="1">
        <f t="shared" si="76"/>
        <v>686529</v>
      </c>
      <c r="DK223" s="1">
        <f t="shared" si="60"/>
        <v>61598</v>
      </c>
      <c r="DL223" s="1">
        <f t="shared" si="61"/>
        <v>119473</v>
      </c>
      <c r="DM223" s="1">
        <f t="shared" si="62"/>
        <v>10513</v>
      </c>
      <c r="DN223" s="1">
        <f t="shared" si="63"/>
        <v>30701</v>
      </c>
      <c r="DO223" s="1">
        <f t="shared" si="64"/>
        <v>328739</v>
      </c>
      <c r="DP223" s="1">
        <f t="shared" si="65"/>
        <v>57124</v>
      </c>
      <c r="DQ223" s="1">
        <f t="shared" si="72"/>
        <v>0</v>
      </c>
      <c r="DR223" s="1">
        <f t="shared" si="66"/>
        <v>17607</v>
      </c>
      <c r="DS223" s="1">
        <f t="shared" si="67"/>
        <v>12624</v>
      </c>
      <c r="DT223" s="1">
        <f t="shared" si="68"/>
        <v>13316</v>
      </c>
      <c r="DU223" s="1"/>
      <c r="DV223" s="1"/>
      <c r="DW223" s="1"/>
      <c r="DX223" s="1">
        <f t="shared" si="73"/>
        <v>651695</v>
      </c>
      <c r="DZ223" s="1">
        <f t="shared" si="74"/>
        <v>34555</v>
      </c>
      <c r="EA223" s="1">
        <f t="shared" si="69"/>
        <v>44330</v>
      </c>
      <c r="EC223" s="1">
        <f t="shared" si="75"/>
        <v>730580</v>
      </c>
      <c r="ED223" s="1">
        <f t="shared" si="70"/>
        <v>-6762</v>
      </c>
      <c r="EE223" s="1"/>
    </row>
    <row r="224" spans="1:135" x14ac:dyDescent="0.25">
      <c r="A224" s="124">
        <v>39022</v>
      </c>
      <c r="B224" s="125">
        <v>0</v>
      </c>
      <c r="C224" s="125">
        <v>17</v>
      </c>
      <c r="D224" s="125">
        <v>6619</v>
      </c>
      <c r="E224" s="125">
        <v>1</v>
      </c>
      <c r="F224" s="125">
        <v>501</v>
      </c>
      <c r="G224" s="125">
        <v>12467</v>
      </c>
      <c r="H224" s="125">
        <v>21696</v>
      </c>
      <c r="I224" s="125">
        <v>3521</v>
      </c>
      <c r="J224" s="125">
        <v>6446</v>
      </c>
      <c r="K224" s="125"/>
      <c r="L224" s="125">
        <v>30288</v>
      </c>
      <c r="M224" s="125">
        <v>2362</v>
      </c>
      <c r="N224" s="125"/>
      <c r="O224" s="125">
        <v>1719</v>
      </c>
      <c r="P224" s="125">
        <v>9389</v>
      </c>
      <c r="Q224" s="125">
        <v>480</v>
      </c>
      <c r="R224" s="125">
        <v>8917</v>
      </c>
      <c r="S224" s="125">
        <v>10513</v>
      </c>
      <c r="T224" s="125"/>
      <c r="U224" s="125"/>
      <c r="V224" s="125">
        <v>589</v>
      </c>
      <c r="W224" s="125">
        <v>7854</v>
      </c>
      <c r="X224" s="125">
        <v>366</v>
      </c>
      <c r="Y224" s="125">
        <v>7</v>
      </c>
      <c r="Z224" s="126"/>
      <c r="AA224" s="125">
        <v>8</v>
      </c>
      <c r="AB224" s="125">
        <v>42</v>
      </c>
      <c r="AC224" s="125">
        <v>12</v>
      </c>
      <c r="AD224" s="125">
        <v>23</v>
      </c>
      <c r="AE224" s="125">
        <v>41</v>
      </c>
      <c r="AF224" s="125">
        <v>51</v>
      </c>
      <c r="AG224" s="125"/>
      <c r="AH224" s="125"/>
      <c r="AI224" s="125">
        <v>4</v>
      </c>
      <c r="AJ224" s="125">
        <v>8609</v>
      </c>
      <c r="AK224" s="125">
        <v>95057</v>
      </c>
      <c r="AL224" s="125">
        <v>3216</v>
      </c>
      <c r="AM224" s="125">
        <v>14892</v>
      </c>
      <c r="AN224" s="125">
        <v>43</v>
      </c>
      <c r="AO224" s="125">
        <v>24</v>
      </c>
      <c r="AP224" s="125">
        <v>5753</v>
      </c>
      <c r="AQ224" s="125">
        <v>0</v>
      </c>
      <c r="AR224" s="125">
        <v>1963</v>
      </c>
      <c r="AS224" s="125">
        <v>0</v>
      </c>
      <c r="AT224" s="125">
        <v>3947</v>
      </c>
      <c r="AU224" s="125">
        <v>2088</v>
      </c>
      <c r="AV224" s="125">
        <v>3634</v>
      </c>
      <c r="AW224" s="125">
        <v>9981</v>
      </c>
      <c r="AX224" s="126"/>
      <c r="AY224" s="126"/>
      <c r="AZ224" s="126">
        <v>369</v>
      </c>
      <c r="BA224" s="126"/>
      <c r="BB224" s="125">
        <v>434</v>
      </c>
      <c r="BC224" s="125"/>
      <c r="BD224" s="125">
        <v>0</v>
      </c>
      <c r="BE224" s="125">
        <v>0</v>
      </c>
      <c r="BF224" s="125">
        <v>1031</v>
      </c>
      <c r="BG224" s="125">
        <v>0</v>
      </c>
      <c r="BH224" s="125">
        <v>0</v>
      </c>
      <c r="BI224" s="125">
        <v>7970</v>
      </c>
      <c r="BJ224" s="125">
        <v>40</v>
      </c>
      <c r="BK224" s="125">
        <v>4206</v>
      </c>
      <c r="BL224" s="125"/>
      <c r="BM224" s="125">
        <v>344</v>
      </c>
      <c r="BN224" s="125">
        <v>37</v>
      </c>
      <c r="BO224" s="125">
        <v>12624</v>
      </c>
      <c r="BP224" s="125">
        <v>51325</v>
      </c>
      <c r="BQ224" s="125">
        <v>734</v>
      </c>
      <c r="BR224" s="125">
        <v>130</v>
      </c>
      <c r="BS224" s="125">
        <v>5221</v>
      </c>
      <c r="BT224" s="125">
        <v>77</v>
      </c>
      <c r="BU224" s="125"/>
      <c r="BV224" s="125">
        <v>3</v>
      </c>
      <c r="BW224" s="125">
        <v>109</v>
      </c>
      <c r="BX224" s="125"/>
      <c r="BY224" s="125">
        <v>6</v>
      </c>
      <c r="BZ224" s="125">
        <v>0</v>
      </c>
      <c r="CA224" s="125">
        <v>19753</v>
      </c>
      <c r="CB224" s="125">
        <v>17587</v>
      </c>
      <c r="CC224" s="125">
        <v>108800</v>
      </c>
      <c r="CD224" s="125">
        <v>175396</v>
      </c>
      <c r="CE224" s="125">
        <v>23712</v>
      </c>
      <c r="CF224" s="125">
        <v>34678</v>
      </c>
      <c r="CG224" s="125">
        <v>0</v>
      </c>
      <c r="CH224" s="125">
        <v>20</v>
      </c>
      <c r="CI224" s="125">
        <v>3</v>
      </c>
      <c r="CJ224" s="125">
        <v>48</v>
      </c>
      <c r="CK224" s="125"/>
      <c r="CL224" s="125"/>
      <c r="CM224" s="125"/>
      <c r="CN224" s="125"/>
      <c r="CO224" s="125"/>
      <c r="CP224" s="125"/>
      <c r="CQ224" s="125"/>
      <c r="CR224" s="125"/>
      <c r="CS224" s="125"/>
      <c r="CT224" s="125"/>
      <c r="CU224" s="125"/>
      <c r="CV224" s="125"/>
      <c r="CW224" s="125"/>
      <c r="CX224" s="125"/>
      <c r="CY224" s="125">
        <v>1</v>
      </c>
      <c r="CZ224" s="125">
        <v>0</v>
      </c>
      <c r="DA224" s="125">
        <v>0</v>
      </c>
      <c r="DB224" s="125">
        <v>27</v>
      </c>
      <c r="DC224" s="125">
        <v>0</v>
      </c>
      <c r="DD224" s="125">
        <v>60</v>
      </c>
      <c r="DE224">
        <f t="shared" si="57"/>
        <v>737797</v>
      </c>
      <c r="DG224" s="1">
        <f t="shared" si="71"/>
        <v>461029</v>
      </c>
      <c r="DH224" s="1">
        <f t="shared" si="58"/>
        <v>222586</v>
      </c>
      <c r="DI224" s="1">
        <f t="shared" si="76"/>
        <v>683615</v>
      </c>
      <c r="DK224" s="1">
        <f t="shared" si="60"/>
        <v>61201</v>
      </c>
      <c r="DL224" s="1">
        <f t="shared" si="61"/>
        <v>119863</v>
      </c>
      <c r="DM224" s="1">
        <f t="shared" si="62"/>
        <v>10499</v>
      </c>
      <c r="DN224" s="1">
        <f t="shared" si="63"/>
        <v>31098</v>
      </c>
      <c r="DO224" s="1">
        <f t="shared" si="64"/>
        <v>327593</v>
      </c>
      <c r="DP224" s="1">
        <f t="shared" si="65"/>
        <v>56890</v>
      </c>
      <c r="DQ224" s="1">
        <f t="shared" si="72"/>
        <v>0</v>
      </c>
      <c r="DR224" s="1">
        <f t="shared" si="66"/>
        <v>16953</v>
      </c>
      <c r="DS224" s="1">
        <f t="shared" si="67"/>
        <v>11960</v>
      </c>
      <c r="DT224" s="1">
        <f t="shared" si="68"/>
        <v>13317</v>
      </c>
      <c r="DU224" s="1"/>
      <c r="DV224" s="1"/>
      <c r="DW224" s="1"/>
      <c r="DX224" s="1">
        <f t="shared" si="73"/>
        <v>649374</v>
      </c>
      <c r="DZ224" s="1">
        <f t="shared" si="74"/>
        <v>34678</v>
      </c>
      <c r="EA224" s="1">
        <f t="shared" si="69"/>
        <v>44631</v>
      </c>
      <c r="EC224" s="1">
        <f t="shared" si="75"/>
        <v>728683</v>
      </c>
      <c r="ED224" s="1">
        <f t="shared" si="70"/>
        <v>-9114</v>
      </c>
      <c r="EE224" s="1"/>
    </row>
    <row r="225" spans="1:135" x14ac:dyDescent="0.25">
      <c r="A225" s="124">
        <v>39052</v>
      </c>
      <c r="B225" s="125">
        <v>0</v>
      </c>
      <c r="C225" s="125">
        <v>13</v>
      </c>
      <c r="D225" s="125">
        <v>6043</v>
      </c>
      <c r="E225" s="125">
        <v>2</v>
      </c>
      <c r="F225" s="125">
        <v>533</v>
      </c>
      <c r="G225" s="125">
        <v>12484</v>
      </c>
      <c r="H225" s="125">
        <v>21955</v>
      </c>
      <c r="I225" s="125">
        <v>3624</v>
      </c>
      <c r="J225" s="125">
        <v>6554</v>
      </c>
      <c r="K225" s="125"/>
      <c r="L225" s="125">
        <v>30133</v>
      </c>
      <c r="M225" s="125">
        <v>2349</v>
      </c>
      <c r="N225" s="125"/>
      <c r="O225" s="125">
        <v>1676</v>
      </c>
      <c r="P225" s="125">
        <v>9332</v>
      </c>
      <c r="Q225" s="125">
        <v>475</v>
      </c>
      <c r="R225" s="125">
        <v>8839</v>
      </c>
      <c r="S225" s="125">
        <v>10499</v>
      </c>
      <c r="T225" s="125"/>
      <c r="U225" s="125"/>
      <c r="V225" s="125">
        <v>587</v>
      </c>
      <c r="W225" s="125">
        <v>7810</v>
      </c>
      <c r="X225" s="125">
        <v>368</v>
      </c>
      <c r="Y225" s="125">
        <v>7</v>
      </c>
      <c r="Z225" s="126"/>
      <c r="AA225" s="125">
        <v>7</v>
      </c>
      <c r="AB225" s="125">
        <v>42</v>
      </c>
      <c r="AC225" s="125">
        <v>13</v>
      </c>
      <c r="AD225" s="125">
        <v>23</v>
      </c>
      <c r="AE225" s="125">
        <v>40</v>
      </c>
      <c r="AF225" s="125">
        <v>53</v>
      </c>
      <c r="AG225" s="125"/>
      <c r="AH225" s="125"/>
      <c r="AI225" s="125">
        <v>4</v>
      </c>
      <c r="AJ225" s="125">
        <v>8550</v>
      </c>
      <c r="AK225" s="125">
        <v>95117</v>
      </c>
      <c r="AL225" s="125">
        <v>3222</v>
      </c>
      <c r="AM225" s="125">
        <v>14953</v>
      </c>
      <c r="AN225" s="125">
        <v>39</v>
      </c>
      <c r="AO225" s="125">
        <v>27</v>
      </c>
      <c r="AP225" s="125">
        <v>5992</v>
      </c>
      <c r="AQ225" s="125">
        <v>0</v>
      </c>
      <c r="AR225" s="125">
        <v>1915</v>
      </c>
      <c r="AS225" s="125">
        <v>0</v>
      </c>
      <c r="AT225" s="125">
        <v>3948</v>
      </c>
      <c r="AU225" s="125">
        <v>2083</v>
      </c>
      <c r="AV225" s="125">
        <v>3617</v>
      </c>
      <c r="AW225" s="125">
        <v>10073</v>
      </c>
      <c r="AX225" s="126"/>
      <c r="AY225" s="126"/>
      <c r="AZ225" s="126">
        <v>374</v>
      </c>
      <c r="BA225" s="126"/>
      <c r="BB225" s="125">
        <v>419</v>
      </c>
      <c r="BC225" s="125"/>
      <c r="BD225" s="125">
        <v>0</v>
      </c>
      <c r="BE225" s="125">
        <v>0</v>
      </c>
      <c r="BF225" s="125">
        <v>1039</v>
      </c>
      <c r="BG225" s="125">
        <v>0</v>
      </c>
      <c r="BH225" s="125">
        <v>0</v>
      </c>
      <c r="BI225" s="125">
        <v>7986</v>
      </c>
      <c r="BJ225" s="125">
        <v>37</v>
      </c>
      <c r="BK225" s="125">
        <v>4182</v>
      </c>
      <c r="BL225" s="125"/>
      <c r="BM225" s="125">
        <v>330</v>
      </c>
      <c r="BN225" s="125">
        <v>37</v>
      </c>
      <c r="BO225" s="125">
        <v>11960</v>
      </c>
      <c r="BP225" s="125">
        <v>50764</v>
      </c>
      <c r="BQ225" s="125">
        <v>705</v>
      </c>
      <c r="BR225" s="125">
        <v>135</v>
      </c>
      <c r="BS225" s="125">
        <v>5093</v>
      </c>
      <c r="BT225" s="125">
        <v>73</v>
      </c>
      <c r="BU225" s="125"/>
      <c r="BV225" s="125">
        <v>2</v>
      </c>
      <c r="BW225" s="125">
        <v>110</v>
      </c>
      <c r="BX225" s="125"/>
      <c r="BY225" s="125">
        <v>3</v>
      </c>
      <c r="BZ225" s="125">
        <v>0</v>
      </c>
      <c r="CA225" s="125">
        <v>19794</v>
      </c>
      <c r="CB225" s="125">
        <v>16933</v>
      </c>
      <c r="CC225" s="125">
        <v>108361</v>
      </c>
      <c r="CD225" s="125">
        <v>174633</v>
      </c>
      <c r="CE225" s="125">
        <v>23768</v>
      </c>
      <c r="CF225" s="125">
        <v>35019</v>
      </c>
      <c r="CG225" s="125">
        <v>0</v>
      </c>
      <c r="CH225" s="125">
        <v>20</v>
      </c>
      <c r="CI225" s="125">
        <v>2</v>
      </c>
      <c r="CJ225" s="125">
        <v>43</v>
      </c>
      <c r="CK225" s="125"/>
      <c r="CL225" s="125"/>
      <c r="CM225" s="125"/>
      <c r="CN225" s="125"/>
      <c r="CO225" s="125"/>
      <c r="CP225" s="125"/>
      <c r="CQ225" s="125"/>
      <c r="CR225" s="125"/>
      <c r="CS225" s="125"/>
      <c r="CT225" s="125"/>
      <c r="CU225" s="125"/>
      <c r="CV225" s="125"/>
      <c r="CW225" s="125"/>
      <c r="CX225" s="125"/>
      <c r="CY225" s="125">
        <v>1</v>
      </c>
      <c r="CZ225" s="125">
        <v>0</v>
      </c>
      <c r="DA225" s="125">
        <v>0</v>
      </c>
      <c r="DB225" s="125">
        <v>27</v>
      </c>
      <c r="DC225" s="125">
        <v>0</v>
      </c>
      <c r="DD225" s="125">
        <v>60</v>
      </c>
      <c r="DE225">
        <f t="shared" si="57"/>
        <v>734823</v>
      </c>
      <c r="DG225" s="1">
        <f t="shared" si="71"/>
        <v>460605</v>
      </c>
      <c r="DH225" s="1">
        <f t="shared" si="58"/>
        <v>222009</v>
      </c>
      <c r="DI225" s="1">
        <f t="shared" si="76"/>
        <v>682614</v>
      </c>
      <c r="DK225" s="1">
        <f t="shared" si="60"/>
        <v>60956</v>
      </c>
      <c r="DL225" s="1">
        <f t="shared" si="61"/>
        <v>119788</v>
      </c>
      <c r="DM225" s="1">
        <f t="shared" si="62"/>
        <v>10571</v>
      </c>
      <c r="DN225" s="1">
        <f t="shared" si="63"/>
        <v>30815</v>
      </c>
      <c r="DO225" s="1">
        <f t="shared" si="64"/>
        <v>326278</v>
      </c>
      <c r="DP225" s="1">
        <f t="shared" si="65"/>
        <v>56187</v>
      </c>
      <c r="DQ225" s="1">
        <f t="shared" si="72"/>
        <v>0</v>
      </c>
      <c r="DR225" s="1">
        <f t="shared" si="66"/>
        <v>17955</v>
      </c>
      <c r="DS225" s="1">
        <f t="shared" si="67"/>
        <v>11700</v>
      </c>
      <c r="DT225" s="1">
        <f t="shared" si="68"/>
        <v>13373</v>
      </c>
      <c r="DU225" s="1"/>
      <c r="DV225" s="1"/>
      <c r="DW225" s="1"/>
      <c r="DX225" s="1">
        <f t="shared" si="73"/>
        <v>647623</v>
      </c>
      <c r="DZ225" s="1">
        <f t="shared" si="74"/>
        <v>35019</v>
      </c>
      <c r="EA225" s="1">
        <f t="shared" si="69"/>
        <v>45150</v>
      </c>
      <c r="EC225" s="1">
        <f t="shared" si="75"/>
        <v>727792</v>
      </c>
      <c r="ED225" s="1">
        <f t="shared" si="70"/>
        <v>-7031</v>
      </c>
      <c r="EE225" s="1"/>
    </row>
    <row r="226" spans="1:135" x14ac:dyDescent="0.25">
      <c r="A226" s="124">
        <v>39083</v>
      </c>
      <c r="B226" s="125">
        <v>0</v>
      </c>
      <c r="C226" s="125">
        <v>9</v>
      </c>
      <c r="D226" s="125">
        <v>5214</v>
      </c>
      <c r="E226" s="125">
        <v>2</v>
      </c>
      <c r="F226" s="125">
        <v>642</v>
      </c>
      <c r="G226" s="125">
        <v>12909</v>
      </c>
      <c r="H226" s="125">
        <v>22364</v>
      </c>
      <c r="I226" s="125">
        <v>3731</v>
      </c>
      <c r="J226" s="125">
        <v>6678</v>
      </c>
      <c r="K226" s="125"/>
      <c r="L226" s="125">
        <v>30066</v>
      </c>
      <c r="M226" s="125">
        <v>2329</v>
      </c>
      <c r="N226" s="125"/>
      <c r="O226" s="125">
        <v>1677</v>
      </c>
      <c r="P226" s="125">
        <v>9278</v>
      </c>
      <c r="Q226" s="125">
        <v>472</v>
      </c>
      <c r="R226" s="125">
        <v>8746</v>
      </c>
      <c r="S226" s="125">
        <v>10571</v>
      </c>
      <c r="T226" s="125"/>
      <c r="U226" s="125"/>
      <c r="V226" s="125">
        <v>592</v>
      </c>
      <c r="W226" s="125">
        <v>7796</v>
      </c>
      <c r="X226" s="125">
        <v>365</v>
      </c>
      <c r="Y226" s="125">
        <v>7</v>
      </c>
      <c r="Z226" s="126"/>
      <c r="AA226" s="125">
        <v>8</v>
      </c>
      <c r="AB226" s="125">
        <v>46</v>
      </c>
      <c r="AC226" s="125">
        <v>12</v>
      </c>
      <c r="AD226" s="125">
        <v>24</v>
      </c>
      <c r="AE226" s="125">
        <v>39</v>
      </c>
      <c r="AF226" s="125">
        <v>55</v>
      </c>
      <c r="AG226" s="125"/>
      <c r="AH226" s="125"/>
      <c r="AI226" s="125">
        <v>4</v>
      </c>
      <c r="AJ226" s="125">
        <v>8481</v>
      </c>
      <c r="AK226" s="125">
        <v>94946</v>
      </c>
      <c r="AL226" s="125">
        <v>3206</v>
      </c>
      <c r="AM226" s="125">
        <v>14995</v>
      </c>
      <c r="AN226" s="125">
        <v>40</v>
      </c>
      <c r="AO226" s="125">
        <v>27</v>
      </c>
      <c r="AP226" s="125">
        <v>5611</v>
      </c>
      <c r="AQ226" s="125">
        <v>0</v>
      </c>
      <c r="AR226" s="125">
        <v>1996</v>
      </c>
      <c r="AS226" s="125">
        <v>0</v>
      </c>
      <c r="AT226" s="125">
        <v>3982</v>
      </c>
      <c r="AU226" s="125">
        <v>2081</v>
      </c>
      <c r="AV226" s="125">
        <v>3615</v>
      </c>
      <c r="AW226" s="125">
        <v>10127</v>
      </c>
      <c r="AX226" s="126"/>
      <c r="AY226" s="126"/>
      <c r="AZ226" s="126">
        <v>396</v>
      </c>
      <c r="BA226" s="126"/>
      <c r="BB226" s="125">
        <v>419</v>
      </c>
      <c r="BC226" s="125"/>
      <c r="BD226" s="125">
        <v>0</v>
      </c>
      <c r="BE226" s="125">
        <v>0</v>
      </c>
      <c r="BF226" s="125">
        <v>1045</v>
      </c>
      <c r="BG226" s="125">
        <v>0</v>
      </c>
      <c r="BH226" s="125">
        <v>0</v>
      </c>
      <c r="BI226" s="125">
        <v>8040</v>
      </c>
      <c r="BJ226" s="125">
        <v>36</v>
      </c>
      <c r="BK226" s="125">
        <v>4174</v>
      </c>
      <c r="BL226" s="125"/>
      <c r="BM226" s="125">
        <v>368</v>
      </c>
      <c r="BN226" s="125">
        <v>38</v>
      </c>
      <c r="BO226" s="125">
        <v>11700</v>
      </c>
      <c r="BP226" s="125">
        <v>50685</v>
      </c>
      <c r="BQ226" s="125">
        <v>736</v>
      </c>
      <c r="BR226" s="125">
        <v>138</v>
      </c>
      <c r="BS226" s="125">
        <v>5080</v>
      </c>
      <c r="BT226" s="125">
        <v>69</v>
      </c>
      <c r="BU226" s="125"/>
      <c r="BV226" s="125">
        <v>1</v>
      </c>
      <c r="BW226" s="125">
        <v>114</v>
      </c>
      <c r="BX226" s="125"/>
      <c r="BY226" s="125">
        <v>3</v>
      </c>
      <c r="BZ226" s="125">
        <v>0</v>
      </c>
      <c r="CA226" s="125">
        <v>19974</v>
      </c>
      <c r="CB226" s="125">
        <v>17935</v>
      </c>
      <c r="CC226" s="125">
        <v>107971</v>
      </c>
      <c r="CD226" s="125">
        <v>173108</v>
      </c>
      <c r="CE226" s="125">
        <v>24151</v>
      </c>
      <c r="CF226" s="125">
        <v>35166</v>
      </c>
      <c r="CG226" s="125">
        <v>0</v>
      </c>
      <c r="CH226" s="125">
        <v>20</v>
      </c>
      <c r="CI226" s="125">
        <v>2</v>
      </c>
      <c r="CJ226" s="125">
        <v>51</v>
      </c>
      <c r="CK226" s="125"/>
      <c r="CL226" s="125"/>
      <c r="CM226" s="125"/>
      <c r="CN226" s="125"/>
      <c r="CO226" s="125"/>
      <c r="CP226" s="125"/>
      <c r="CQ226" s="125"/>
      <c r="CR226" s="125"/>
      <c r="CS226" s="125"/>
      <c r="CT226" s="125"/>
      <c r="CU226" s="125"/>
      <c r="CV226" s="125"/>
      <c r="CW226" s="125"/>
      <c r="CX226" s="125"/>
      <c r="CY226" s="125">
        <v>1</v>
      </c>
      <c r="CZ226" s="125">
        <v>0</v>
      </c>
      <c r="DA226" s="125">
        <v>0</v>
      </c>
      <c r="DB226" s="125">
        <v>27</v>
      </c>
      <c r="DC226" s="125">
        <v>0</v>
      </c>
      <c r="DD226" s="125">
        <v>62</v>
      </c>
      <c r="DE226">
        <f t="shared" si="57"/>
        <v>734163</v>
      </c>
      <c r="DG226" s="1">
        <f t="shared" si="71"/>
        <v>459954</v>
      </c>
      <c r="DH226" s="1">
        <f t="shared" si="58"/>
        <v>219414</v>
      </c>
      <c r="DI226" s="1">
        <f t="shared" si="76"/>
        <v>679368</v>
      </c>
      <c r="DK226" s="1">
        <f t="shared" si="60"/>
        <v>60644</v>
      </c>
      <c r="DL226" s="1">
        <f t="shared" si="61"/>
        <v>119667</v>
      </c>
      <c r="DM226" s="1">
        <f t="shared" si="62"/>
        <v>10594</v>
      </c>
      <c r="DN226" s="1">
        <f t="shared" si="63"/>
        <v>28043</v>
      </c>
      <c r="DO226" s="1">
        <f t="shared" si="64"/>
        <v>328072</v>
      </c>
      <c r="DP226" s="1">
        <f t="shared" si="65"/>
        <v>56133</v>
      </c>
      <c r="DQ226" s="1">
        <f t="shared" si="72"/>
        <v>0</v>
      </c>
      <c r="DR226" s="1">
        <f t="shared" si="66"/>
        <v>16012</v>
      </c>
      <c r="DS226" s="1">
        <f t="shared" si="67"/>
        <v>10818</v>
      </c>
      <c r="DT226" s="1">
        <f t="shared" si="68"/>
        <v>13438</v>
      </c>
      <c r="DU226" s="1"/>
      <c r="DV226" s="1"/>
      <c r="DW226" s="1"/>
      <c r="DX226" s="1">
        <f t="shared" si="73"/>
        <v>643421</v>
      </c>
      <c r="DZ226" s="1">
        <f t="shared" si="74"/>
        <v>35166</v>
      </c>
      <c r="EA226" s="1">
        <f t="shared" si="69"/>
        <v>46324</v>
      </c>
      <c r="EC226" s="1">
        <f t="shared" si="75"/>
        <v>724911</v>
      </c>
      <c r="ED226" s="1">
        <f t="shared" si="70"/>
        <v>-9252</v>
      </c>
      <c r="EE226" s="1"/>
    </row>
    <row r="227" spans="1:135" x14ac:dyDescent="0.25">
      <c r="A227" s="124">
        <v>39114</v>
      </c>
      <c r="B227" s="125">
        <v>0</v>
      </c>
      <c r="C227" s="125">
        <v>6</v>
      </c>
      <c r="D227" s="125">
        <v>3849</v>
      </c>
      <c r="E227" s="125">
        <v>0</v>
      </c>
      <c r="F227" s="125">
        <v>644</v>
      </c>
      <c r="G227" s="125">
        <v>12821</v>
      </c>
      <c r="H227" s="125">
        <v>22868</v>
      </c>
      <c r="I227" s="125">
        <v>3778</v>
      </c>
      <c r="J227" s="125">
        <v>6888</v>
      </c>
      <c r="K227" s="125"/>
      <c r="L227" s="125">
        <v>29962</v>
      </c>
      <c r="M227" s="125">
        <v>2315</v>
      </c>
      <c r="N227" s="125"/>
      <c r="O227" s="125">
        <v>1656</v>
      </c>
      <c r="P227" s="125">
        <v>9237</v>
      </c>
      <c r="Q227" s="125">
        <v>466</v>
      </c>
      <c r="R227" s="125">
        <v>8637</v>
      </c>
      <c r="S227" s="125">
        <v>10594</v>
      </c>
      <c r="T227" s="125"/>
      <c r="U227" s="125"/>
      <c r="V227" s="125">
        <v>574</v>
      </c>
      <c r="W227" s="125">
        <v>7797</v>
      </c>
      <c r="X227" s="125">
        <v>365</v>
      </c>
      <c r="Y227" s="125">
        <v>6</v>
      </c>
      <c r="Z227" s="126"/>
      <c r="AA227" s="125">
        <v>6</v>
      </c>
      <c r="AB227" s="125">
        <v>43</v>
      </c>
      <c r="AC227" s="125">
        <v>13</v>
      </c>
      <c r="AD227" s="125">
        <v>25</v>
      </c>
      <c r="AE227" s="125">
        <v>41</v>
      </c>
      <c r="AF227" s="125">
        <v>55</v>
      </c>
      <c r="AG227" s="125"/>
      <c r="AH227" s="125"/>
      <c r="AI227" s="125">
        <v>4</v>
      </c>
      <c r="AJ227" s="125">
        <v>8550</v>
      </c>
      <c r="AK227" s="125">
        <v>95433</v>
      </c>
      <c r="AL227" s="125">
        <v>3209</v>
      </c>
      <c r="AM227" s="125">
        <v>15128</v>
      </c>
      <c r="AN227" s="125">
        <v>38</v>
      </c>
      <c r="AO227" s="125">
        <v>31</v>
      </c>
      <c r="AP227" s="125">
        <v>2571</v>
      </c>
      <c r="AQ227" s="125">
        <v>0</v>
      </c>
      <c r="AR227" s="125">
        <v>1886</v>
      </c>
      <c r="AS227" s="125">
        <v>0</v>
      </c>
      <c r="AT227" s="125">
        <v>4015</v>
      </c>
      <c r="AU227" s="125">
        <v>2079</v>
      </c>
      <c r="AV227" s="125">
        <v>3628</v>
      </c>
      <c r="AW227" s="125">
        <v>10258</v>
      </c>
      <c r="AX227" s="126"/>
      <c r="AY227" s="126"/>
      <c r="AZ227" s="126">
        <v>404</v>
      </c>
      <c r="BA227" s="126"/>
      <c r="BB227" s="125">
        <v>388</v>
      </c>
      <c r="BC227" s="125"/>
      <c r="BD227" s="125">
        <v>0</v>
      </c>
      <c r="BE227" s="125">
        <v>0</v>
      </c>
      <c r="BF227" s="125">
        <v>1045</v>
      </c>
      <c r="BG227" s="125">
        <v>0</v>
      </c>
      <c r="BH227" s="125">
        <v>0</v>
      </c>
      <c r="BI227" s="125">
        <v>8115</v>
      </c>
      <c r="BJ227" s="125">
        <v>32</v>
      </c>
      <c r="BK227" s="125">
        <v>4166</v>
      </c>
      <c r="BL227" s="125"/>
      <c r="BM227" s="125">
        <v>273</v>
      </c>
      <c r="BN227" s="125">
        <v>36</v>
      </c>
      <c r="BO227" s="125">
        <v>10818</v>
      </c>
      <c r="BP227" s="125">
        <v>50742</v>
      </c>
      <c r="BQ227" s="125">
        <v>701</v>
      </c>
      <c r="BR227" s="125">
        <v>134</v>
      </c>
      <c r="BS227" s="125">
        <v>4995</v>
      </c>
      <c r="BT227" s="125">
        <v>72</v>
      </c>
      <c r="BU227" s="125"/>
      <c r="BV227" s="125">
        <v>1</v>
      </c>
      <c r="BW227" s="125">
        <v>112</v>
      </c>
      <c r="BX227" s="125"/>
      <c r="BY227" s="125">
        <v>3</v>
      </c>
      <c r="BZ227" s="125">
        <v>0</v>
      </c>
      <c r="CA227" s="125">
        <v>19851</v>
      </c>
      <c r="CB227" s="125">
        <v>15987</v>
      </c>
      <c r="CC227" s="125">
        <v>109390</v>
      </c>
      <c r="CD227" s="125">
        <v>174664</v>
      </c>
      <c r="CE227" s="125">
        <v>23150</v>
      </c>
      <c r="CF227" s="125">
        <v>35604</v>
      </c>
      <c r="CG227" s="125">
        <v>0</v>
      </c>
      <c r="CH227" s="125">
        <v>25</v>
      </c>
      <c r="CI227" s="125">
        <v>3</v>
      </c>
      <c r="CJ227" s="125">
        <v>35</v>
      </c>
      <c r="CK227" s="125"/>
      <c r="CL227" s="125"/>
      <c r="CM227" s="125"/>
      <c r="CN227" s="125"/>
      <c r="CO227" s="125"/>
      <c r="CP227" s="125"/>
      <c r="CQ227" s="125"/>
      <c r="CR227" s="125"/>
      <c r="CS227" s="125"/>
      <c r="CT227" s="125"/>
      <c r="CU227" s="125"/>
      <c r="CV227" s="125"/>
      <c r="CW227" s="125"/>
      <c r="CX227" s="125"/>
      <c r="CY227" s="125">
        <v>1</v>
      </c>
      <c r="CZ227" s="125">
        <v>0</v>
      </c>
      <c r="DA227" s="125">
        <v>0</v>
      </c>
      <c r="DB227" s="125">
        <v>27</v>
      </c>
      <c r="DC227" s="125">
        <v>0</v>
      </c>
      <c r="DD227" s="125">
        <v>61</v>
      </c>
      <c r="DE227">
        <f t="shared" si="57"/>
        <v>730222</v>
      </c>
      <c r="DG227" s="1">
        <f t="shared" si="71"/>
        <v>455137</v>
      </c>
      <c r="DH227" s="1">
        <f t="shared" si="58"/>
        <v>220643</v>
      </c>
      <c r="DI227" s="1">
        <f t="shared" si="76"/>
        <v>675780</v>
      </c>
      <c r="DK227" s="1">
        <f t="shared" si="60"/>
        <v>60427</v>
      </c>
      <c r="DL227" s="1">
        <f t="shared" si="61"/>
        <v>120133</v>
      </c>
      <c r="DM227" s="1">
        <f t="shared" si="62"/>
        <v>10623</v>
      </c>
      <c r="DN227" s="1">
        <f t="shared" si="63"/>
        <v>29781</v>
      </c>
      <c r="DO227" s="1">
        <f t="shared" si="64"/>
        <v>324810</v>
      </c>
      <c r="DP227" s="1">
        <f t="shared" si="65"/>
        <v>56010</v>
      </c>
      <c r="DQ227" s="1">
        <f t="shared" si="72"/>
        <v>0</v>
      </c>
      <c r="DR227" s="1">
        <f t="shared" si="66"/>
        <v>15838</v>
      </c>
      <c r="DS227" s="1">
        <f t="shared" si="67"/>
        <v>10842</v>
      </c>
      <c r="DT227" s="1">
        <f t="shared" si="68"/>
        <v>13330</v>
      </c>
      <c r="DU227" s="1"/>
      <c r="DV227" s="1"/>
      <c r="DW227" s="1"/>
      <c r="DX227" s="1">
        <f t="shared" si="73"/>
        <v>641794</v>
      </c>
      <c r="DZ227" s="1">
        <f t="shared" si="74"/>
        <v>35604</v>
      </c>
      <c r="EA227" s="1">
        <f t="shared" si="69"/>
        <v>46999</v>
      </c>
      <c r="EC227" s="1">
        <f t="shared" si="75"/>
        <v>724397</v>
      </c>
      <c r="ED227" s="1">
        <f t="shared" si="70"/>
        <v>-5825</v>
      </c>
      <c r="EE227" s="1"/>
    </row>
    <row r="228" spans="1:135" x14ac:dyDescent="0.25">
      <c r="A228" s="124">
        <v>39142</v>
      </c>
      <c r="B228" s="125">
        <v>0</v>
      </c>
      <c r="C228" s="125">
        <v>1</v>
      </c>
      <c r="D228" s="125">
        <v>3081</v>
      </c>
      <c r="E228" s="125">
        <v>0</v>
      </c>
      <c r="F228" s="125">
        <v>639</v>
      </c>
      <c r="G228" s="125">
        <v>12665</v>
      </c>
      <c r="H228" s="125">
        <v>22447</v>
      </c>
      <c r="I228" s="125">
        <v>3792</v>
      </c>
      <c r="J228" s="125">
        <v>6932</v>
      </c>
      <c r="K228" s="125"/>
      <c r="L228" s="125">
        <v>29878</v>
      </c>
      <c r="M228" s="125">
        <v>2289</v>
      </c>
      <c r="N228" s="125"/>
      <c r="O228" s="125">
        <v>1626</v>
      </c>
      <c r="P228" s="125">
        <v>9246</v>
      </c>
      <c r="Q228" s="125">
        <v>457</v>
      </c>
      <c r="R228" s="125">
        <v>8604</v>
      </c>
      <c r="S228" s="125">
        <v>10623</v>
      </c>
      <c r="T228" s="125"/>
      <c r="U228" s="125"/>
      <c r="V228" s="125">
        <v>560</v>
      </c>
      <c r="W228" s="125">
        <v>7767</v>
      </c>
      <c r="X228" s="125">
        <v>363</v>
      </c>
      <c r="Y228" s="125">
        <v>6</v>
      </c>
      <c r="Z228" s="126"/>
      <c r="AA228" s="125">
        <v>5</v>
      </c>
      <c r="AB228" s="125">
        <v>42</v>
      </c>
      <c r="AC228" s="125">
        <v>13</v>
      </c>
      <c r="AD228" s="125">
        <v>25</v>
      </c>
      <c r="AE228" s="125">
        <v>44</v>
      </c>
      <c r="AF228" s="125">
        <v>57</v>
      </c>
      <c r="AG228" s="125"/>
      <c r="AH228" s="125"/>
      <c r="AI228" s="125">
        <v>4</v>
      </c>
      <c r="AJ228" s="125">
        <v>8478</v>
      </c>
      <c r="AK228" s="125">
        <v>95145</v>
      </c>
      <c r="AL228" s="125">
        <v>3197</v>
      </c>
      <c r="AM228" s="125">
        <v>15199</v>
      </c>
      <c r="AN228" s="125">
        <v>39</v>
      </c>
      <c r="AO228" s="125">
        <v>29</v>
      </c>
      <c r="AP228" s="125">
        <v>4156</v>
      </c>
      <c r="AQ228" s="125">
        <v>0</v>
      </c>
      <c r="AR228" s="125">
        <v>1849</v>
      </c>
      <c r="AS228" s="125">
        <v>1</v>
      </c>
      <c r="AT228" s="125">
        <v>4072</v>
      </c>
      <c r="AU228" s="125">
        <v>2090</v>
      </c>
      <c r="AV228" s="125">
        <v>3650</v>
      </c>
      <c r="AW228" s="125">
        <v>10340</v>
      </c>
      <c r="AX228" s="126"/>
      <c r="AY228" s="126"/>
      <c r="AZ228" s="126">
        <v>415</v>
      </c>
      <c r="BA228" s="126"/>
      <c r="BB228" s="125">
        <v>374</v>
      </c>
      <c r="BC228" s="125"/>
      <c r="BD228" s="125">
        <v>0</v>
      </c>
      <c r="BE228" s="125">
        <v>0</v>
      </c>
      <c r="BF228" s="125">
        <v>1042</v>
      </c>
      <c r="BG228" s="125">
        <v>0</v>
      </c>
      <c r="BH228" s="125">
        <v>0</v>
      </c>
      <c r="BI228" s="125">
        <v>8100</v>
      </c>
      <c r="BJ228" s="125">
        <v>36</v>
      </c>
      <c r="BK228" s="125">
        <v>4077</v>
      </c>
      <c r="BL228" s="125"/>
      <c r="BM228" s="125">
        <v>258</v>
      </c>
      <c r="BN228" s="125">
        <v>34</v>
      </c>
      <c r="BO228" s="125">
        <v>10842</v>
      </c>
      <c r="BP228" s="125">
        <v>50083</v>
      </c>
      <c r="BQ228" s="125">
        <v>702</v>
      </c>
      <c r="BR228" s="125">
        <v>136</v>
      </c>
      <c r="BS228" s="125">
        <v>4875</v>
      </c>
      <c r="BT228" s="125">
        <v>66</v>
      </c>
      <c r="BU228" s="125"/>
      <c r="BV228" s="125">
        <v>1</v>
      </c>
      <c r="BW228" s="125">
        <v>111</v>
      </c>
      <c r="BX228" s="125"/>
      <c r="BY228" s="125">
        <v>3</v>
      </c>
      <c r="BZ228" s="125">
        <v>0</v>
      </c>
      <c r="CA228" s="125">
        <v>19596</v>
      </c>
      <c r="CB228" s="125">
        <v>15816</v>
      </c>
      <c r="CC228" s="125">
        <v>108670</v>
      </c>
      <c r="CD228" s="125">
        <v>172880</v>
      </c>
      <c r="CE228" s="125">
        <v>22653</v>
      </c>
      <c r="CF228" s="125">
        <v>35101</v>
      </c>
      <c r="CG228" s="125">
        <v>0</v>
      </c>
      <c r="CH228" s="125">
        <v>22</v>
      </c>
      <c r="CI228" s="125">
        <v>3</v>
      </c>
      <c r="CJ228" s="125">
        <v>30</v>
      </c>
      <c r="CK228" s="125"/>
      <c r="CL228" s="125"/>
      <c r="CM228" s="125"/>
      <c r="CN228" s="125"/>
      <c r="CO228" s="125"/>
      <c r="CP228" s="125"/>
      <c r="CQ228" s="125"/>
      <c r="CR228" s="125"/>
      <c r="CS228" s="125"/>
      <c r="CT228" s="125"/>
      <c r="CU228" s="125"/>
      <c r="CV228" s="125"/>
      <c r="CW228" s="125"/>
      <c r="CX228" s="125"/>
      <c r="CY228" s="125">
        <v>0</v>
      </c>
      <c r="CZ228" s="125">
        <v>0</v>
      </c>
      <c r="DA228" s="125">
        <v>0</v>
      </c>
      <c r="DB228" s="125">
        <v>27</v>
      </c>
      <c r="DC228" s="125">
        <v>0</v>
      </c>
      <c r="DD228" s="125">
        <v>62</v>
      </c>
      <c r="DE228">
        <f t="shared" si="57"/>
        <v>725337</v>
      </c>
      <c r="DG228" s="1">
        <f t="shared" si="71"/>
        <v>459105</v>
      </c>
      <c r="DH228" s="1">
        <f t="shared" si="58"/>
        <v>222155</v>
      </c>
      <c r="DI228" s="1">
        <f t="shared" si="76"/>
        <v>681260</v>
      </c>
      <c r="DK228" s="1">
        <f t="shared" si="60"/>
        <v>60398</v>
      </c>
      <c r="DL228" s="1">
        <f t="shared" si="61"/>
        <v>119812</v>
      </c>
      <c r="DM228" s="1">
        <f t="shared" si="62"/>
        <v>10670</v>
      </c>
      <c r="DN228" s="1">
        <f t="shared" si="63"/>
        <v>30740</v>
      </c>
      <c r="DO228" s="1">
        <f t="shared" si="64"/>
        <v>327769</v>
      </c>
      <c r="DP228" s="1">
        <f t="shared" si="65"/>
        <v>55216</v>
      </c>
      <c r="DQ228" s="1">
        <f t="shared" si="72"/>
        <v>0</v>
      </c>
      <c r="DR228" s="1">
        <f t="shared" si="66"/>
        <v>16152</v>
      </c>
      <c r="DS228" s="1">
        <f t="shared" si="67"/>
        <v>10848</v>
      </c>
      <c r="DT228" s="1">
        <f t="shared" si="68"/>
        <v>13397</v>
      </c>
      <c r="DU228" s="1"/>
      <c r="DV228" s="1"/>
      <c r="DW228" s="1"/>
      <c r="DX228" s="1">
        <f t="shared" si="73"/>
        <v>645002</v>
      </c>
      <c r="DZ228" s="1">
        <f t="shared" si="74"/>
        <v>35101</v>
      </c>
      <c r="EA228" s="1">
        <f t="shared" si="69"/>
        <v>46475</v>
      </c>
      <c r="EC228" s="1">
        <f t="shared" si="75"/>
        <v>726578</v>
      </c>
      <c r="ED228" s="1">
        <f t="shared" si="70"/>
        <v>1241</v>
      </c>
      <c r="EE228" s="1"/>
    </row>
    <row r="229" spans="1:135" x14ac:dyDescent="0.25">
      <c r="A229" s="124">
        <v>39173</v>
      </c>
      <c r="B229" s="125">
        <v>0</v>
      </c>
      <c r="C229" s="125">
        <v>1</v>
      </c>
      <c r="D229" s="125">
        <v>2225</v>
      </c>
      <c r="E229" s="125">
        <v>0</v>
      </c>
      <c r="F229" s="125">
        <v>666</v>
      </c>
      <c r="G229" s="125">
        <v>12771</v>
      </c>
      <c r="H229" s="125">
        <v>22629</v>
      </c>
      <c r="I229" s="125">
        <v>3808</v>
      </c>
      <c r="J229" s="125">
        <v>7028</v>
      </c>
      <c r="K229" s="125"/>
      <c r="L229" s="125">
        <v>29799</v>
      </c>
      <c r="M229" s="125">
        <v>2304</v>
      </c>
      <c r="N229" s="125"/>
      <c r="O229" s="125">
        <v>1615</v>
      </c>
      <c r="P229" s="125">
        <v>9290</v>
      </c>
      <c r="Q229" s="125">
        <v>450</v>
      </c>
      <c r="R229" s="125">
        <v>8618</v>
      </c>
      <c r="S229" s="125">
        <v>10670</v>
      </c>
      <c r="T229" s="125"/>
      <c r="U229" s="125"/>
      <c r="V229" s="125">
        <v>551</v>
      </c>
      <c r="W229" s="125">
        <v>7771</v>
      </c>
      <c r="X229" s="125">
        <v>360</v>
      </c>
      <c r="Y229" s="125">
        <v>8</v>
      </c>
      <c r="Z229" s="126"/>
      <c r="AA229" s="125">
        <v>8</v>
      </c>
      <c r="AB229" s="125">
        <v>44</v>
      </c>
      <c r="AC229" s="125">
        <v>13</v>
      </c>
      <c r="AD229" s="125">
        <v>25</v>
      </c>
      <c r="AE229" s="125">
        <v>44</v>
      </c>
      <c r="AF229" s="125">
        <v>56</v>
      </c>
      <c r="AG229" s="125"/>
      <c r="AH229" s="125"/>
      <c r="AI229" s="125">
        <v>4</v>
      </c>
      <c r="AJ229" s="125">
        <v>8549</v>
      </c>
      <c r="AK229" s="125">
        <v>95526</v>
      </c>
      <c r="AL229" s="125">
        <v>3194</v>
      </c>
      <c r="AM229" s="125">
        <v>15292</v>
      </c>
      <c r="AN229" s="125">
        <v>36</v>
      </c>
      <c r="AO229" s="125">
        <v>30</v>
      </c>
      <c r="AP229" s="125">
        <v>4909</v>
      </c>
      <c r="AQ229" s="125">
        <v>0</v>
      </c>
      <c r="AR229" s="125">
        <v>1804</v>
      </c>
      <c r="AS229" s="125">
        <v>1</v>
      </c>
      <c r="AT229" s="125">
        <v>4113</v>
      </c>
      <c r="AU229" s="125">
        <v>2133</v>
      </c>
      <c r="AV229" s="125">
        <v>3676</v>
      </c>
      <c r="AW229" s="125">
        <v>10453</v>
      </c>
      <c r="AX229" s="126"/>
      <c r="AY229" s="126"/>
      <c r="AZ229" s="126">
        <v>427</v>
      </c>
      <c r="BA229" s="126"/>
      <c r="BB229" s="125">
        <v>382</v>
      </c>
      <c r="BC229" s="125"/>
      <c r="BD229" s="125">
        <v>0</v>
      </c>
      <c r="BE229" s="125">
        <v>0</v>
      </c>
      <c r="BF229" s="125">
        <v>1038</v>
      </c>
      <c r="BG229" s="125">
        <v>0</v>
      </c>
      <c r="BH229" s="125">
        <v>0</v>
      </c>
      <c r="BI229" s="125">
        <v>8140</v>
      </c>
      <c r="BJ229" s="125">
        <v>42</v>
      </c>
      <c r="BK229" s="125">
        <v>4109</v>
      </c>
      <c r="BL229" s="125"/>
      <c r="BM229" s="125">
        <v>220</v>
      </c>
      <c r="BN229" s="125">
        <v>33</v>
      </c>
      <c r="BO229" s="125">
        <v>10848</v>
      </c>
      <c r="BP229" s="125">
        <v>50844</v>
      </c>
      <c r="BQ229" s="125">
        <v>730</v>
      </c>
      <c r="BR229" s="125">
        <v>140</v>
      </c>
      <c r="BS229" s="125">
        <v>4853</v>
      </c>
      <c r="BT229" s="125">
        <v>63</v>
      </c>
      <c r="BU229" s="125"/>
      <c r="BV229" s="125">
        <v>2</v>
      </c>
      <c r="BW229" s="125">
        <v>110</v>
      </c>
      <c r="BX229" s="125"/>
      <c r="BY229" s="125">
        <v>3</v>
      </c>
      <c r="BZ229" s="125">
        <v>0</v>
      </c>
      <c r="CA229" s="125">
        <v>19790</v>
      </c>
      <c r="CB229" s="125">
        <v>16132</v>
      </c>
      <c r="CC229" s="125">
        <v>110457</v>
      </c>
      <c r="CD229" s="125">
        <v>173981</v>
      </c>
      <c r="CE229" s="125">
        <v>22489</v>
      </c>
      <c r="CF229" s="125">
        <v>35022</v>
      </c>
      <c r="CG229" s="125">
        <v>0</v>
      </c>
      <c r="CH229" s="125">
        <v>20</v>
      </c>
      <c r="CI229" s="125">
        <v>6</v>
      </c>
      <c r="CJ229" s="125">
        <v>33</v>
      </c>
      <c r="CK229" s="125"/>
      <c r="CL229" s="125"/>
      <c r="CM229" s="125"/>
      <c r="CN229" s="125"/>
      <c r="CO229" s="125"/>
      <c r="CP229" s="125"/>
      <c r="CQ229" s="125"/>
      <c r="CR229" s="125"/>
      <c r="CS229" s="125"/>
      <c r="CT229" s="125"/>
      <c r="CU229" s="125"/>
      <c r="CV229" s="125"/>
      <c r="CW229" s="125"/>
      <c r="CX229" s="125"/>
      <c r="CY229" s="125">
        <v>0</v>
      </c>
      <c r="CZ229" s="125">
        <v>0</v>
      </c>
      <c r="DA229" s="125">
        <v>0</v>
      </c>
      <c r="DB229" s="125">
        <v>26</v>
      </c>
      <c r="DC229" s="125">
        <v>0</v>
      </c>
      <c r="DD229" s="125">
        <v>62</v>
      </c>
      <c r="DE229">
        <f t="shared" si="57"/>
        <v>730388</v>
      </c>
      <c r="DG229" s="1">
        <f t="shared" si="71"/>
        <v>460295</v>
      </c>
      <c r="DH229" s="1">
        <f t="shared" si="58"/>
        <v>223056</v>
      </c>
      <c r="DI229" s="1">
        <f t="shared" si="76"/>
        <v>683351</v>
      </c>
      <c r="DK229" s="1">
        <f t="shared" si="60"/>
        <v>60392</v>
      </c>
      <c r="DL229" s="1">
        <f t="shared" si="61"/>
        <v>120347</v>
      </c>
      <c r="DM229" s="1">
        <f t="shared" si="62"/>
        <v>10683</v>
      </c>
      <c r="DN229" s="1">
        <f t="shared" si="63"/>
        <v>31206</v>
      </c>
      <c r="DO229" s="1">
        <f t="shared" si="64"/>
        <v>328826</v>
      </c>
      <c r="DP229" s="1">
        <f t="shared" si="65"/>
        <v>55917</v>
      </c>
      <c r="DQ229" s="1">
        <f t="shared" si="72"/>
        <v>0</v>
      </c>
      <c r="DR229" s="1">
        <f t="shared" si="66"/>
        <v>16215</v>
      </c>
      <c r="DS229" s="1">
        <f t="shared" si="67"/>
        <v>10745</v>
      </c>
      <c r="DT229" s="1">
        <f t="shared" si="68"/>
        <v>13318</v>
      </c>
      <c r="DU229" s="1"/>
      <c r="DV229" s="1"/>
      <c r="DW229" s="1"/>
      <c r="DX229" s="1">
        <f t="shared" si="73"/>
        <v>647649</v>
      </c>
      <c r="DZ229" s="1">
        <f t="shared" si="74"/>
        <v>35022</v>
      </c>
      <c r="EA229" s="1">
        <f t="shared" si="69"/>
        <v>46902</v>
      </c>
      <c r="EC229" s="1">
        <f t="shared" si="75"/>
        <v>729573</v>
      </c>
      <c r="ED229" s="1">
        <f t="shared" si="70"/>
        <v>-815</v>
      </c>
      <c r="EE229" s="1"/>
    </row>
    <row r="230" spans="1:135" x14ac:dyDescent="0.25">
      <c r="A230" s="124">
        <v>39203</v>
      </c>
      <c r="B230" s="125">
        <v>2</v>
      </c>
      <c r="C230" s="125">
        <v>0</v>
      </c>
      <c r="D230" s="125">
        <v>1657</v>
      </c>
      <c r="E230" s="125">
        <v>0</v>
      </c>
      <c r="F230" s="125">
        <v>702</v>
      </c>
      <c r="G230" s="125">
        <v>12906</v>
      </c>
      <c r="H230" s="125">
        <v>22929</v>
      </c>
      <c r="I230" s="125">
        <v>3904</v>
      </c>
      <c r="J230" s="125">
        <v>7120</v>
      </c>
      <c r="K230" s="125"/>
      <c r="L230" s="125">
        <v>29787</v>
      </c>
      <c r="M230" s="125">
        <v>2299</v>
      </c>
      <c r="N230" s="125"/>
      <c r="O230" s="125">
        <v>1611</v>
      </c>
      <c r="P230" s="125">
        <v>9319</v>
      </c>
      <c r="Q230" s="125">
        <v>446</v>
      </c>
      <c r="R230" s="125">
        <v>8644</v>
      </c>
      <c r="S230" s="125">
        <v>10683</v>
      </c>
      <c r="T230" s="125"/>
      <c r="U230" s="125"/>
      <c r="V230" s="125">
        <v>544</v>
      </c>
      <c r="W230" s="125">
        <v>7742</v>
      </c>
      <c r="X230" s="125">
        <v>359</v>
      </c>
      <c r="Y230" s="125">
        <v>8</v>
      </c>
      <c r="Z230" s="126"/>
      <c r="AA230" s="125">
        <v>7</v>
      </c>
      <c r="AB230" s="125">
        <v>48</v>
      </c>
      <c r="AC230" s="125">
        <v>14</v>
      </c>
      <c r="AD230" s="125">
        <v>26</v>
      </c>
      <c r="AE230" s="125">
        <v>42</v>
      </c>
      <c r="AF230" s="125">
        <v>59</v>
      </c>
      <c r="AG230" s="125"/>
      <c r="AH230" s="125"/>
      <c r="AI230" s="125">
        <v>4</v>
      </c>
      <c r="AJ230" s="125">
        <v>8614</v>
      </c>
      <c r="AK230" s="125">
        <v>95822</v>
      </c>
      <c r="AL230" s="125">
        <v>3198</v>
      </c>
      <c r="AM230" s="125">
        <v>15378</v>
      </c>
      <c r="AN230" s="125">
        <v>35</v>
      </c>
      <c r="AO230" s="125">
        <v>30</v>
      </c>
      <c r="AP230" s="125">
        <v>5233</v>
      </c>
      <c r="AQ230" s="125">
        <v>0</v>
      </c>
      <c r="AR230" s="125">
        <v>1815</v>
      </c>
      <c r="AS230" s="125">
        <v>1</v>
      </c>
      <c r="AT230" s="125">
        <v>4129</v>
      </c>
      <c r="AU230" s="125">
        <v>2147</v>
      </c>
      <c r="AV230" s="125">
        <v>3685</v>
      </c>
      <c r="AW230" s="125">
        <v>10506</v>
      </c>
      <c r="AX230" s="126"/>
      <c r="AY230" s="126"/>
      <c r="AZ230" s="126">
        <v>436</v>
      </c>
      <c r="BA230" s="126"/>
      <c r="BB230" s="125">
        <v>385</v>
      </c>
      <c r="BC230" s="125"/>
      <c r="BD230" s="125">
        <v>0</v>
      </c>
      <c r="BE230" s="125">
        <v>0</v>
      </c>
      <c r="BF230" s="125">
        <v>1030</v>
      </c>
      <c r="BG230" s="125">
        <v>0</v>
      </c>
      <c r="BH230" s="125">
        <v>0</v>
      </c>
      <c r="BI230" s="125">
        <v>8371</v>
      </c>
      <c r="BJ230" s="125">
        <v>40</v>
      </c>
      <c r="BK230" s="125">
        <v>3814</v>
      </c>
      <c r="BL230" s="125"/>
      <c r="BM230" s="125">
        <v>179</v>
      </c>
      <c r="BN230" s="125">
        <v>31</v>
      </c>
      <c r="BO230" s="125">
        <v>10745</v>
      </c>
      <c r="BP230" s="125">
        <v>51197</v>
      </c>
      <c r="BQ230" s="125">
        <v>723</v>
      </c>
      <c r="BR230" s="125">
        <v>140</v>
      </c>
      <c r="BS230" s="125">
        <v>4762</v>
      </c>
      <c r="BT230" s="125">
        <v>75</v>
      </c>
      <c r="BU230" s="125"/>
      <c r="BV230" s="125">
        <v>2</v>
      </c>
      <c r="BW230" s="125">
        <v>103</v>
      </c>
      <c r="BX230" s="125"/>
      <c r="BY230" s="125">
        <v>2</v>
      </c>
      <c r="BZ230" s="125">
        <v>0</v>
      </c>
      <c r="CA230" s="125">
        <v>19847</v>
      </c>
      <c r="CB230" s="125">
        <v>16196</v>
      </c>
      <c r="CC230" s="125">
        <v>111053</v>
      </c>
      <c r="CD230" s="125">
        <v>174502</v>
      </c>
      <c r="CE230" s="125">
        <v>22371</v>
      </c>
      <c r="CF230" s="125">
        <v>35053</v>
      </c>
      <c r="CG230" s="125">
        <v>0</v>
      </c>
      <c r="CH230" s="125">
        <v>19</v>
      </c>
      <c r="CI230" s="125">
        <v>6</v>
      </c>
      <c r="CJ230" s="125">
        <v>34</v>
      </c>
      <c r="CK230" s="125"/>
      <c r="CL230" s="125"/>
      <c r="CM230" s="125"/>
      <c r="CN230" s="125"/>
      <c r="CO230" s="125"/>
      <c r="CP230" s="125"/>
      <c r="CQ230" s="125"/>
      <c r="CR230" s="125"/>
      <c r="CS230" s="125"/>
      <c r="CT230" s="125"/>
      <c r="CU230" s="125"/>
      <c r="CV230" s="125"/>
      <c r="CW230" s="125"/>
      <c r="CX230" s="125"/>
      <c r="CY230" s="125">
        <v>0</v>
      </c>
      <c r="CZ230" s="125">
        <v>0</v>
      </c>
      <c r="DA230" s="125">
        <v>0</v>
      </c>
      <c r="DB230" s="125">
        <v>26</v>
      </c>
      <c r="DC230" s="125">
        <v>0</v>
      </c>
      <c r="DD230" s="125">
        <v>60</v>
      </c>
      <c r="DE230">
        <f t="shared" si="57"/>
        <v>732571</v>
      </c>
      <c r="DG230" s="1">
        <f t="shared" si="71"/>
        <v>460683</v>
      </c>
      <c r="DH230" s="1">
        <f t="shared" si="58"/>
        <v>223076</v>
      </c>
      <c r="DI230" s="135">
        <f t="shared" si="76"/>
        <v>683759</v>
      </c>
      <c r="DJ230" s="136"/>
      <c r="DK230" s="1">
        <f t="shared" si="60"/>
        <v>60236</v>
      </c>
      <c r="DL230" s="1">
        <f t="shared" si="61"/>
        <v>120775</v>
      </c>
      <c r="DM230" s="1">
        <f t="shared" si="62"/>
        <v>10703</v>
      </c>
      <c r="DN230" s="1">
        <f t="shared" si="63"/>
        <v>31598</v>
      </c>
      <c r="DO230" s="1">
        <f t="shared" si="64"/>
        <v>328885</v>
      </c>
      <c r="DP230" s="1">
        <f t="shared" si="65"/>
        <v>56138</v>
      </c>
      <c r="DQ230" s="1">
        <f t="shared" si="72"/>
        <v>0</v>
      </c>
      <c r="DR230" s="1">
        <f t="shared" si="66"/>
        <v>16225</v>
      </c>
      <c r="DS230" s="1">
        <f t="shared" si="67"/>
        <v>10688</v>
      </c>
      <c r="DT230" s="1">
        <f t="shared" si="68"/>
        <v>13388</v>
      </c>
      <c r="DU230" s="1"/>
      <c r="DV230" s="1"/>
      <c r="DW230" s="1"/>
      <c r="DX230" s="1">
        <f t="shared" si="73"/>
        <v>648636</v>
      </c>
      <c r="DY230" s="136"/>
      <c r="DZ230" s="1">
        <f t="shared" si="74"/>
        <v>35053</v>
      </c>
      <c r="EA230" s="1">
        <f t="shared" si="69"/>
        <v>47561</v>
      </c>
      <c r="EC230" s="1">
        <f t="shared" si="75"/>
        <v>731250</v>
      </c>
      <c r="ED230" s="1">
        <f t="shared" si="70"/>
        <v>-1321</v>
      </c>
      <c r="EE230" s="1"/>
    </row>
    <row r="231" spans="1:135" x14ac:dyDescent="0.25">
      <c r="A231" s="137">
        <v>39234</v>
      </c>
      <c r="B231" s="138">
        <v>2</v>
      </c>
      <c r="C231" s="138">
        <v>1</v>
      </c>
      <c r="D231" s="138">
        <v>1793</v>
      </c>
      <c r="E231" s="138">
        <v>0</v>
      </c>
      <c r="F231" s="138">
        <v>736</v>
      </c>
      <c r="G231" s="138">
        <v>12934</v>
      </c>
      <c r="H231" s="138">
        <v>22968</v>
      </c>
      <c r="I231" s="138">
        <v>3962</v>
      </c>
      <c r="J231" s="138">
        <v>7189</v>
      </c>
      <c r="K231" s="138"/>
      <c r="L231" s="138">
        <v>29649</v>
      </c>
      <c r="M231" s="138">
        <v>2286</v>
      </c>
      <c r="N231" s="138"/>
      <c r="O231" s="138">
        <v>1626</v>
      </c>
      <c r="P231" s="138">
        <v>9318</v>
      </c>
      <c r="Q231" s="138">
        <v>446</v>
      </c>
      <c r="R231" s="138">
        <v>8609</v>
      </c>
      <c r="S231" s="138">
        <v>10703</v>
      </c>
      <c r="T231" s="138"/>
      <c r="U231" s="138"/>
      <c r="V231" s="138">
        <v>534</v>
      </c>
      <c r="W231" s="138">
        <v>7768</v>
      </c>
      <c r="X231" s="138">
        <v>348</v>
      </c>
      <c r="Y231" s="138">
        <v>8</v>
      </c>
      <c r="Z231" s="139"/>
      <c r="AA231" s="138">
        <v>6</v>
      </c>
      <c r="AB231" s="138">
        <v>47</v>
      </c>
      <c r="AC231" s="138">
        <v>14</v>
      </c>
      <c r="AD231" s="138">
        <v>27</v>
      </c>
      <c r="AE231" s="138">
        <v>42</v>
      </c>
      <c r="AF231" s="138">
        <v>60</v>
      </c>
      <c r="AG231" s="138"/>
      <c r="AH231" s="138"/>
      <c r="AI231" s="138">
        <v>4</v>
      </c>
      <c r="AJ231" s="138">
        <v>8626</v>
      </c>
      <c r="AK231" s="138">
        <v>95472</v>
      </c>
      <c r="AL231" s="138">
        <v>3184</v>
      </c>
      <c r="AM231" s="138">
        <v>15429</v>
      </c>
      <c r="AN231" s="138">
        <v>33</v>
      </c>
      <c r="AO231" s="138">
        <v>30</v>
      </c>
      <c r="AP231" s="138">
        <v>5498</v>
      </c>
      <c r="AQ231" s="138">
        <v>0</v>
      </c>
      <c r="AR231" s="138">
        <v>1842</v>
      </c>
      <c r="AS231" s="138">
        <v>0</v>
      </c>
      <c r="AT231" s="138">
        <v>4181</v>
      </c>
      <c r="AU231" s="138">
        <v>2157</v>
      </c>
      <c r="AV231" s="138">
        <v>3698</v>
      </c>
      <c r="AW231" s="138">
        <v>10581</v>
      </c>
      <c r="AX231" s="139"/>
      <c r="AY231" s="139"/>
      <c r="AZ231" s="139">
        <v>462</v>
      </c>
      <c r="BA231" s="139"/>
      <c r="BB231" s="138">
        <v>388</v>
      </c>
      <c r="BC231" s="138"/>
      <c r="BD231" s="138">
        <v>0</v>
      </c>
      <c r="BE231" s="138">
        <v>0</v>
      </c>
      <c r="BF231" s="138">
        <v>1027</v>
      </c>
      <c r="BG231" s="138">
        <v>0</v>
      </c>
      <c r="BH231" s="138">
        <v>0</v>
      </c>
      <c r="BI231" s="138">
        <v>8427</v>
      </c>
      <c r="BJ231" s="138">
        <v>39</v>
      </c>
      <c r="BK231" s="138">
        <v>3830</v>
      </c>
      <c r="BL231" s="138"/>
      <c r="BM231" s="138">
        <v>206</v>
      </c>
      <c r="BN231" s="138">
        <v>33</v>
      </c>
      <c r="BO231" s="138">
        <v>10688</v>
      </c>
      <c r="BP231" s="138">
        <v>51612</v>
      </c>
      <c r="BQ231" s="138">
        <v>720</v>
      </c>
      <c r="BR231" s="138">
        <v>139</v>
      </c>
      <c r="BS231" s="138">
        <v>4633</v>
      </c>
      <c r="BT231" s="138">
        <v>78</v>
      </c>
      <c r="BU231" s="138"/>
      <c r="BV231" s="138">
        <v>2</v>
      </c>
      <c r="BW231" s="138">
        <v>104</v>
      </c>
      <c r="BX231" s="138"/>
      <c r="BY231" s="138">
        <v>4</v>
      </c>
      <c r="BZ231" s="138">
        <v>0</v>
      </c>
      <c r="CA231" s="138">
        <v>19967</v>
      </c>
      <c r="CB231" s="138">
        <v>16206</v>
      </c>
      <c r="CC231" s="138">
        <v>111350</v>
      </c>
      <c r="CD231" s="138">
        <v>174266</v>
      </c>
      <c r="CE231" s="138">
        <v>22251</v>
      </c>
      <c r="CF231" s="138">
        <v>35046</v>
      </c>
      <c r="CG231" s="138">
        <v>0</v>
      </c>
      <c r="CH231" s="138">
        <v>19</v>
      </c>
      <c r="CI231" s="138">
        <v>5</v>
      </c>
      <c r="CJ231" s="138">
        <v>31</v>
      </c>
      <c r="CK231" s="138"/>
      <c r="CL231" s="138"/>
      <c r="CM231" s="138"/>
      <c r="CN231" s="138"/>
      <c r="CO231" s="138"/>
      <c r="CP231" s="138"/>
      <c r="CQ231" s="138"/>
      <c r="CR231" s="138"/>
      <c r="CS231" s="138"/>
      <c r="CT231" s="138"/>
      <c r="CU231" s="138"/>
      <c r="CV231" s="138"/>
      <c r="CW231" s="138"/>
      <c r="CX231" s="138"/>
      <c r="CY231" s="138">
        <v>0</v>
      </c>
      <c r="CZ231" s="138">
        <v>0</v>
      </c>
      <c r="DA231" s="138">
        <v>0</v>
      </c>
      <c r="DB231" s="138">
        <v>26</v>
      </c>
      <c r="DC231" s="138">
        <v>0</v>
      </c>
      <c r="DD231" s="138">
        <v>63</v>
      </c>
      <c r="DE231">
        <f t="shared" si="57"/>
        <v>733344</v>
      </c>
      <c r="DG231" s="1">
        <f t="shared" si="71"/>
        <v>461420</v>
      </c>
      <c r="DH231" s="1">
        <f t="shared" si="58"/>
        <v>223824</v>
      </c>
      <c r="DI231" s="1">
        <f t="shared" si="76"/>
        <v>685244</v>
      </c>
      <c r="DK231" s="1">
        <f t="shared" si="60"/>
        <v>60069</v>
      </c>
      <c r="DL231" s="1">
        <f t="shared" si="61"/>
        <v>120539</v>
      </c>
      <c r="DM231" s="1">
        <f t="shared" si="62"/>
        <v>10747</v>
      </c>
      <c r="DN231" s="1">
        <f t="shared" si="63"/>
        <v>31945</v>
      </c>
      <c r="DO231" s="1">
        <f t="shared" si="64"/>
        <v>329487</v>
      </c>
      <c r="DP231" s="1">
        <f t="shared" si="65"/>
        <v>56451</v>
      </c>
      <c r="DQ231" s="1">
        <f t="shared" si="72"/>
        <v>0</v>
      </c>
      <c r="DR231" s="1">
        <f t="shared" si="66"/>
        <v>16306</v>
      </c>
      <c r="DS231" s="1">
        <f t="shared" si="67"/>
        <v>10583</v>
      </c>
      <c r="DT231" s="1">
        <f t="shared" si="68"/>
        <v>13435</v>
      </c>
      <c r="DU231" s="1"/>
      <c r="DV231" s="1"/>
      <c r="DW231" s="1"/>
      <c r="DX231" s="1">
        <f t="shared" si="73"/>
        <v>649562</v>
      </c>
      <c r="DZ231" s="1">
        <f t="shared" si="74"/>
        <v>35046</v>
      </c>
      <c r="EA231" s="1">
        <f t="shared" si="69"/>
        <v>47789</v>
      </c>
      <c r="EC231" s="1">
        <f t="shared" si="75"/>
        <v>732397</v>
      </c>
      <c r="ED231" s="1">
        <f t="shared" si="70"/>
        <v>-947</v>
      </c>
      <c r="EE231" s="1"/>
    </row>
    <row r="232" spans="1:135" x14ac:dyDescent="0.25">
      <c r="A232" s="140">
        <v>39264</v>
      </c>
      <c r="B232" s="141">
        <v>2</v>
      </c>
      <c r="C232" s="141">
        <v>3</v>
      </c>
      <c r="D232" s="141">
        <v>2565</v>
      </c>
      <c r="E232" s="141">
        <v>0</v>
      </c>
      <c r="F232" s="141">
        <v>757</v>
      </c>
      <c r="G232" s="141">
        <v>13041</v>
      </c>
      <c r="H232" s="141">
        <v>23071</v>
      </c>
      <c r="I232" s="141">
        <v>3954</v>
      </c>
      <c r="J232" s="141">
        <v>7167</v>
      </c>
      <c r="K232" s="141"/>
      <c r="L232" s="141">
        <v>29588</v>
      </c>
      <c r="M232" s="141">
        <v>2237</v>
      </c>
      <c r="N232" s="141"/>
      <c r="O232" s="141">
        <v>1604</v>
      </c>
      <c r="P232" s="141">
        <v>9295</v>
      </c>
      <c r="Q232" s="141">
        <v>440</v>
      </c>
      <c r="R232" s="141">
        <v>8574</v>
      </c>
      <c r="S232" s="141">
        <v>10747</v>
      </c>
      <c r="T232" s="141"/>
      <c r="U232" s="141"/>
      <c r="V232" s="141">
        <v>528</v>
      </c>
      <c r="W232" s="141">
        <v>7803</v>
      </c>
      <c r="X232" s="141">
        <v>353</v>
      </c>
      <c r="Y232" s="141">
        <v>8</v>
      </c>
      <c r="Z232" s="142"/>
      <c r="AA232" s="141">
        <v>7</v>
      </c>
      <c r="AB232" s="141">
        <v>50</v>
      </c>
      <c r="AC232" s="141">
        <v>14</v>
      </c>
      <c r="AD232" s="141">
        <v>28</v>
      </c>
      <c r="AE232" s="141">
        <v>40</v>
      </c>
      <c r="AF232" s="141">
        <v>60</v>
      </c>
      <c r="AG232" s="141"/>
      <c r="AH232" s="141"/>
      <c r="AI232" s="141">
        <v>4</v>
      </c>
      <c r="AJ232" s="141">
        <v>8683</v>
      </c>
      <c r="AK232" s="141">
        <v>95994</v>
      </c>
      <c r="AL232" s="141">
        <v>3160</v>
      </c>
      <c r="AM232" s="141">
        <v>15526</v>
      </c>
      <c r="AN232" s="141">
        <v>31</v>
      </c>
      <c r="AO232" s="141">
        <v>28</v>
      </c>
      <c r="AP232" s="141">
        <v>5698</v>
      </c>
      <c r="AQ232" s="141">
        <v>0</v>
      </c>
      <c r="AR232" s="141">
        <v>1767</v>
      </c>
      <c r="AS232" s="141">
        <v>5</v>
      </c>
      <c r="AT232" s="141">
        <v>4211</v>
      </c>
      <c r="AU232" s="141">
        <v>2165</v>
      </c>
      <c r="AV232" s="141">
        <v>3693</v>
      </c>
      <c r="AW232" s="141">
        <v>10633</v>
      </c>
      <c r="AX232" s="142"/>
      <c r="AY232" s="142"/>
      <c r="AZ232" s="142">
        <v>469</v>
      </c>
      <c r="BA232" s="142"/>
      <c r="BB232" s="141">
        <v>381</v>
      </c>
      <c r="BC232" s="141"/>
      <c r="BD232" s="141">
        <v>0</v>
      </c>
      <c r="BE232" s="141">
        <v>0</v>
      </c>
      <c r="BF232" s="141">
        <v>1012</v>
      </c>
      <c r="BG232" s="141">
        <v>0</v>
      </c>
      <c r="BH232" s="141">
        <v>0</v>
      </c>
      <c r="BI232" s="141">
        <v>8447</v>
      </c>
      <c r="BJ232" s="141">
        <v>42</v>
      </c>
      <c r="BK232" s="141">
        <v>3876</v>
      </c>
      <c r="BL232" s="141"/>
      <c r="BM232" s="141">
        <v>206</v>
      </c>
      <c r="BN232" s="141">
        <v>32</v>
      </c>
      <c r="BO232" s="141">
        <v>10583</v>
      </c>
      <c r="BP232" s="141">
        <v>51876</v>
      </c>
      <c r="BQ232" s="141">
        <v>726</v>
      </c>
      <c r="BR232" s="141">
        <v>141</v>
      </c>
      <c r="BS232" s="141">
        <v>4529</v>
      </c>
      <c r="BT232" s="141">
        <v>83</v>
      </c>
      <c r="BU232" s="141"/>
      <c r="BV232" s="141">
        <v>1</v>
      </c>
      <c r="BW232" s="141">
        <v>100</v>
      </c>
      <c r="BX232" s="141"/>
      <c r="BY232" s="141">
        <v>3</v>
      </c>
      <c r="BZ232" s="141">
        <v>0</v>
      </c>
      <c r="CA232" s="141">
        <v>20088</v>
      </c>
      <c r="CB232" s="141">
        <v>16287</v>
      </c>
      <c r="CC232" s="141">
        <v>111702</v>
      </c>
      <c r="CD232" s="141">
        <v>174356</v>
      </c>
      <c r="CE232" s="141">
        <v>22284</v>
      </c>
      <c r="CF232" s="141">
        <v>34998</v>
      </c>
      <c r="CG232" s="141">
        <v>0</v>
      </c>
      <c r="CH232" s="141">
        <v>19</v>
      </c>
      <c r="CI232" s="141">
        <v>4</v>
      </c>
      <c r="CJ232" s="141">
        <v>25</v>
      </c>
      <c r="CK232" s="141"/>
      <c r="CL232" s="141"/>
      <c r="CM232" s="141"/>
      <c r="CN232" s="141"/>
      <c r="CO232" s="141"/>
      <c r="CP232" s="141"/>
      <c r="CQ232" s="141"/>
      <c r="CR232" s="141"/>
      <c r="CS232" s="141"/>
      <c r="CT232" s="141"/>
      <c r="CU232" s="141"/>
      <c r="CV232" s="141"/>
      <c r="CW232" s="141"/>
      <c r="CX232" s="141"/>
      <c r="CY232" s="141">
        <v>0</v>
      </c>
      <c r="CZ232" s="141">
        <v>0</v>
      </c>
      <c r="DA232" s="141">
        <v>0</v>
      </c>
      <c r="DB232" s="141">
        <v>26</v>
      </c>
      <c r="DC232" s="141">
        <v>0</v>
      </c>
      <c r="DD232" s="141">
        <v>65</v>
      </c>
      <c r="DE232">
        <f t="shared" si="57"/>
        <v>735804</v>
      </c>
      <c r="DG232" s="1">
        <f t="shared" si="71"/>
        <v>461616</v>
      </c>
      <c r="DH232" s="1">
        <f t="shared" si="58"/>
        <v>224748</v>
      </c>
      <c r="DI232" s="1">
        <f t="shared" si="76"/>
        <v>686364</v>
      </c>
      <c r="DK232" s="1">
        <f t="shared" si="60"/>
        <v>60152</v>
      </c>
      <c r="DL232" s="1">
        <f t="shared" si="61"/>
        <v>121063</v>
      </c>
      <c r="DM232" s="1">
        <f t="shared" si="62"/>
        <v>10772</v>
      </c>
      <c r="DN232" s="1">
        <f t="shared" si="63"/>
        <v>32369</v>
      </c>
      <c r="DO232" s="1">
        <f t="shared" si="64"/>
        <v>329034</v>
      </c>
      <c r="DP232" s="1">
        <f t="shared" si="65"/>
        <v>56611</v>
      </c>
      <c r="DQ232" s="1">
        <f t="shared" si="72"/>
        <v>0</v>
      </c>
      <c r="DR232" s="1">
        <f t="shared" si="66"/>
        <v>16557</v>
      </c>
      <c r="DS232" s="1">
        <f t="shared" si="67"/>
        <v>10376</v>
      </c>
      <c r="DT232" s="1">
        <f t="shared" si="68"/>
        <v>13419</v>
      </c>
      <c r="DU232" s="1"/>
      <c r="DV232" s="1"/>
      <c r="DW232" s="1"/>
      <c r="DX232" s="1">
        <f t="shared" si="73"/>
        <v>650353</v>
      </c>
      <c r="DZ232" s="1">
        <f t="shared" si="74"/>
        <v>34998</v>
      </c>
      <c r="EA232" s="1">
        <f t="shared" si="69"/>
        <v>47990</v>
      </c>
      <c r="EC232" s="1">
        <f t="shared" si="75"/>
        <v>733341</v>
      </c>
      <c r="ED232" s="1">
        <f t="shared" si="70"/>
        <v>-2463</v>
      </c>
      <c r="EE232" s="1"/>
    </row>
    <row r="233" spans="1:135" s="136" customFormat="1" x14ac:dyDescent="0.25">
      <c r="A233" s="124">
        <v>39295</v>
      </c>
      <c r="B233" s="125">
        <v>2</v>
      </c>
      <c r="C233" s="125">
        <v>10</v>
      </c>
      <c r="D233" s="125">
        <v>3432</v>
      </c>
      <c r="E233" s="125">
        <v>0</v>
      </c>
      <c r="F233" s="125">
        <v>821</v>
      </c>
      <c r="G233" s="125">
        <v>13202</v>
      </c>
      <c r="H233" s="125">
        <v>23167</v>
      </c>
      <c r="I233" s="125">
        <v>4030</v>
      </c>
      <c r="J233" s="125">
        <v>7259</v>
      </c>
      <c r="K233" s="125"/>
      <c r="L233" s="125">
        <v>29549</v>
      </c>
      <c r="M233" s="125">
        <v>2231</v>
      </c>
      <c r="N233" s="125"/>
      <c r="O233" s="125">
        <v>1582</v>
      </c>
      <c r="P233" s="125">
        <v>9380</v>
      </c>
      <c r="Q233" s="125">
        <v>438</v>
      </c>
      <c r="R233" s="125">
        <v>8609</v>
      </c>
      <c r="S233" s="125">
        <v>10772</v>
      </c>
      <c r="T233" s="125"/>
      <c r="U233" s="125"/>
      <c r="V233" s="125">
        <v>522</v>
      </c>
      <c r="W233" s="125">
        <v>7841</v>
      </c>
      <c r="X233" s="125">
        <v>350</v>
      </c>
      <c r="Y233" s="125">
        <v>8</v>
      </c>
      <c r="Z233" s="126"/>
      <c r="AA233" s="125">
        <v>5</v>
      </c>
      <c r="AB233" s="125">
        <v>52</v>
      </c>
      <c r="AC233" s="125">
        <v>15</v>
      </c>
      <c r="AD233" s="125">
        <v>28</v>
      </c>
      <c r="AE233" s="125">
        <v>39</v>
      </c>
      <c r="AF233" s="125">
        <v>60</v>
      </c>
      <c r="AG233" s="125"/>
      <c r="AH233" s="125"/>
      <c r="AI233" s="125">
        <v>4</v>
      </c>
      <c r="AJ233" s="125">
        <v>8726</v>
      </c>
      <c r="AK233" s="125">
        <v>96219</v>
      </c>
      <c r="AL233" s="125">
        <v>3155</v>
      </c>
      <c r="AM233" s="125">
        <v>15659</v>
      </c>
      <c r="AN233" s="125">
        <v>30</v>
      </c>
      <c r="AO233" s="125">
        <v>29</v>
      </c>
      <c r="AP233" s="125">
        <v>5926</v>
      </c>
      <c r="AQ233" s="125">
        <v>0</v>
      </c>
      <c r="AR233" s="125">
        <v>1797</v>
      </c>
      <c r="AS233" s="125">
        <v>5</v>
      </c>
      <c r="AT233" s="125">
        <v>4297</v>
      </c>
      <c r="AU233" s="125">
        <v>2166</v>
      </c>
      <c r="AV233" s="125">
        <v>3696</v>
      </c>
      <c r="AW233" s="125">
        <v>10695</v>
      </c>
      <c r="AX233" s="126"/>
      <c r="AY233" s="126"/>
      <c r="AZ233" s="126">
        <v>480</v>
      </c>
      <c r="BA233" s="126"/>
      <c r="BB233" s="125">
        <v>383</v>
      </c>
      <c r="BC233" s="125"/>
      <c r="BD233" s="125">
        <v>0</v>
      </c>
      <c r="BE233" s="125">
        <v>0</v>
      </c>
      <c r="BF233" s="125">
        <v>1013</v>
      </c>
      <c r="BG233" s="125">
        <v>0</v>
      </c>
      <c r="BH233" s="125">
        <v>0</v>
      </c>
      <c r="BI233" s="125">
        <v>8435</v>
      </c>
      <c r="BJ233" s="125">
        <v>34</v>
      </c>
      <c r="BK233" s="125">
        <v>3872</v>
      </c>
      <c r="BL233" s="125"/>
      <c r="BM233" s="125">
        <v>223</v>
      </c>
      <c r="BN233" s="125">
        <v>31</v>
      </c>
      <c r="BO233" s="125">
        <v>10376</v>
      </c>
      <c r="BP233" s="125">
        <v>52391</v>
      </c>
      <c r="BQ233" s="125">
        <v>723</v>
      </c>
      <c r="BR233" s="125">
        <v>143</v>
      </c>
      <c r="BS233" s="125">
        <v>4525</v>
      </c>
      <c r="BT233" s="125">
        <v>87</v>
      </c>
      <c r="BU233" s="125"/>
      <c r="BV233" s="125">
        <v>2</v>
      </c>
      <c r="BW233" s="125">
        <v>99</v>
      </c>
      <c r="BX233" s="125"/>
      <c r="BY233" s="125">
        <v>4</v>
      </c>
      <c r="BZ233" s="125">
        <v>0</v>
      </c>
      <c r="CA233" s="125">
        <v>20052</v>
      </c>
      <c r="CB233" s="125">
        <v>16535</v>
      </c>
      <c r="CC233" s="125">
        <v>111714</v>
      </c>
      <c r="CD233" s="125">
        <v>174231</v>
      </c>
      <c r="CE233" s="125">
        <v>21985</v>
      </c>
      <c r="CF233" s="125">
        <v>35091</v>
      </c>
      <c r="CG233" s="125">
        <v>0</v>
      </c>
      <c r="CH233" s="125">
        <v>22</v>
      </c>
      <c r="CI233" s="125">
        <v>4</v>
      </c>
      <c r="CJ233" s="125">
        <v>24</v>
      </c>
      <c r="CK233" s="125"/>
      <c r="CL233" s="125"/>
      <c r="CM233" s="125"/>
      <c r="CN233" s="125"/>
      <c r="CO233" s="125"/>
      <c r="CP233" s="125"/>
      <c r="CQ233" s="125"/>
      <c r="CR233" s="125"/>
      <c r="CS233" s="125"/>
      <c r="CT233" s="125"/>
      <c r="CU233" s="125"/>
      <c r="CV233" s="125"/>
      <c r="CW233" s="125"/>
      <c r="CX233" s="125"/>
      <c r="CY233" s="125">
        <v>0</v>
      </c>
      <c r="CZ233" s="125">
        <v>0</v>
      </c>
      <c r="DA233" s="125">
        <v>0</v>
      </c>
      <c r="DB233" s="125">
        <v>25</v>
      </c>
      <c r="DC233" s="125">
        <v>0</v>
      </c>
      <c r="DD233" s="125">
        <v>66</v>
      </c>
      <c r="DE233">
        <f t="shared" si="57"/>
        <v>738287</v>
      </c>
      <c r="DF233"/>
      <c r="DG233" s="1">
        <f t="shared" si="71"/>
        <v>464072</v>
      </c>
      <c r="DH233" s="1">
        <f t="shared" si="58"/>
        <v>225765</v>
      </c>
      <c r="DI233" s="1">
        <f t="shared" si="76"/>
        <v>689837</v>
      </c>
      <c r="DJ233"/>
      <c r="DK233" s="1">
        <f t="shared" si="60"/>
        <v>60209</v>
      </c>
      <c r="DL233" s="1">
        <f t="shared" si="61"/>
        <v>121455</v>
      </c>
      <c r="DM233" s="1">
        <f t="shared" si="62"/>
        <v>10847</v>
      </c>
      <c r="DN233" s="1">
        <f t="shared" si="63"/>
        <v>32716</v>
      </c>
      <c r="DO233" s="1">
        <f t="shared" si="64"/>
        <v>330696</v>
      </c>
      <c r="DP233" s="1">
        <f t="shared" si="65"/>
        <v>57139</v>
      </c>
      <c r="DQ233" s="1">
        <f t="shared" si="72"/>
        <v>0</v>
      </c>
      <c r="DR233" s="1">
        <f t="shared" si="66"/>
        <v>16752</v>
      </c>
      <c r="DS233" s="1">
        <f t="shared" si="67"/>
        <v>10119</v>
      </c>
      <c r="DT233" s="1">
        <f t="shared" si="68"/>
        <v>13340</v>
      </c>
      <c r="DU233" s="1"/>
      <c r="DV233" s="1"/>
      <c r="DW233" s="1"/>
      <c r="DX233" s="1">
        <f t="shared" si="73"/>
        <v>653273</v>
      </c>
      <c r="DY233"/>
      <c r="DZ233" s="1">
        <f t="shared" si="74"/>
        <v>35091</v>
      </c>
      <c r="EA233" s="1">
        <f t="shared" si="69"/>
        <v>48479</v>
      </c>
      <c r="EB233"/>
      <c r="EC233" s="1">
        <f t="shared" si="75"/>
        <v>736843</v>
      </c>
      <c r="ED233" s="1">
        <f t="shared" si="70"/>
        <v>-1444</v>
      </c>
      <c r="EE233" s="1"/>
    </row>
    <row r="234" spans="1:135" x14ac:dyDescent="0.25">
      <c r="A234" s="124">
        <v>39326</v>
      </c>
      <c r="B234" s="125">
        <v>0</v>
      </c>
      <c r="C234" s="125">
        <v>13</v>
      </c>
      <c r="D234" s="125">
        <v>4514</v>
      </c>
      <c r="E234" s="125">
        <v>0</v>
      </c>
      <c r="F234" s="125">
        <v>825</v>
      </c>
      <c r="G234" s="125">
        <v>13329</v>
      </c>
      <c r="H234" s="125">
        <v>23108</v>
      </c>
      <c r="I234" s="125">
        <v>4019</v>
      </c>
      <c r="J234" s="125">
        <v>7289</v>
      </c>
      <c r="K234" s="125"/>
      <c r="L234" s="125">
        <v>29535</v>
      </c>
      <c r="M234" s="125">
        <v>2212</v>
      </c>
      <c r="N234" s="125"/>
      <c r="O234" s="125">
        <v>1580</v>
      </c>
      <c r="P234" s="125">
        <v>9426</v>
      </c>
      <c r="Q234" s="125">
        <v>433</v>
      </c>
      <c r="R234" s="125">
        <v>8611</v>
      </c>
      <c r="S234" s="125">
        <v>10847</v>
      </c>
      <c r="T234" s="125"/>
      <c r="U234" s="125"/>
      <c r="V234" s="125">
        <v>525</v>
      </c>
      <c r="W234" s="125">
        <v>7887</v>
      </c>
      <c r="X234" s="125">
        <v>348</v>
      </c>
      <c r="Y234" s="125">
        <v>8</v>
      </c>
      <c r="Z234" s="126"/>
      <c r="AA234" s="125">
        <v>5</v>
      </c>
      <c r="AB234" s="125">
        <v>54</v>
      </c>
      <c r="AC234" s="125">
        <v>16</v>
      </c>
      <c r="AD234" s="125">
        <v>28</v>
      </c>
      <c r="AE234" s="125">
        <v>40</v>
      </c>
      <c r="AF234" s="125">
        <v>60</v>
      </c>
      <c r="AG234" s="125"/>
      <c r="AH234" s="125"/>
      <c r="AI234" s="125">
        <v>5</v>
      </c>
      <c r="AJ234" s="125">
        <v>8765</v>
      </c>
      <c r="AK234" s="125">
        <v>96658</v>
      </c>
      <c r="AL234" s="125">
        <v>3143</v>
      </c>
      <c r="AM234" s="125">
        <v>15686</v>
      </c>
      <c r="AN234" s="125">
        <v>32</v>
      </c>
      <c r="AO234" s="125">
        <v>27</v>
      </c>
      <c r="AP234" s="125">
        <v>6148</v>
      </c>
      <c r="AQ234" s="125">
        <v>0</v>
      </c>
      <c r="AR234" s="125">
        <v>1775</v>
      </c>
      <c r="AS234" s="125">
        <v>7</v>
      </c>
      <c r="AT234" s="125">
        <v>4339</v>
      </c>
      <c r="AU234" s="125">
        <v>2152</v>
      </c>
      <c r="AV234" s="125">
        <v>3752</v>
      </c>
      <c r="AW234" s="125">
        <v>10795</v>
      </c>
      <c r="AX234" s="126"/>
      <c r="AY234" s="126"/>
      <c r="AZ234" s="126">
        <v>495</v>
      </c>
      <c r="BA234" s="126"/>
      <c r="BB234" s="125">
        <v>371</v>
      </c>
      <c r="BC234" s="125"/>
      <c r="BD234" s="125">
        <v>0</v>
      </c>
      <c r="BE234" s="125">
        <v>0</v>
      </c>
      <c r="BF234" s="125">
        <v>988</v>
      </c>
      <c r="BG234" s="125">
        <v>0</v>
      </c>
      <c r="BH234" s="125">
        <v>0</v>
      </c>
      <c r="BI234" s="125">
        <v>8395</v>
      </c>
      <c r="BJ234" s="125">
        <v>35</v>
      </c>
      <c r="BK234" s="125">
        <v>3857</v>
      </c>
      <c r="BL234" s="125"/>
      <c r="BM234" s="125">
        <v>247</v>
      </c>
      <c r="BN234" s="125">
        <v>30</v>
      </c>
      <c r="BO234" s="125">
        <v>10119</v>
      </c>
      <c r="BP234" s="125">
        <v>52999</v>
      </c>
      <c r="BQ234" s="125">
        <v>708</v>
      </c>
      <c r="BR234" s="125">
        <v>143</v>
      </c>
      <c r="BS234" s="125">
        <v>4568</v>
      </c>
      <c r="BT234" s="125">
        <v>89</v>
      </c>
      <c r="BU234" s="125"/>
      <c r="BV234" s="125">
        <v>2</v>
      </c>
      <c r="BW234" s="125">
        <v>100</v>
      </c>
      <c r="BX234" s="125"/>
      <c r="BY234" s="125">
        <v>7</v>
      </c>
      <c r="BZ234" s="125">
        <v>0</v>
      </c>
      <c r="CA234" s="125">
        <v>20225</v>
      </c>
      <c r="CB234" s="125">
        <v>16731</v>
      </c>
      <c r="CC234" s="125">
        <v>112734</v>
      </c>
      <c r="CD234" s="125">
        <v>174719</v>
      </c>
      <c r="CE234" s="125">
        <v>21978</v>
      </c>
      <c r="CF234" s="125">
        <v>35351</v>
      </c>
      <c r="CG234" s="125">
        <v>0</v>
      </c>
      <c r="CH234" s="125">
        <v>21</v>
      </c>
      <c r="CI234" s="125">
        <v>4</v>
      </c>
      <c r="CJ234" s="125">
        <v>22</v>
      </c>
      <c r="CK234" s="125"/>
      <c r="CL234" s="125"/>
      <c r="CM234" s="125"/>
      <c r="CN234" s="125"/>
      <c r="CO234" s="125"/>
      <c r="CP234" s="125"/>
      <c r="CQ234" s="125"/>
      <c r="CR234" s="125"/>
      <c r="CS234" s="125"/>
      <c r="CT234" s="125"/>
      <c r="CU234" s="125"/>
      <c r="CV234" s="125"/>
      <c r="CW234" s="125"/>
      <c r="CX234" s="125"/>
      <c r="CY234" s="125">
        <v>0</v>
      </c>
      <c r="CZ234" s="125">
        <v>0</v>
      </c>
      <c r="DA234" s="125">
        <v>0</v>
      </c>
      <c r="DB234" s="125">
        <v>25</v>
      </c>
      <c r="DC234" s="125">
        <v>0</v>
      </c>
      <c r="DD234" s="125">
        <v>66</v>
      </c>
      <c r="DE234">
        <f t="shared" si="57"/>
        <v>742934</v>
      </c>
      <c r="DG234" s="1">
        <f t="shared" si="71"/>
        <v>464058</v>
      </c>
      <c r="DH234" s="1">
        <f t="shared" si="58"/>
        <v>226081</v>
      </c>
      <c r="DI234" s="1">
        <f t="shared" si="76"/>
        <v>690139</v>
      </c>
      <c r="DK234" s="1">
        <f t="shared" si="60"/>
        <v>60309</v>
      </c>
      <c r="DL234" s="1">
        <f t="shared" si="61"/>
        <v>121993</v>
      </c>
      <c r="DM234" s="1">
        <f t="shared" si="62"/>
        <v>10825</v>
      </c>
      <c r="DN234" s="1">
        <f t="shared" si="63"/>
        <v>32935</v>
      </c>
      <c r="DO234" s="1">
        <f t="shared" si="64"/>
        <v>330271</v>
      </c>
      <c r="DP234" s="1">
        <f t="shared" si="65"/>
        <v>57814</v>
      </c>
      <c r="DQ234" s="1">
        <f t="shared" si="72"/>
        <v>0</v>
      </c>
      <c r="DR234" s="1">
        <f t="shared" si="66"/>
        <v>16648</v>
      </c>
      <c r="DS234" s="1">
        <f t="shared" si="67"/>
        <v>10013</v>
      </c>
      <c r="DT234" s="1">
        <f t="shared" si="68"/>
        <v>13358</v>
      </c>
      <c r="DU234" s="1"/>
      <c r="DV234" s="1"/>
      <c r="DW234" s="1"/>
      <c r="DX234" s="1">
        <f t="shared" si="73"/>
        <v>654166</v>
      </c>
      <c r="DZ234" s="1">
        <f t="shared" si="74"/>
        <v>35351</v>
      </c>
      <c r="EA234" s="1">
        <f t="shared" si="69"/>
        <v>48570</v>
      </c>
      <c r="EC234" s="1">
        <f t="shared" si="75"/>
        <v>738087</v>
      </c>
      <c r="ED234" s="1">
        <f t="shared" si="70"/>
        <v>-4847</v>
      </c>
      <c r="EE234" s="1"/>
    </row>
    <row r="235" spans="1:135" x14ac:dyDescent="0.25">
      <c r="A235" s="124">
        <v>39356</v>
      </c>
      <c r="B235" s="125">
        <v>0</v>
      </c>
      <c r="C235" s="125">
        <v>19</v>
      </c>
      <c r="D235" s="125">
        <v>5364</v>
      </c>
      <c r="E235" s="125">
        <v>1</v>
      </c>
      <c r="F235" s="125">
        <v>855</v>
      </c>
      <c r="G235" s="125">
        <v>13340</v>
      </c>
      <c r="H235" s="125">
        <v>22898</v>
      </c>
      <c r="I235" s="125">
        <v>3965</v>
      </c>
      <c r="J235" s="125">
        <v>7289</v>
      </c>
      <c r="K235" s="125"/>
      <c r="L235" s="125">
        <v>29536</v>
      </c>
      <c r="M235" s="125">
        <v>2213</v>
      </c>
      <c r="N235" s="125"/>
      <c r="O235" s="125">
        <v>1566</v>
      </c>
      <c r="P235" s="125">
        <v>9530</v>
      </c>
      <c r="Q235" s="125">
        <v>426</v>
      </c>
      <c r="R235" s="125">
        <v>8651</v>
      </c>
      <c r="S235" s="125">
        <v>10825</v>
      </c>
      <c r="T235" s="125"/>
      <c r="U235" s="125"/>
      <c r="V235" s="125">
        <v>512</v>
      </c>
      <c r="W235" s="125">
        <v>7875</v>
      </c>
      <c r="X235" s="125">
        <v>345</v>
      </c>
      <c r="Y235" s="125">
        <v>8</v>
      </c>
      <c r="Z235" s="126"/>
      <c r="AA235" s="125">
        <v>5</v>
      </c>
      <c r="AB235" s="125">
        <v>55</v>
      </c>
      <c r="AC235" s="125">
        <v>18</v>
      </c>
      <c r="AD235" s="125">
        <v>27</v>
      </c>
      <c r="AE235" s="125">
        <v>43</v>
      </c>
      <c r="AF235" s="125">
        <v>58</v>
      </c>
      <c r="AG235" s="125"/>
      <c r="AH235" s="125"/>
      <c r="AI235" s="125">
        <v>7</v>
      </c>
      <c r="AJ235" s="125">
        <v>8726</v>
      </c>
      <c r="AK235" s="125">
        <v>96734</v>
      </c>
      <c r="AL235" s="125">
        <v>3152</v>
      </c>
      <c r="AM235" s="125">
        <v>15707</v>
      </c>
      <c r="AN235" s="125">
        <v>32</v>
      </c>
      <c r="AO235" s="125">
        <v>26</v>
      </c>
      <c r="AP235" s="125">
        <v>6347</v>
      </c>
      <c r="AQ235" s="125">
        <v>0</v>
      </c>
      <c r="AR235" s="125">
        <v>1724</v>
      </c>
      <c r="AS235" s="125">
        <v>8</v>
      </c>
      <c r="AT235" s="125">
        <v>4359</v>
      </c>
      <c r="AU235" s="125">
        <v>2152</v>
      </c>
      <c r="AV235" s="125">
        <v>3772</v>
      </c>
      <c r="AW235" s="125">
        <v>10797</v>
      </c>
      <c r="AX235" s="126"/>
      <c r="AY235" s="126"/>
      <c r="AZ235" s="126">
        <v>484</v>
      </c>
      <c r="BA235" s="126"/>
      <c r="BB235" s="125">
        <v>361</v>
      </c>
      <c r="BC235" s="125"/>
      <c r="BD235" s="125">
        <v>0</v>
      </c>
      <c r="BE235" s="125">
        <v>0</v>
      </c>
      <c r="BF235" s="125">
        <v>977</v>
      </c>
      <c r="BG235" s="125">
        <v>0</v>
      </c>
      <c r="BH235" s="125">
        <v>0</v>
      </c>
      <c r="BI235" s="125">
        <v>8459</v>
      </c>
      <c r="BJ235" s="125">
        <v>34</v>
      </c>
      <c r="BK235" s="125">
        <v>3821</v>
      </c>
      <c r="BL235" s="125"/>
      <c r="BM235" s="125">
        <v>256</v>
      </c>
      <c r="BN235" s="125">
        <v>30</v>
      </c>
      <c r="BO235" s="125">
        <v>10013</v>
      </c>
      <c r="BP235" s="125">
        <v>53400</v>
      </c>
      <c r="BQ235" s="125">
        <v>697</v>
      </c>
      <c r="BR235" s="125">
        <v>146</v>
      </c>
      <c r="BS235" s="125">
        <v>4479</v>
      </c>
      <c r="BT235" s="125">
        <v>79</v>
      </c>
      <c r="BU235" s="125"/>
      <c r="BV235" s="125">
        <v>2</v>
      </c>
      <c r="BW235" s="125">
        <v>101</v>
      </c>
      <c r="BX235" s="125"/>
      <c r="BY235" s="125">
        <v>11</v>
      </c>
      <c r="BZ235" s="125">
        <v>0</v>
      </c>
      <c r="CA235" s="125">
        <v>20500</v>
      </c>
      <c r="CB235" s="125">
        <v>16628</v>
      </c>
      <c r="CC235" s="125">
        <v>112689</v>
      </c>
      <c r="CD235" s="125">
        <v>174353</v>
      </c>
      <c r="CE235" s="125">
        <v>21704</v>
      </c>
      <c r="CF235" s="125">
        <v>35633</v>
      </c>
      <c r="CG235" s="125">
        <v>0</v>
      </c>
      <c r="CH235" s="125">
        <v>20</v>
      </c>
      <c r="CI235" s="125">
        <v>2</v>
      </c>
      <c r="CJ235" s="125">
        <v>24</v>
      </c>
      <c r="CK235" s="125"/>
      <c r="CL235" s="125"/>
      <c r="CM235" s="125"/>
      <c r="CN235" s="125"/>
      <c r="CO235" s="125"/>
      <c r="CP235" s="125"/>
      <c r="CQ235" s="125"/>
      <c r="CR235" s="125"/>
      <c r="CS235" s="125"/>
      <c r="CT235" s="125"/>
      <c r="CU235" s="125"/>
      <c r="CV235" s="125"/>
      <c r="CW235" s="125"/>
      <c r="CX235" s="125"/>
      <c r="CY235" s="125">
        <v>0</v>
      </c>
      <c r="CZ235" s="125">
        <v>0</v>
      </c>
      <c r="DA235" s="125">
        <v>0</v>
      </c>
      <c r="DB235" s="125">
        <v>24</v>
      </c>
      <c r="DC235" s="125">
        <v>0</v>
      </c>
      <c r="DD235" s="125">
        <v>65</v>
      </c>
      <c r="DE235">
        <f t="shared" si="57"/>
        <v>743870</v>
      </c>
      <c r="DG235" s="1">
        <f t="shared" si="71"/>
        <v>468363</v>
      </c>
      <c r="DH235" s="1">
        <f t="shared" si="58"/>
        <v>227384</v>
      </c>
      <c r="DI235" s="1">
        <f t="shared" si="76"/>
        <v>695747</v>
      </c>
      <c r="DK235" s="1">
        <f t="shared" si="60"/>
        <v>60457</v>
      </c>
      <c r="DL235" s="1">
        <f t="shared" si="61"/>
        <v>122012</v>
      </c>
      <c r="DM235" s="1">
        <f t="shared" si="62"/>
        <v>10878</v>
      </c>
      <c r="DN235" s="1">
        <f t="shared" si="63"/>
        <v>33229</v>
      </c>
      <c r="DO235" s="1">
        <f t="shared" si="64"/>
        <v>333177</v>
      </c>
      <c r="DP235" s="1">
        <f t="shared" si="65"/>
        <v>58135</v>
      </c>
      <c r="DQ235" s="1">
        <f t="shared" si="72"/>
        <v>0</v>
      </c>
      <c r="DR235" s="1">
        <f t="shared" si="66"/>
        <v>16613</v>
      </c>
      <c r="DS235" s="1">
        <f t="shared" si="67"/>
        <v>9894</v>
      </c>
      <c r="DT235" s="1">
        <f t="shared" si="68"/>
        <v>13352</v>
      </c>
      <c r="DU235" s="1"/>
      <c r="DV235" s="1"/>
      <c r="DW235" s="1"/>
      <c r="DX235" s="1">
        <f t="shared" si="73"/>
        <v>657747</v>
      </c>
      <c r="DZ235" s="1">
        <f t="shared" si="74"/>
        <v>35633</v>
      </c>
      <c r="EA235" s="1">
        <f t="shared" si="69"/>
        <v>48347</v>
      </c>
      <c r="EC235" s="1">
        <f t="shared" si="75"/>
        <v>741727</v>
      </c>
      <c r="ED235" s="1">
        <f t="shared" si="70"/>
        <v>-2143</v>
      </c>
      <c r="EE235" s="1"/>
    </row>
    <row r="236" spans="1:135" x14ac:dyDescent="0.25">
      <c r="A236" s="124">
        <v>39387</v>
      </c>
      <c r="B236" s="125">
        <v>0</v>
      </c>
      <c r="C236" s="125">
        <v>21</v>
      </c>
      <c r="D236" s="125">
        <v>6021</v>
      </c>
      <c r="E236" s="125">
        <v>1</v>
      </c>
      <c r="F236" s="125">
        <v>926</v>
      </c>
      <c r="G236" s="125">
        <v>13619</v>
      </c>
      <c r="H236" s="125">
        <v>23470</v>
      </c>
      <c r="I236" s="125">
        <v>3990</v>
      </c>
      <c r="J236" s="125">
        <v>7435</v>
      </c>
      <c r="K236" s="125"/>
      <c r="L236" s="125">
        <v>29525</v>
      </c>
      <c r="M236" s="125">
        <v>2203</v>
      </c>
      <c r="N236" s="125"/>
      <c r="O236" s="125">
        <v>1595</v>
      </c>
      <c r="P236" s="125">
        <v>9638</v>
      </c>
      <c r="Q236" s="125">
        <v>438</v>
      </c>
      <c r="R236" s="125">
        <v>8643</v>
      </c>
      <c r="S236" s="125">
        <v>10878</v>
      </c>
      <c r="T236" s="125"/>
      <c r="U236" s="125"/>
      <c r="V236" s="125">
        <v>509</v>
      </c>
      <c r="W236" s="125">
        <v>7906</v>
      </c>
      <c r="X236" s="125">
        <v>345</v>
      </c>
      <c r="Y236" s="125">
        <v>8</v>
      </c>
      <c r="Z236" s="126"/>
      <c r="AA236" s="125">
        <v>5</v>
      </c>
      <c r="AB236" s="125">
        <v>61</v>
      </c>
      <c r="AC236" s="125">
        <v>18</v>
      </c>
      <c r="AD236" s="125">
        <v>28</v>
      </c>
      <c r="AE236" s="125">
        <v>39</v>
      </c>
      <c r="AF236" s="125">
        <v>58</v>
      </c>
      <c r="AG236" s="125"/>
      <c r="AH236" s="125"/>
      <c r="AI236" s="125">
        <v>6</v>
      </c>
      <c r="AJ236" s="125">
        <v>8847</v>
      </c>
      <c r="AK236" s="125">
        <v>97229</v>
      </c>
      <c r="AL236" s="125">
        <v>3151</v>
      </c>
      <c r="AM236" s="125">
        <v>15743</v>
      </c>
      <c r="AN236" s="125">
        <v>30</v>
      </c>
      <c r="AO236" s="125">
        <v>23</v>
      </c>
      <c r="AP236" s="125">
        <v>6534</v>
      </c>
      <c r="AQ236" s="125">
        <v>0</v>
      </c>
      <c r="AR236" s="125">
        <v>1751</v>
      </c>
      <c r="AS236" s="125">
        <v>10</v>
      </c>
      <c r="AT236" s="125">
        <v>4440</v>
      </c>
      <c r="AU236" s="125">
        <v>2164</v>
      </c>
      <c r="AV236" s="125">
        <v>3815</v>
      </c>
      <c r="AW236" s="125">
        <v>10871</v>
      </c>
      <c r="AX236" s="126"/>
      <c r="AY236" s="126"/>
      <c r="AZ236" s="126">
        <v>498</v>
      </c>
      <c r="BA236" s="126"/>
      <c r="BB236" s="125">
        <v>375</v>
      </c>
      <c r="BC236" s="125"/>
      <c r="BD236" s="125">
        <v>0</v>
      </c>
      <c r="BE236" s="125">
        <v>0</v>
      </c>
      <c r="BF236" s="125">
        <v>980</v>
      </c>
      <c r="BG236" s="125">
        <v>0</v>
      </c>
      <c r="BH236" s="125">
        <v>0</v>
      </c>
      <c r="BI236" s="125">
        <v>8495</v>
      </c>
      <c r="BJ236" s="125">
        <v>34</v>
      </c>
      <c r="BK236" s="125">
        <v>3778</v>
      </c>
      <c r="BL236" s="125"/>
      <c r="BM236" s="125">
        <v>312</v>
      </c>
      <c r="BN236" s="125">
        <v>31</v>
      </c>
      <c r="BO236" s="125">
        <v>9894</v>
      </c>
      <c r="BP236" s="125">
        <v>54286</v>
      </c>
      <c r="BQ236" s="125">
        <v>736</v>
      </c>
      <c r="BR236" s="125">
        <v>144</v>
      </c>
      <c r="BS236" s="125">
        <v>4542</v>
      </c>
      <c r="BT236" s="125">
        <v>74</v>
      </c>
      <c r="BU236" s="125"/>
      <c r="BV236" s="125">
        <v>4</v>
      </c>
      <c r="BW236" s="125">
        <v>99</v>
      </c>
      <c r="BX236" s="125"/>
      <c r="BY236" s="125">
        <v>9</v>
      </c>
      <c r="BZ236" s="125">
        <v>0</v>
      </c>
      <c r="CA236" s="125">
        <v>20693</v>
      </c>
      <c r="CB236" s="125">
        <v>16593</v>
      </c>
      <c r="CC236" s="125">
        <v>113910</v>
      </c>
      <c r="CD236" s="125">
        <v>175504</v>
      </c>
      <c r="CE236" s="125">
        <v>22009</v>
      </c>
      <c r="CF236" s="125">
        <v>36187</v>
      </c>
      <c r="CG236" s="125">
        <v>0</v>
      </c>
      <c r="CH236" s="125">
        <v>20</v>
      </c>
      <c r="CI236" s="125">
        <v>2</v>
      </c>
      <c r="CJ236" s="125">
        <v>27</v>
      </c>
      <c r="CK236" s="125"/>
      <c r="CL236" s="125"/>
      <c r="CM236" s="125"/>
      <c r="CN236" s="125"/>
      <c r="CO236" s="125"/>
      <c r="CP236" s="125"/>
      <c r="CQ236" s="125"/>
      <c r="CR236" s="125"/>
      <c r="CS236" s="125"/>
      <c r="CT236" s="125"/>
      <c r="CU236" s="125"/>
      <c r="CV236" s="125"/>
      <c r="CW236" s="125"/>
      <c r="CX236" s="125"/>
      <c r="CY236" s="125">
        <v>0</v>
      </c>
      <c r="CZ236" s="125">
        <v>0</v>
      </c>
      <c r="DA236" s="125">
        <v>0</v>
      </c>
      <c r="DB236" s="125">
        <v>24</v>
      </c>
      <c r="DC236" s="125">
        <v>0</v>
      </c>
      <c r="DD236" s="125">
        <v>63</v>
      </c>
      <c r="DE236">
        <f t="shared" si="57"/>
        <v>751230</v>
      </c>
      <c r="DG236" s="1">
        <f t="shared" si="71"/>
        <v>469360</v>
      </c>
      <c r="DH236" s="1">
        <f t="shared" si="58"/>
        <v>227711</v>
      </c>
      <c r="DI236" s="1">
        <f t="shared" si="76"/>
        <v>697071</v>
      </c>
      <c r="DK236" s="1">
        <f t="shared" si="60"/>
        <v>60221</v>
      </c>
      <c r="DL236" s="1">
        <f t="shared" si="61"/>
        <v>122820</v>
      </c>
      <c r="DM236" s="1">
        <f t="shared" si="62"/>
        <v>10826</v>
      </c>
      <c r="DN236" s="1">
        <f t="shared" si="63"/>
        <v>33471</v>
      </c>
      <c r="DO236" s="1">
        <f t="shared" si="64"/>
        <v>334147</v>
      </c>
      <c r="DP236" s="1">
        <f t="shared" si="65"/>
        <v>59140</v>
      </c>
      <c r="DQ236" s="1">
        <f t="shared" si="72"/>
        <v>0</v>
      </c>
      <c r="DR236" s="1">
        <f t="shared" si="66"/>
        <v>16283</v>
      </c>
      <c r="DS236" s="1">
        <f t="shared" si="67"/>
        <v>9847</v>
      </c>
      <c r="DT236" s="1">
        <f t="shared" si="68"/>
        <v>13307</v>
      </c>
      <c r="DU236" s="1"/>
      <c r="DV236" s="1"/>
      <c r="DW236" s="1"/>
      <c r="DX236" s="1">
        <f t="shared" si="73"/>
        <v>660062</v>
      </c>
      <c r="DZ236" s="1">
        <f t="shared" si="74"/>
        <v>36187</v>
      </c>
      <c r="EA236" s="1">
        <f t="shared" si="69"/>
        <v>49440</v>
      </c>
      <c r="EC236" s="1">
        <f t="shared" si="75"/>
        <v>745689</v>
      </c>
      <c r="ED236" s="1">
        <f t="shared" si="70"/>
        <v>-5541</v>
      </c>
      <c r="EE236" s="1"/>
    </row>
    <row r="237" spans="1:135" x14ac:dyDescent="0.25">
      <c r="A237" s="124">
        <v>39417</v>
      </c>
      <c r="B237" s="125">
        <v>0</v>
      </c>
      <c r="C237" s="125">
        <v>18</v>
      </c>
      <c r="D237" s="125">
        <v>5380</v>
      </c>
      <c r="E237" s="125">
        <v>1</v>
      </c>
      <c r="F237" s="125">
        <v>998</v>
      </c>
      <c r="G237" s="125">
        <v>13875</v>
      </c>
      <c r="H237" s="125">
        <v>23815</v>
      </c>
      <c r="I237" s="125">
        <v>4064</v>
      </c>
      <c r="J237" s="125">
        <v>7498</v>
      </c>
      <c r="K237" s="125"/>
      <c r="L237" s="125">
        <v>29384</v>
      </c>
      <c r="M237" s="125">
        <v>2187</v>
      </c>
      <c r="N237" s="125"/>
      <c r="O237" s="125">
        <v>1597</v>
      </c>
      <c r="P237" s="125">
        <v>9624</v>
      </c>
      <c r="Q237" s="125">
        <v>433</v>
      </c>
      <c r="R237" s="125">
        <v>8572</v>
      </c>
      <c r="S237" s="125">
        <v>10826</v>
      </c>
      <c r="T237" s="125"/>
      <c r="U237" s="125"/>
      <c r="V237" s="125">
        <v>500</v>
      </c>
      <c r="W237" s="125">
        <v>7924</v>
      </c>
      <c r="X237" s="125">
        <v>342</v>
      </c>
      <c r="Y237" s="125">
        <v>7</v>
      </c>
      <c r="Z237" s="126"/>
      <c r="AA237" s="125">
        <v>3</v>
      </c>
      <c r="AB237" s="125">
        <v>60</v>
      </c>
      <c r="AC237" s="125">
        <v>17</v>
      </c>
      <c r="AD237" s="125">
        <v>27</v>
      </c>
      <c r="AE237" s="125">
        <v>41</v>
      </c>
      <c r="AF237" s="125">
        <v>59</v>
      </c>
      <c r="AG237" s="125"/>
      <c r="AH237" s="125"/>
      <c r="AI237" s="125">
        <v>5</v>
      </c>
      <c r="AJ237" s="125">
        <v>8891</v>
      </c>
      <c r="AK237" s="125">
        <v>97557</v>
      </c>
      <c r="AL237" s="125">
        <v>3158</v>
      </c>
      <c r="AM237" s="125">
        <v>15762</v>
      </c>
      <c r="AN237" s="125">
        <v>32</v>
      </c>
      <c r="AO237" s="125">
        <v>25</v>
      </c>
      <c r="AP237" s="125">
        <v>6705</v>
      </c>
      <c r="AQ237" s="125">
        <v>0</v>
      </c>
      <c r="AR237" s="125">
        <v>1741</v>
      </c>
      <c r="AS237" s="125">
        <v>12</v>
      </c>
      <c r="AT237" s="125">
        <v>4476</v>
      </c>
      <c r="AU237" s="125">
        <v>2161</v>
      </c>
      <c r="AV237" s="125">
        <v>3798</v>
      </c>
      <c r="AW237" s="125">
        <v>10920</v>
      </c>
      <c r="AX237" s="126"/>
      <c r="AY237" s="126"/>
      <c r="AZ237" s="126">
        <v>504</v>
      </c>
      <c r="BA237" s="126"/>
      <c r="BB237" s="125">
        <v>361</v>
      </c>
      <c r="BC237" s="125"/>
      <c r="BD237" s="125">
        <v>0</v>
      </c>
      <c r="BE237" s="125">
        <v>0</v>
      </c>
      <c r="BF237" s="125">
        <v>979</v>
      </c>
      <c r="BG237" s="125">
        <v>0</v>
      </c>
      <c r="BH237" s="125">
        <v>0</v>
      </c>
      <c r="BI237" s="125">
        <v>8477</v>
      </c>
      <c r="BJ237" s="125">
        <v>34</v>
      </c>
      <c r="BK237" s="125">
        <v>3752</v>
      </c>
      <c r="BL237" s="125"/>
      <c r="BM237" s="125">
        <v>311</v>
      </c>
      <c r="BN237" s="125">
        <v>32</v>
      </c>
      <c r="BO237" s="125">
        <v>9847</v>
      </c>
      <c r="BP237" s="125">
        <v>54599</v>
      </c>
      <c r="BQ237" s="125">
        <v>743</v>
      </c>
      <c r="BR237" s="125">
        <v>152</v>
      </c>
      <c r="BS237" s="125">
        <v>4449</v>
      </c>
      <c r="BT237" s="125">
        <v>84</v>
      </c>
      <c r="BU237" s="125"/>
      <c r="BV237" s="125">
        <v>4</v>
      </c>
      <c r="BW237" s="125">
        <v>99</v>
      </c>
      <c r="BX237" s="125"/>
      <c r="BY237" s="125">
        <v>7</v>
      </c>
      <c r="BZ237" s="125">
        <v>0</v>
      </c>
      <c r="CA237" s="125">
        <v>20613</v>
      </c>
      <c r="CB237" s="125">
        <v>16267</v>
      </c>
      <c r="CC237" s="125">
        <v>114160</v>
      </c>
      <c r="CD237" s="125">
        <v>175868</v>
      </c>
      <c r="CE237" s="125">
        <v>22424</v>
      </c>
      <c r="CF237" s="125">
        <v>36417</v>
      </c>
      <c r="CG237" s="125">
        <v>0</v>
      </c>
      <c r="CH237" s="125">
        <v>16</v>
      </c>
      <c r="CI237" s="125">
        <v>2</v>
      </c>
      <c r="CJ237" s="125">
        <v>24</v>
      </c>
      <c r="CK237" s="125"/>
      <c r="CL237" s="125"/>
      <c r="CM237" s="125"/>
      <c r="CN237" s="125"/>
      <c r="CO237" s="125"/>
      <c r="CP237" s="125"/>
      <c r="CQ237" s="125"/>
      <c r="CR237" s="125"/>
      <c r="CS237" s="125"/>
      <c r="CT237" s="125"/>
      <c r="CU237" s="125"/>
      <c r="CV237" s="125"/>
      <c r="CW237" s="125"/>
      <c r="CX237" s="125"/>
      <c r="CY237" s="125">
        <v>0</v>
      </c>
      <c r="CZ237" s="125">
        <v>0</v>
      </c>
      <c r="DA237" s="125">
        <v>0</v>
      </c>
      <c r="DB237" s="125">
        <v>24</v>
      </c>
      <c r="DC237" s="125">
        <v>0</v>
      </c>
      <c r="DD237" s="125">
        <v>63</v>
      </c>
      <c r="DE237">
        <f t="shared" si="57"/>
        <v>752720</v>
      </c>
      <c r="DG237" s="1">
        <f t="shared" si="71"/>
        <v>469517</v>
      </c>
      <c r="DH237" s="1">
        <f t="shared" si="58"/>
        <v>221345</v>
      </c>
      <c r="DI237" s="1">
        <f t="shared" si="76"/>
        <v>690862</v>
      </c>
      <c r="DK237" s="1">
        <f t="shared" si="60"/>
        <v>60202</v>
      </c>
      <c r="DL237" s="1">
        <f t="shared" si="61"/>
        <v>123193</v>
      </c>
      <c r="DM237" s="1">
        <f t="shared" si="62"/>
        <v>10854</v>
      </c>
      <c r="DN237" s="1">
        <f t="shared" si="63"/>
        <v>26797</v>
      </c>
      <c r="DO237" s="1">
        <f t="shared" si="64"/>
        <v>334262</v>
      </c>
      <c r="DP237" s="1">
        <f t="shared" si="65"/>
        <v>59359</v>
      </c>
      <c r="DQ237" s="1">
        <f t="shared" si="72"/>
        <v>0</v>
      </c>
      <c r="DR237" s="1">
        <f t="shared" si="66"/>
        <v>16130</v>
      </c>
      <c r="DS237" s="1">
        <f t="shared" si="67"/>
        <v>9731</v>
      </c>
      <c r="DT237" s="1">
        <f t="shared" si="68"/>
        <v>13271</v>
      </c>
      <c r="DU237" s="1"/>
      <c r="DV237" s="1"/>
      <c r="DW237" s="1"/>
      <c r="DX237" s="1">
        <f t="shared" si="73"/>
        <v>653799</v>
      </c>
      <c r="DZ237" s="1">
        <f t="shared" si="74"/>
        <v>36417</v>
      </c>
      <c r="EA237" s="1">
        <f t="shared" si="69"/>
        <v>50250</v>
      </c>
      <c r="EC237" s="1">
        <f t="shared" si="75"/>
        <v>740466</v>
      </c>
      <c r="ED237" s="1">
        <f t="shared" si="70"/>
        <v>-12254</v>
      </c>
      <c r="EE237" s="1"/>
    </row>
    <row r="238" spans="1:135" x14ac:dyDescent="0.25">
      <c r="A238" s="124">
        <v>39448</v>
      </c>
      <c r="B238" s="125">
        <v>0</v>
      </c>
      <c r="C238" s="125">
        <v>12</v>
      </c>
      <c r="D238" s="125">
        <v>4476</v>
      </c>
      <c r="E238" s="125">
        <v>0</v>
      </c>
      <c r="F238" s="125">
        <v>1023</v>
      </c>
      <c r="G238" s="125">
        <v>13980</v>
      </c>
      <c r="H238" s="125">
        <v>23951</v>
      </c>
      <c r="I238" s="125">
        <v>4183</v>
      </c>
      <c r="J238" s="125">
        <v>7817</v>
      </c>
      <c r="K238" s="125"/>
      <c r="L238" s="125">
        <v>29377</v>
      </c>
      <c r="M238" s="125">
        <v>2182</v>
      </c>
      <c r="N238" s="125"/>
      <c r="O238" s="125">
        <v>1593</v>
      </c>
      <c r="P238" s="125">
        <v>9630</v>
      </c>
      <c r="Q238" s="125">
        <v>432</v>
      </c>
      <c r="R238" s="125">
        <v>8560</v>
      </c>
      <c r="S238" s="125">
        <v>10854</v>
      </c>
      <c r="T238" s="125"/>
      <c r="U238" s="125"/>
      <c r="V238" s="125">
        <v>498</v>
      </c>
      <c r="W238" s="125">
        <v>7930</v>
      </c>
      <c r="X238" s="125">
        <v>340</v>
      </c>
      <c r="Y238" s="125">
        <v>7</v>
      </c>
      <c r="Z238" s="126"/>
      <c r="AA238" s="125">
        <v>3</v>
      </c>
      <c r="AB238" s="125">
        <v>65</v>
      </c>
      <c r="AC238" s="125">
        <v>16</v>
      </c>
      <c r="AD238" s="125">
        <v>26</v>
      </c>
      <c r="AE238" s="125">
        <v>42</v>
      </c>
      <c r="AF238" s="125">
        <v>57</v>
      </c>
      <c r="AG238" s="125"/>
      <c r="AH238" s="125"/>
      <c r="AI238" s="125">
        <v>4</v>
      </c>
      <c r="AJ238" s="125">
        <v>8926</v>
      </c>
      <c r="AK238" s="125">
        <v>97811</v>
      </c>
      <c r="AL238" s="125">
        <v>3146</v>
      </c>
      <c r="AM238" s="125">
        <v>15733</v>
      </c>
      <c r="AN238" s="125">
        <v>35</v>
      </c>
      <c r="AO238" s="125">
        <v>28</v>
      </c>
      <c r="AP238" s="125">
        <v>0</v>
      </c>
      <c r="AQ238" s="125">
        <v>0</v>
      </c>
      <c r="AR238" s="125">
        <v>1763</v>
      </c>
      <c r="AS238" s="125">
        <v>13</v>
      </c>
      <c r="AT238" s="125">
        <v>4498</v>
      </c>
      <c r="AU238" s="125">
        <v>2167</v>
      </c>
      <c r="AV238" s="125">
        <v>3785</v>
      </c>
      <c r="AW238" s="125">
        <v>10979</v>
      </c>
      <c r="AX238" s="126"/>
      <c r="AY238" s="126"/>
      <c r="AZ238" s="126">
        <v>503</v>
      </c>
      <c r="BA238" s="126"/>
      <c r="BB238" s="125">
        <v>342</v>
      </c>
      <c r="BC238" s="125"/>
      <c r="BD238" s="125">
        <v>0</v>
      </c>
      <c r="BE238" s="125">
        <v>0</v>
      </c>
      <c r="BF238" s="125">
        <v>978</v>
      </c>
      <c r="BG238" s="125">
        <v>0</v>
      </c>
      <c r="BH238" s="125">
        <v>0</v>
      </c>
      <c r="BI238" s="125">
        <v>8453</v>
      </c>
      <c r="BJ238" s="125">
        <v>37</v>
      </c>
      <c r="BK238" s="125">
        <v>3740</v>
      </c>
      <c r="BL238" s="125"/>
      <c r="BM238" s="125">
        <v>324</v>
      </c>
      <c r="BN238" s="125">
        <v>30</v>
      </c>
      <c r="BO238" s="125">
        <v>9731</v>
      </c>
      <c r="BP238" s="125">
        <v>54764</v>
      </c>
      <c r="BQ238" s="125">
        <v>741</v>
      </c>
      <c r="BR238" s="125">
        <v>155</v>
      </c>
      <c r="BS238" s="125">
        <v>4463</v>
      </c>
      <c r="BT238" s="125">
        <v>78</v>
      </c>
      <c r="BU238" s="125"/>
      <c r="BV238" s="125">
        <v>4</v>
      </c>
      <c r="BW238" s="125">
        <v>100</v>
      </c>
      <c r="BX238" s="125"/>
      <c r="BY238" s="125">
        <v>6</v>
      </c>
      <c r="BZ238" s="125">
        <v>0</v>
      </c>
      <c r="CA238" s="125">
        <v>20729</v>
      </c>
      <c r="CB238" s="125">
        <v>16114</v>
      </c>
      <c r="CC238" s="125">
        <v>113952</v>
      </c>
      <c r="CD238" s="125">
        <v>176034</v>
      </c>
      <c r="CE238" s="125">
        <v>22465</v>
      </c>
      <c r="CF238" s="125">
        <v>36572</v>
      </c>
      <c r="CG238" s="125">
        <v>0</v>
      </c>
      <c r="CH238" s="125">
        <v>16</v>
      </c>
      <c r="CI238" s="125">
        <v>4</v>
      </c>
      <c r="CJ238" s="125">
        <v>27</v>
      </c>
      <c r="CK238" s="125"/>
      <c r="CL238" s="125"/>
      <c r="CM238" s="125"/>
      <c r="CN238" s="125"/>
      <c r="CO238" s="125"/>
      <c r="CP238" s="125"/>
      <c r="CQ238" s="125"/>
      <c r="CR238" s="125"/>
      <c r="CS238" s="125"/>
      <c r="CT238" s="125"/>
      <c r="CU238" s="125"/>
      <c r="CV238" s="125"/>
      <c r="CW238" s="125"/>
      <c r="CX238" s="125"/>
      <c r="CY238" s="125">
        <v>0</v>
      </c>
      <c r="CZ238" s="125">
        <v>0</v>
      </c>
      <c r="DA238" s="125">
        <v>0</v>
      </c>
      <c r="DB238" s="125">
        <v>24</v>
      </c>
      <c r="DC238" s="125">
        <v>0</v>
      </c>
      <c r="DD238" s="125">
        <v>63</v>
      </c>
      <c r="DE238">
        <f t="shared" si="57"/>
        <v>746304</v>
      </c>
      <c r="DG238" s="1">
        <f t="shared" si="71"/>
        <v>472692</v>
      </c>
      <c r="DH238" s="1">
        <f t="shared" si="58"/>
        <v>224729</v>
      </c>
      <c r="DI238" s="1">
        <f t="shared" si="76"/>
        <v>697421</v>
      </c>
      <c r="DK238" s="1">
        <f t="shared" si="60"/>
        <v>60006</v>
      </c>
      <c r="DL238" s="1">
        <f t="shared" si="61"/>
        <v>123492</v>
      </c>
      <c r="DM238" s="1">
        <f t="shared" si="62"/>
        <v>10838</v>
      </c>
      <c r="DN238" s="1">
        <f t="shared" si="63"/>
        <v>29937</v>
      </c>
      <c r="DO238" s="1">
        <f t="shared" si="64"/>
        <v>337194</v>
      </c>
      <c r="DP238" s="1">
        <f t="shared" si="65"/>
        <v>59551</v>
      </c>
      <c r="DQ238" s="1">
        <f t="shared" si="72"/>
        <v>0</v>
      </c>
      <c r="DR238" s="1">
        <f t="shared" si="66"/>
        <v>16258</v>
      </c>
      <c r="DS238" s="1">
        <f t="shared" si="67"/>
        <v>8677</v>
      </c>
      <c r="DT238" s="1">
        <f t="shared" si="68"/>
        <v>13271</v>
      </c>
      <c r="DU238" s="1"/>
      <c r="DV238" s="1"/>
      <c r="DW238" s="1"/>
      <c r="DX238" s="1">
        <f t="shared" si="73"/>
        <v>659224</v>
      </c>
      <c r="DZ238" s="1">
        <f t="shared" si="74"/>
        <v>36572</v>
      </c>
      <c r="EA238" s="1">
        <f t="shared" si="69"/>
        <v>50954</v>
      </c>
      <c r="EC238" s="1">
        <f t="shared" si="75"/>
        <v>746750</v>
      </c>
      <c r="ED238" s="1">
        <f t="shared" si="70"/>
        <v>446</v>
      </c>
      <c r="EE238" s="1"/>
    </row>
    <row r="239" spans="1:135" x14ac:dyDescent="0.25">
      <c r="A239" s="124">
        <v>39479</v>
      </c>
      <c r="B239" s="125">
        <v>0</v>
      </c>
      <c r="C239" s="125">
        <v>9</v>
      </c>
      <c r="D239" s="125">
        <v>3620</v>
      </c>
      <c r="E239" s="125">
        <v>0</v>
      </c>
      <c r="F239" s="125">
        <v>1044</v>
      </c>
      <c r="G239" s="125">
        <v>14107</v>
      </c>
      <c r="H239" s="125">
        <v>24317</v>
      </c>
      <c r="I239" s="125">
        <v>4308</v>
      </c>
      <c r="J239" s="125">
        <v>8065</v>
      </c>
      <c r="K239" s="125"/>
      <c r="L239" s="125">
        <v>29256</v>
      </c>
      <c r="M239" s="125">
        <v>2166</v>
      </c>
      <c r="N239" s="125"/>
      <c r="O239" s="125">
        <v>1575</v>
      </c>
      <c r="P239" s="125">
        <v>9592</v>
      </c>
      <c r="Q239" s="125">
        <v>431</v>
      </c>
      <c r="R239" s="125">
        <v>8521</v>
      </c>
      <c r="S239" s="125">
        <v>10838</v>
      </c>
      <c r="T239" s="125"/>
      <c r="U239" s="125"/>
      <c r="V239" s="125">
        <v>500</v>
      </c>
      <c r="W239" s="125">
        <v>7965</v>
      </c>
      <c r="X239" s="125">
        <v>341</v>
      </c>
      <c r="Y239" s="125">
        <v>7</v>
      </c>
      <c r="Z239" s="126"/>
      <c r="AA239" s="125">
        <v>3</v>
      </c>
      <c r="AB239" s="125">
        <v>68</v>
      </c>
      <c r="AC239" s="125">
        <v>16</v>
      </c>
      <c r="AD239" s="125">
        <v>26</v>
      </c>
      <c r="AE239" s="125">
        <v>40</v>
      </c>
      <c r="AF239" s="125">
        <v>55</v>
      </c>
      <c r="AG239" s="125"/>
      <c r="AH239" s="125"/>
      <c r="AI239" s="125">
        <v>4</v>
      </c>
      <c r="AJ239" s="125">
        <v>8995</v>
      </c>
      <c r="AK239" s="125">
        <v>98147</v>
      </c>
      <c r="AL239" s="125">
        <v>3111</v>
      </c>
      <c r="AM239" s="125">
        <v>15930</v>
      </c>
      <c r="AN239" s="125">
        <v>31</v>
      </c>
      <c r="AO239" s="125">
        <v>28</v>
      </c>
      <c r="AP239" s="125">
        <v>2853</v>
      </c>
      <c r="AQ239" s="125">
        <v>0</v>
      </c>
      <c r="AR239" s="125">
        <v>1763</v>
      </c>
      <c r="AS239" s="125">
        <v>14</v>
      </c>
      <c r="AT239" s="125">
        <v>4536</v>
      </c>
      <c r="AU239" s="125">
        <v>2192</v>
      </c>
      <c r="AV239" s="125">
        <v>3784</v>
      </c>
      <c r="AW239" s="125">
        <v>11071</v>
      </c>
      <c r="AX239" s="126"/>
      <c r="AY239" s="126"/>
      <c r="AZ239" s="126">
        <v>513</v>
      </c>
      <c r="BA239" s="126"/>
      <c r="BB239" s="125">
        <v>357</v>
      </c>
      <c r="BC239" s="125"/>
      <c r="BD239" s="125">
        <v>0</v>
      </c>
      <c r="BE239" s="125">
        <v>0</v>
      </c>
      <c r="BF239" s="125">
        <v>994</v>
      </c>
      <c r="BG239" s="125">
        <v>0</v>
      </c>
      <c r="BH239" s="125">
        <v>0</v>
      </c>
      <c r="BI239" s="125">
        <v>8456</v>
      </c>
      <c r="BJ239" s="125">
        <v>39</v>
      </c>
      <c r="BK239" s="125">
        <v>3722</v>
      </c>
      <c r="BL239" s="125"/>
      <c r="BM239" s="125">
        <v>308</v>
      </c>
      <c r="BN239" s="125">
        <v>30</v>
      </c>
      <c r="BO239" s="125">
        <v>8677</v>
      </c>
      <c r="BP239" s="125">
        <v>55690</v>
      </c>
      <c r="BQ239" s="125">
        <v>715</v>
      </c>
      <c r="BR239" s="125">
        <v>160</v>
      </c>
      <c r="BS239" s="125">
        <v>4501</v>
      </c>
      <c r="BT239" s="125">
        <v>64</v>
      </c>
      <c r="BU239" s="125"/>
      <c r="BV239" s="125">
        <v>3</v>
      </c>
      <c r="BW239" s="125">
        <v>99</v>
      </c>
      <c r="BX239" s="125"/>
      <c r="BY239" s="125">
        <v>7</v>
      </c>
      <c r="BZ239" s="125">
        <v>0</v>
      </c>
      <c r="CA239" s="125">
        <v>20687</v>
      </c>
      <c r="CB239" s="125">
        <v>16243</v>
      </c>
      <c r="CC239" s="125">
        <v>115055</v>
      </c>
      <c r="CD239" s="125">
        <v>177208</v>
      </c>
      <c r="CE239" s="125">
        <v>23196</v>
      </c>
      <c r="CF239" s="125">
        <v>36793</v>
      </c>
      <c r="CG239" s="125">
        <v>0</v>
      </c>
      <c r="CH239" s="125">
        <v>15</v>
      </c>
      <c r="CI239" s="125">
        <v>5</v>
      </c>
      <c r="CJ239" s="125">
        <v>25</v>
      </c>
      <c r="CK239" s="125"/>
      <c r="CL239" s="125"/>
      <c r="CM239" s="125"/>
      <c r="CN239" s="125"/>
      <c r="CO239" s="125"/>
      <c r="CP239" s="125"/>
      <c r="CQ239" s="125"/>
      <c r="CR239" s="125"/>
      <c r="CS239" s="125"/>
      <c r="CT239" s="125"/>
      <c r="CU239" s="125"/>
      <c r="CV239" s="125"/>
      <c r="CW239" s="125"/>
      <c r="CX239" s="125"/>
      <c r="CY239" s="125">
        <v>0</v>
      </c>
      <c r="CZ239" s="125">
        <v>0</v>
      </c>
      <c r="DA239" s="125">
        <v>0</v>
      </c>
      <c r="DB239" s="125">
        <v>24</v>
      </c>
      <c r="DC239" s="125">
        <v>0</v>
      </c>
      <c r="DD239" s="125">
        <v>63</v>
      </c>
      <c r="DE239">
        <f t="shared" si="57"/>
        <v>752891</v>
      </c>
      <c r="DG239" s="1">
        <f t="shared" si="71"/>
        <v>473626</v>
      </c>
      <c r="DH239" s="1">
        <f t="shared" si="58"/>
        <v>226423</v>
      </c>
      <c r="DI239" s="1">
        <f t="shared" si="76"/>
        <v>700049</v>
      </c>
      <c r="DK239" s="1">
        <f t="shared" si="60"/>
        <v>60015</v>
      </c>
      <c r="DL239" s="1">
        <f t="shared" si="61"/>
        <v>123948</v>
      </c>
      <c r="DM239" s="1">
        <f t="shared" si="62"/>
        <v>10826</v>
      </c>
      <c r="DN239" s="1">
        <f t="shared" si="63"/>
        <v>31917</v>
      </c>
      <c r="DO239" s="1">
        <f t="shared" si="64"/>
        <v>338466</v>
      </c>
      <c r="DP239" s="1">
        <f t="shared" si="65"/>
        <v>60499</v>
      </c>
      <c r="DQ239" s="1">
        <f t="shared" si="72"/>
        <v>0</v>
      </c>
      <c r="DR239" s="1">
        <f t="shared" si="66"/>
        <v>16406</v>
      </c>
      <c r="DS239" s="1">
        <f t="shared" si="67"/>
        <v>8143</v>
      </c>
      <c r="DT239" s="1">
        <f t="shared" si="68"/>
        <v>13252</v>
      </c>
      <c r="DU239" s="1"/>
      <c r="DV239" s="1"/>
      <c r="DW239" s="1"/>
      <c r="DX239" s="1">
        <f t="shared" si="73"/>
        <v>663472</v>
      </c>
      <c r="DZ239" s="1">
        <f t="shared" si="74"/>
        <v>36793</v>
      </c>
      <c r="EA239" s="1">
        <f t="shared" si="69"/>
        <v>51841</v>
      </c>
      <c r="EC239" s="1">
        <f t="shared" si="75"/>
        <v>752106</v>
      </c>
      <c r="ED239" s="1">
        <f t="shared" si="70"/>
        <v>-785</v>
      </c>
      <c r="EE239" s="1"/>
    </row>
    <row r="240" spans="1:135" x14ac:dyDescent="0.25">
      <c r="A240" s="124">
        <v>39508</v>
      </c>
      <c r="B240" s="125">
        <v>0</v>
      </c>
      <c r="C240" s="125">
        <v>4</v>
      </c>
      <c r="D240" s="125">
        <v>2743</v>
      </c>
      <c r="E240" s="125">
        <v>0</v>
      </c>
      <c r="F240" s="125">
        <v>1071</v>
      </c>
      <c r="G240" s="125">
        <v>14153</v>
      </c>
      <c r="H240" s="125">
        <v>24458</v>
      </c>
      <c r="I240" s="125">
        <v>4501</v>
      </c>
      <c r="J240" s="125">
        <v>8354</v>
      </c>
      <c r="K240" s="125"/>
      <c r="L240" s="125">
        <v>29198</v>
      </c>
      <c r="M240" s="125">
        <v>2146</v>
      </c>
      <c r="N240" s="125"/>
      <c r="O240" s="125">
        <v>1554</v>
      </c>
      <c r="P240" s="125">
        <v>9646</v>
      </c>
      <c r="Q240" s="125">
        <v>432</v>
      </c>
      <c r="R240" s="125">
        <v>8592</v>
      </c>
      <c r="S240" s="125">
        <v>10826</v>
      </c>
      <c r="T240" s="125"/>
      <c r="U240" s="125"/>
      <c r="V240" s="125">
        <v>488</v>
      </c>
      <c r="W240" s="125">
        <v>7959</v>
      </c>
      <c r="X240" s="125">
        <v>343</v>
      </c>
      <c r="Y240" s="125">
        <v>7</v>
      </c>
      <c r="Z240" s="126"/>
      <c r="AA240" s="125">
        <v>4</v>
      </c>
      <c r="AB240" s="125">
        <v>68</v>
      </c>
      <c r="AC240" s="125">
        <v>14</v>
      </c>
      <c r="AD240" s="125">
        <v>26</v>
      </c>
      <c r="AE240" s="125">
        <v>41</v>
      </c>
      <c r="AF240" s="125">
        <v>57</v>
      </c>
      <c r="AG240" s="125"/>
      <c r="AH240" s="125"/>
      <c r="AI240" s="125">
        <v>5</v>
      </c>
      <c r="AJ240" s="125">
        <v>8981</v>
      </c>
      <c r="AK240" s="125">
        <v>97793</v>
      </c>
      <c r="AL240" s="125">
        <v>3071</v>
      </c>
      <c r="AM240" s="125">
        <v>16072</v>
      </c>
      <c r="AN240" s="125">
        <v>32</v>
      </c>
      <c r="AO240" s="125">
        <v>29</v>
      </c>
      <c r="AP240" s="125">
        <v>4600</v>
      </c>
      <c r="AQ240" s="125">
        <v>0</v>
      </c>
      <c r="AR240" s="125">
        <v>1775</v>
      </c>
      <c r="AS240" s="125">
        <v>15</v>
      </c>
      <c r="AT240" s="125">
        <v>4615</v>
      </c>
      <c r="AU240" s="125">
        <v>2199</v>
      </c>
      <c r="AV240" s="125">
        <v>3805</v>
      </c>
      <c r="AW240" s="125">
        <v>11159</v>
      </c>
      <c r="AX240" s="126"/>
      <c r="AY240" s="126"/>
      <c r="AZ240" s="126">
        <v>521</v>
      </c>
      <c r="BA240" s="126"/>
      <c r="BB240" s="125">
        <v>350</v>
      </c>
      <c r="BC240" s="125"/>
      <c r="BD240" s="125">
        <v>0</v>
      </c>
      <c r="BE240" s="125">
        <v>0</v>
      </c>
      <c r="BF240" s="125">
        <v>988</v>
      </c>
      <c r="BG240" s="125">
        <v>0</v>
      </c>
      <c r="BH240" s="125">
        <v>0</v>
      </c>
      <c r="BI240" s="125">
        <v>8466</v>
      </c>
      <c r="BJ240" s="125">
        <v>39</v>
      </c>
      <c r="BK240" s="125">
        <v>3701</v>
      </c>
      <c r="BL240" s="125"/>
      <c r="BM240" s="125">
        <v>305</v>
      </c>
      <c r="BN240" s="125">
        <v>29</v>
      </c>
      <c r="BO240" s="125">
        <v>8143</v>
      </c>
      <c r="BP240" s="125">
        <v>56024</v>
      </c>
      <c r="BQ240" s="125">
        <v>690</v>
      </c>
      <c r="BR240" s="125">
        <v>161</v>
      </c>
      <c r="BS240" s="125">
        <v>4539</v>
      </c>
      <c r="BT240" s="125">
        <v>65</v>
      </c>
      <c r="BU240" s="125"/>
      <c r="BV240" s="125">
        <v>5</v>
      </c>
      <c r="BW240" s="125">
        <v>97</v>
      </c>
      <c r="BX240" s="125"/>
      <c r="BY240" s="125">
        <v>8</v>
      </c>
      <c r="BZ240" s="125">
        <v>0</v>
      </c>
      <c r="CA240" s="125">
        <v>20522</v>
      </c>
      <c r="CB240" s="125">
        <v>16389</v>
      </c>
      <c r="CC240" s="125">
        <v>115569</v>
      </c>
      <c r="CD240" s="125">
        <v>177905</v>
      </c>
      <c r="CE240" s="125">
        <v>23446</v>
      </c>
      <c r="CF240" s="125">
        <v>36491</v>
      </c>
      <c r="CG240" s="125">
        <v>0</v>
      </c>
      <c r="CH240" s="125">
        <v>17</v>
      </c>
      <c r="CI240" s="125">
        <v>5</v>
      </c>
      <c r="CJ240" s="125">
        <v>22</v>
      </c>
      <c r="CK240" s="125"/>
      <c r="CL240" s="125"/>
      <c r="CM240" s="125"/>
      <c r="CN240" s="125"/>
      <c r="CO240" s="125"/>
      <c r="CP240" s="125"/>
      <c r="CQ240" s="125"/>
      <c r="CR240" s="125"/>
      <c r="CS240" s="125"/>
      <c r="CT240" s="125"/>
      <c r="CU240" s="125"/>
      <c r="CV240" s="125"/>
      <c r="CW240" s="125"/>
      <c r="CX240" s="125"/>
      <c r="CY240" s="125">
        <v>0</v>
      </c>
      <c r="CZ240" s="125">
        <v>0</v>
      </c>
      <c r="DA240" s="125">
        <v>0</v>
      </c>
      <c r="DB240" s="125">
        <v>24</v>
      </c>
      <c r="DC240" s="125">
        <v>0</v>
      </c>
      <c r="DD240" s="125">
        <v>63</v>
      </c>
      <c r="DE240">
        <f t="shared" si="57"/>
        <v>755333</v>
      </c>
      <c r="DG240" s="1">
        <f t="shared" si="71"/>
        <v>476443</v>
      </c>
      <c r="DH240" s="1">
        <f t="shared" si="58"/>
        <v>227325</v>
      </c>
      <c r="DI240" s="1">
        <f t="shared" si="76"/>
        <v>703768</v>
      </c>
      <c r="DK240" s="1">
        <f t="shared" si="60"/>
        <v>59875</v>
      </c>
      <c r="DL240" s="1">
        <f t="shared" si="61"/>
        <v>123665</v>
      </c>
      <c r="DM240" s="1">
        <f t="shared" si="62"/>
        <v>10819</v>
      </c>
      <c r="DN240" s="1">
        <f t="shared" si="63"/>
        <v>32762</v>
      </c>
      <c r="DO240" s="1">
        <f t="shared" si="64"/>
        <v>340998</v>
      </c>
      <c r="DP240" s="1">
        <f t="shared" si="65"/>
        <v>60868</v>
      </c>
      <c r="DQ240" s="1">
        <f t="shared" si="72"/>
        <v>0</v>
      </c>
      <c r="DR240" s="1">
        <f t="shared" si="66"/>
        <v>16482</v>
      </c>
      <c r="DS240" s="1">
        <f t="shared" si="67"/>
        <v>7649</v>
      </c>
      <c r="DT240" s="1">
        <f t="shared" si="68"/>
        <v>13246</v>
      </c>
      <c r="DU240" s="1"/>
      <c r="DV240" s="1"/>
      <c r="DW240" s="1"/>
      <c r="DX240" s="1">
        <f t="shared" si="73"/>
        <v>666364</v>
      </c>
      <c r="DZ240" s="1">
        <f t="shared" si="74"/>
        <v>36491</v>
      </c>
      <c r="EA240" s="1">
        <f t="shared" si="69"/>
        <v>52537</v>
      </c>
      <c r="EC240" s="1">
        <f t="shared" si="75"/>
        <v>755392</v>
      </c>
      <c r="ED240" s="1">
        <f t="shared" si="70"/>
        <v>59</v>
      </c>
      <c r="EE240" s="1"/>
    </row>
    <row r="241" spans="1:135" x14ac:dyDescent="0.25">
      <c r="A241" s="124">
        <v>39539</v>
      </c>
      <c r="B241" s="125">
        <v>0</v>
      </c>
      <c r="C241" s="125">
        <v>2</v>
      </c>
      <c r="D241" s="125">
        <v>1809</v>
      </c>
      <c r="E241" s="125">
        <v>0</v>
      </c>
      <c r="F241" s="125">
        <v>1093</v>
      </c>
      <c r="G241" s="125">
        <v>14325</v>
      </c>
      <c r="H241" s="125">
        <v>24600</v>
      </c>
      <c r="I241" s="125">
        <v>4678</v>
      </c>
      <c r="J241" s="125">
        <v>8576</v>
      </c>
      <c r="K241" s="125"/>
      <c r="L241" s="125">
        <v>29114</v>
      </c>
      <c r="M241" s="125">
        <v>2140</v>
      </c>
      <c r="N241" s="125"/>
      <c r="O241" s="125">
        <v>1543</v>
      </c>
      <c r="P241" s="125">
        <v>9634</v>
      </c>
      <c r="Q241" s="125">
        <v>439</v>
      </c>
      <c r="R241" s="125">
        <v>8541</v>
      </c>
      <c r="S241" s="125">
        <v>10819</v>
      </c>
      <c r="T241" s="125"/>
      <c r="U241" s="125"/>
      <c r="V241" s="125">
        <v>490</v>
      </c>
      <c r="W241" s="125">
        <v>7974</v>
      </c>
      <c r="X241" s="125">
        <v>341</v>
      </c>
      <c r="Y241" s="125">
        <v>7</v>
      </c>
      <c r="Z241" s="126"/>
      <c r="AA241" s="125">
        <v>4</v>
      </c>
      <c r="AB241" s="125">
        <v>73</v>
      </c>
      <c r="AC241" s="125">
        <v>12</v>
      </c>
      <c r="AD241" s="125">
        <v>26</v>
      </c>
      <c r="AE241" s="125">
        <v>43</v>
      </c>
      <c r="AF241" s="125">
        <v>59</v>
      </c>
      <c r="AG241" s="125"/>
      <c r="AH241" s="125"/>
      <c r="AI241" s="125">
        <v>5</v>
      </c>
      <c r="AJ241" s="125">
        <v>9040</v>
      </c>
      <c r="AK241" s="125">
        <v>97892</v>
      </c>
      <c r="AL241" s="125">
        <v>3075</v>
      </c>
      <c r="AM241" s="125">
        <v>16185</v>
      </c>
      <c r="AN241" s="125">
        <v>33</v>
      </c>
      <c r="AO241" s="125">
        <v>31</v>
      </c>
      <c r="AP241" s="125">
        <v>5313</v>
      </c>
      <c r="AQ241" s="125">
        <v>0</v>
      </c>
      <c r="AR241" s="125">
        <v>1770</v>
      </c>
      <c r="AS241" s="125">
        <v>15</v>
      </c>
      <c r="AT241" s="125">
        <v>4627</v>
      </c>
      <c r="AU241" s="125">
        <v>2232</v>
      </c>
      <c r="AV241" s="125">
        <v>3809</v>
      </c>
      <c r="AW241" s="125">
        <v>11174</v>
      </c>
      <c r="AX241" s="126"/>
      <c r="AY241" s="126"/>
      <c r="AZ241" s="126">
        <v>523</v>
      </c>
      <c r="BA241" s="126"/>
      <c r="BB241" s="125">
        <v>342</v>
      </c>
      <c r="BC241" s="125"/>
      <c r="BD241" s="125">
        <v>0</v>
      </c>
      <c r="BE241" s="125">
        <v>0</v>
      </c>
      <c r="BF241" s="125">
        <v>973</v>
      </c>
      <c r="BG241" s="125">
        <v>0</v>
      </c>
      <c r="BH241" s="125">
        <v>0</v>
      </c>
      <c r="BI241" s="125">
        <v>8515</v>
      </c>
      <c r="BJ241" s="125">
        <v>37</v>
      </c>
      <c r="BK241" s="125">
        <v>3659</v>
      </c>
      <c r="BL241" s="125"/>
      <c r="BM241" s="125">
        <v>305</v>
      </c>
      <c r="BN241" s="125">
        <v>28</v>
      </c>
      <c r="BO241" s="125">
        <v>7649</v>
      </c>
      <c r="BP241" s="125">
        <v>56531</v>
      </c>
      <c r="BQ241" s="125">
        <v>704</v>
      </c>
      <c r="BR241" s="125">
        <v>158</v>
      </c>
      <c r="BS241" s="125">
        <v>4623</v>
      </c>
      <c r="BT241" s="125">
        <v>60</v>
      </c>
      <c r="BU241" s="125"/>
      <c r="BV241" s="125">
        <v>6</v>
      </c>
      <c r="BW241" s="125">
        <v>99</v>
      </c>
      <c r="BX241" s="125"/>
      <c r="BY241" s="125">
        <v>5</v>
      </c>
      <c r="BZ241" s="125">
        <v>0</v>
      </c>
      <c r="CA241" s="125">
        <v>20432</v>
      </c>
      <c r="CB241" s="125">
        <v>16465</v>
      </c>
      <c r="CC241" s="125">
        <v>116528</v>
      </c>
      <c r="CD241" s="125">
        <v>179296</v>
      </c>
      <c r="CE241" s="125">
        <v>23717</v>
      </c>
      <c r="CF241" s="125">
        <v>36609</v>
      </c>
      <c r="CG241" s="125">
        <v>0</v>
      </c>
      <c r="CH241" s="125">
        <v>17</v>
      </c>
      <c r="CI241" s="125">
        <v>5</v>
      </c>
      <c r="CJ241" s="125">
        <v>22</v>
      </c>
      <c r="CK241" s="125"/>
      <c r="CL241" s="125"/>
      <c r="CM241" s="125"/>
      <c r="CN241" s="125"/>
      <c r="CO241" s="125"/>
      <c r="CP241" s="125"/>
      <c r="CQ241" s="125"/>
      <c r="CR241" s="125"/>
      <c r="CS241" s="125"/>
      <c r="CT241" s="125"/>
      <c r="CU241" s="125"/>
      <c r="CV241" s="125"/>
      <c r="CW241" s="125"/>
      <c r="CX241" s="125"/>
      <c r="CY241" s="125">
        <v>0</v>
      </c>
      <c r="CZ241" s="125">
        <v>0</v>
      </c>
      <c r="DA241" s="125">
        <v>0</v>
      </c>
      <c r="DB241" s="125">
        <v>24</v>
      </c>
      <c r="DC241" s="125">
        <v>0</v>
      </c>
      <c r="DD241" s="125">
        <v>62</v>
      </c>
      <c r="DE241">
        <f t="shared" si="57"/>
        <v>758851</v>
      </c>
      <c r="DG241" s="1">
        <f t="shared" si="71"/>
        <v>478887</v>
      </c>
      <c r="DH241" s="1">
        <f t="shared" si="58"/>
        <v>228537</v>
      </c>
      <c r="DI241" s="1">
        <f t="shared" si="76"/>
        <v>707424</v>
      </c>
      <c r="DK241" s="1">
        <f t="shared" si="60"/>
        <v>59985</v>
      </c>
      <c r="DL241" s="1">
        <f t="shared" si="61"/>
        <v>123869</v>
      </c>
      <c r="DM241" s="1">
        <f t="shared" si="62"/>
        <v>10856</v>
      </c>
      <c r="DN241" s="1">
        <f t="shared" si="63"/>
        <v>33321</v>
      </c>
      <c r="DO241" s="1">
        <f t="shared" si="64"/>
        <v>343519</v>
      </c>
      <c r="DP241" s="1">
        <f t="shared" si="65"/>
        <v>61459</v>
      </c>
      <c r="DQ241" s="1">
        <f t="shared" si="72"/>
        <v>0</v>
      </c>
      <c r="DR241" s="1">
        <f t="shared" si="66"/>
        <v>16442</v>
      </c>
      <c r="DS241" s="1">
        <f t="shared" si="67"/>
        <v>7110</v>
      </c>
      <c r="DT241" s="1">
        <f t="shared" si="68"/>
        <v>13195</v>
      </c>
      <c r="DU241" s="1"/>
      <c r="DV241" s="1"/>
      <c r="DW241" s="1"/>
      <c r="DX241" s="1">
        <f t="shared" si="73"/>
        <v>669756</v>
      </c>
      <c r="DZ241" s="1">
        <f t="shared" si="74"/>
        <v>36609</v>
      </c>
      <c r="EA241" s="1">
        <f t="shared" si="69"/>
        <v>53272</v>
      </c>
      <c r="EC241" s="1">
        <f t="shared" si="75"/>
        <v>759637</v>
      </c>
      <c r="ED241" s="1">
        <f t="shared" si="70"/>
        <v>786</v>
      </c>
      <c r="EE241" s="1"/>
    </row>
    <row r="242" spans="1:135" x14ac:dyDescent="0.25">
      <c r="A242" s="124">
        <v>39569</v>
      </c>
      <c r="B242" s="125">
        <v>1</v>
      </c>
      <c r="C242" s="125">
        <v>2</v>
      </c>
      <c r="D242" s="125">
        <v>1314</v>
      </c>
      <c r="E242" s="125">
        <v>0</v>
      </c>
      <c r="F242" s="125">
        <v>1142</v>
      </c>
      <c r="G242" s="125">
        <v>14442</v>
      </c>
      <c r="H242" s="125">
        <v>24980</v>
      </c>
      <c r="I242" s="125">
        <v>4754</v>
      </c>
      <c r="J242" s="125">
        <v>8696</v>
      </c>
      <c r="K242" s="125"/>
      <c r="L242" s="125">
        <v>29111</v>
      </c>
      <c r="M242" s="125">
        <v>2109</v>
      </c>
      <c r="N242" s="125"/>
      <c r="O242" s="125">
        <v>1536</v>
      </c>
      <c r="P242" s="125">
        <v>9736</v>
      </c>
      <c r="Q242" s="125">
        <v>433</v>
      </c>
      <c r="R242" s="125">
        <v>8612</v>
      </c>
      <c r="S242" s="125">
        <v>10856</v>
      </c>
      <c r="T242" s="125"/>
      <c r="U242" s="125"/>
      <c r="V242" s="125">
        <v>483</v>
      </c>
      <c r="W242" s="125">
        <v>7965</v>
      </c>
      <c r="X242" s="125">
        <v>335</v>
      </c>
      <c r="Y242" s="125">
        <v>7</v>
      </c>
      <c r="Z242" s="126"/>
      <c r="AA242" s="125">
        <v>5</v>
      </c>
      <c r="AB242" s="125">
        <v>74</v>
      </c>
      <c r="AC242" s="125">
        <v>12</v>
      </c>
      <c r="AD242" s="125">
        <v>28</v>
      </c>
      <c r="AE242" s="125">
        <v>41</v>
      </c>
      <c r="AF242" s="125">
        <v>62</v>
      </c>
      <c r="AG242" s="125"/>
      <c r="AH242" s="125"/>
      <c r="AI242" s="125">
        <v>4</v>
      </c>
      <c r="AJ242" s="125">
        <v>9085</v>
      </c>
      <c r="AK242" s="125">
        <v>98276</v>
      </c>
      <c r="AL242" s="125">
        <v>3049</v>
      </c>
      <c r="AM242" s="125">
        <v>16333</v>
      </c>
      <c r="AN242" s="125">
        <v>35</v>
      </c>
      <c r="AO242" s="125">
        <v>30</v>
      </c>
      <c r="AP242" s="125">
        <v>5684</v>
      </c>
      <c r="AQ242" s="125">
        <v>0</v>
      </c>
      <c r="AR242" s="125">
        <v>1797</v>
      </c>
      <c r="AS242" s="125">
        <v>16</v>
      </c>
      <c r="AT242" s="125">
        <v>4677</v>
      </c>
      <c r="AU242" s="125">
        <v>2223</v>
      </c>
      <c r="AV242" s="125">
        <v>3828</v>
      </c>
      <c r="AW242" s="125">
        <v>11212</v>
      </c>
      <c r="AX242" s="126"/>
      <c r="AY242" s="126"/>
      <c r="AZ242" s="126">
        <v>538</v>
      </c>
      <c r="BA242" s="126"/>
      <c r="BB242" s="125">
        <v>345</v>
      </c>
      <c r="BC242" s="125"/>
      <c r="BD242" s="125">
        <v>0</v>
      </c>
      <c r="BE242" s="125">
        <v>0</v>
      </c>
      <c r="BF242" s="125">
        <v>983</v>
      </c>
      <c r="BG242" s="125">
        <v>0</v>
      </c>
      <c r="BH242" s="125">
        <v>0</v>
      </c>
      <c r="BI242" s="125">
        <v>8502</v>
      </c>
      <c r="BJ242" s="125">
        <v>29</v>
      </c>
      <c r="BK242" s="125">
        <v>3611</v>
      </c>
      <c r="BL242" s="125"/>
      <c r="BM242" s="125">
        <v>238</v>
      </c>
      <c r="BN242" s="125">
        <v>27</v>
      </c>
      <c r="BO242" s="125">
        <v>7110</v>
      </c>
      <c r="BP242" s="125">
        <v>57052</v>
      </c>
      <c r="BQ242" s="125">
        <v>696</v>
      </c>
      <c r="BR242" s="125">
        <v>160</v>
      </c>
      <c r="BS242" s="125">
        <v>4665</v>
      </c>
      <c r="BT242" s="125">
        <v>68</v>
      </c>
      <c r="BU242" s="125"/>
      <c r="BV242" s="125">
        <v>5</v>
      </c>
      <c r="BW242" s="125">
        <v>99</v>
      </c>
      <c r="BX242" s="125"/>
      <c r="BY242" s="125">
        <v>3</v>
      </c>
      <c r="BZ242" s="125">
        <v>0</v>
      </c>
      <c r="CA242" s="125">
        <v>20459</v>
      </c>
      <c r="CB242" s="125">
        <v>16420</v>
      </c>
      <c r="CC242" s="125">
        <v>117469</v>
      </c>
      <c r="CD242" s="125">
        <v>180540</v>
      </c>
      <c r="CE242" s="125">
        <v>24035</v>
      </c>
      <c r="CF242" s="125">
        <v>36666</v>
      </c>
      <c r="CG242" s="125">
        <v>0</v>
      </c>
      <c r="CH242" s="125">
        <v>22</v>
      </c>
      <c r="CI242" s="125">
        <v>5</v>
      </c>
      <c r="CJ242" s="125">
        <v>23</v>
      </c>
      <c r="CK242" s="125"/>
      <c r="CL242" s="125"/>
      <c r="CM242" s="125"/>
      <c r="CN242" s="125"/>
      <c r="CO242" s="125"/>
      <c r="CP242" s="125"/>
      <c r="CQ242" s="125"/>
      <c r="CR242" s="125"/>
      <c r="CS242" s="125"/>
      <c r="CT242" s="125"/>
      <c r="CU242" s="125"/>
      <c r="CV242" s="125"/>
      <c r="CW242" s="125"/>
      <c r="CX242" s="125"/>
      <c r="CY242" s="125">
        <v>0</v>
      </c>
      <c r="CZ242" s="125">
        <v>0</v>
      </c>
      <c r="DA242" s="125">
        <v>0</v>
      </c>
      <c r="DB242" s="125">
        <v>24</v>
      </c>
      <c r="DC242" s="125">
        <v>0</v>
      </c>
      <c r="DD242" s="125">
        <v>62</v>
      </c>
      <c r="DE242">
        <f t="shared" si="57"/>
        <v>762755</v>
      </c>
      <c r="DG242" s="1">
        <f t="shared" si="71"/>
        <v>480057</v>
      </c>
      <c r="DH242" s="1">
        <f t="shared" si="58"/>
        <v>229120</v>
      </c>
      <c r="DI242" s="135">
        <f t="shared" si="76"/>
        <v>709177</v>
      </c>
      <c r="DJ242" s="136"/>
      <c r="DK242" s="1">
        <f t="shared" si="60"/>
        <v>60207</v>
      </c>
      <c r="DL242" s="1">
        <f t="shared" si="61"/>
        <v>124375</v>
      </c>
      <c r="DM242" s="1">
        <f t="shared" si="62"/>
        <v>10823</v>
      </c>
      <c r="DN242" s="1">
        <f t="shared" si="63"/>
        <v>33645</v>
      </c>
      <c r="DO242" s="1">
        <f t="shared" si="64"/>
        <v>344841</v>
      </c>
      <c r="DP242" s="1">
        <f t="shared" si="65"/>
        <v>61955</v>
      </c>
      <c r="DQ242" s="1">
        <f t="shared" si="72"/>
        <v>0</v>
      </c>
      <c r="DR242" s="1">
        <f t="shared" si="66"/>
        <v>16431</v>
      </c>
      <c r="DS242" s="1">
        <f t="shared" si="67"/>
        <v>6623</v>
      </c>
      <c r="DT242" s="1">
        <f t="shared" si="68"/>
        <v>13168</v>
      </c>
      <c r="DU242" s="1"/>
      <c r="DV242" s="1"/>
      <c r="DW242" s="1"/>
      <c r="DX242" s="1">
        <f t="shared" si="73"/>
        <v>672068</v>
      </c>
      <c r="DY242" s="136"/>
      <c r="DZ242" s="1">
        <f t="shared" si="74"/>
        <v>36666</v>
      </c>
      <c r="EA242" s="1">
        <f t="shared" si="69"/>
        <v>54014</v>
      </c>
      <c r="EC242" s="1">
        <f t="shared" si="75"/>
        <v>762748</v>
      </c>
      <c r="ED242" s="1">
        <f t="shared" si="70"/>
        <v>-7</v>
      </c>
      <c r="EE242" s="1"/>
    </row>
    <row r="243" spans="1:135" x14ac:dyDescent="0.25">
      <c r="A243" s="137">
        <v>39600</v>
      </c>
      <c r="B243" s="138">
        <v>0</v>
      </c>
      <c r="C243" s="138">
        <v>5</v>
      </c>
      <c r="D243" s="138">
        <v>1522</v>
      </c>
      <c r="E243" s="138">
        <v>0</v>
      </c>
      <c r="F243" s="138">
        <v>1128</v>
      </c>
      <c r="G243" s="138">
        <v>14554</v>
      </c>
      <c r="H243" s="138">
        <v>25252</v>
      </c>
      <c r="I243" s="138">
        <v>4843</v>
      </c>
      <c r="J243" s="138">
        <v>8692</v>
      </c>
      <c r="K243" s="138"/>
      <c r="L243" s="138">
        <v>29057</v>
      </c>
      <c r="M243" s="138">
        <v>2117</v>
      </c>
      <c r="N243" s="138"/>
      <c r="O243" s="138">
        <v>1598</v>
      </c>
      <c r="P243" s="138">
        <v>9851</v>
      </c>
      <c r="Q243" s="138">
        <v>437</v>
      </c>
      <c r="R243" s="138">
        <v>8672</v>
      </c>
      <c r="S243" s="138">
        <v>10823</v>
      </c>
      <c r="T243" s="138"/>
      <c r="U243" s="138"/>
      <c r="V243" s="138">
        <v>484</v>
      </c>
      <c r="W243" s="138">
        <v>7991</v>
      </c>
      <c r="X243" s="138">
        <v>339</v>
      </c>
      <c r="Y243" s="138">
        <v>7</v>
      </c>
      <c r="Z243" s="139"/>
      <c r="AA243" s="138">
        <v>4</v>
      </c>
      <c r="AB243" s="138">
        <v>80</v>
      </c>
      <c r="AC243" s="138">
        <v>14</v>
      </c>
      <c r="AD243" s="138">
        <v>29</v>
      </c>
      <c r="AE243" s="138">
        <v>41</v>
      </c>
      <c r="AF243" s="138">
        <v>62</v>
      </c>
      <c r="AG243" s="138"/>
      <c r="AH243" s="138"/>
      <c r="AI243" s="138">
        <v>5</v>
      </c>
      <c r="AJ243" s="138">
        <v>9149</v>
      </c>
      <c r="AK243" s="138">
        <v>98089</v>
      </c>
      <c r="AL243" s="138">
        <v>3054</v>
      </c>
      <c r="AM243" s="138">
        <v>16367</v>
      </c>
      <c r="AN243" s="138">
        <v>34</v>
      </c>
      <c r="AO243" s="138">
        <v>26</v>
      </c>
      <c r="AP243" s="138">
        <v>5934</v>
      </c>
      <c r="AQ243" s="138">
        <v>0</v>
      </c>
      <c r="AR243" s="138">
        <v>1881</v>
      </c>
      <c r="AS243" s="138">
        <v>16</v>
      </c>
      <c r="AT243" s="138">
        <v>4742</v>
      </c>
      <c r="AU243" s="138">
        <v>2229</v>
      </c>
      <c r="AV243" s="138">
        <v>3846</v>
      </c>
      <c r="AW243" s="138">
        <v>11256</v>
      </c>
      <c r="AX243" s="139"/>
      <c r="AY243" s="139"/>
      <c r="AZ243" s="139">
        <v>534</v>
      </c>
      <c r="BA243" s="139"/>
      <c r="BB243" s="138">
        <v>352</v>
      </c>
      <c r="BC243" s="138"/>
      <c r="BD243" s="138">
        <v>0</v>
      </c>
      <c r="BE243" s="138">
        <v>0</v>
      </c>
      <c r="BF243" s="138">
        <v>995</v>
      </c>
      <c r="BG243" s="138">
        <v>0</v>
      </c>
      <c r="BH243" s="138">
        <v>0</v>
      </c>
      <c r="BI243" s="138">
        <v>8511</v>
      </c>
      <c r="BJ243" s="138">
        <v>32</v>
      </c>
      <c r="BK243" s="138">
        <v>3560</v>
      </c>
      <c r="BL243" s="138"/>
      <c r="BM243" s="138">
        <v>243</v>
      </c>
      <c r="BN243" s="138">
        <v>26</v>
      </c>
      <c r="BO243" s="138">
        <v>6623</v>
      </c>
      <c r="BP243" s="138">
        <v>57466</v>
      </c>
      <c r="BQ243" s="138">
        <v>676</v>
      </c>
      <c r="BR243" s="138">
        <v>159</v>
      </c>
      <c r="BS243" s="138">
        <v>4613</v>
      </c>
      <c r="BT243" s="138">
        <v>68</v>
      </c>
      <c r="BU243" s="138"/>
      <c r="BV243" s="138">
        <v>5</v>
      </c>
      <c r="BW243" s="138">
        <v>102</v>
      </c>
      <c r="BX243" s="138"/>
      <c r="BY243" s="138">
        <v>5</v>
      </c>
      <c r="BZ243" s="138">
        <v>0</v>
      </c>
      <c r="CA243" s="138">
        <v>20467</v>
      </c>
      <c r="CB243" s="138">
        <v>16408</v>
      </c>
      <c r="CC243" s="138">
        <v>117924</v>
      </c>
      <c r="CD243" s="138">
        <v>181414</v>
      </c>
      <c r="CE243" s="138">
        <v>24032</v>
      </c>
      <c r="CF243" s="138">
        <v>36672</v>
      </c>
      <c r="CG243" s="138">
        <v>0</v>
      </c>
      <c r="CH243" s="138">
        <v>23</v>
      </c>
      <c r="CI243" s="138">
        <v>5</v>
      </c>
      <c r="CJ243" s="138">
        <v>28</v>
      </c>
      <c r="CK243" s="138"/>
      <c r="CL243" s="138"/>
      <c r="CM243" s="138"/>
      <c r="CN243" s="138"/>
      <c r="CO243" s="138"/>
      <c r="CP243" s="138"/>
      <c r="CQ243" s="138"/>
      <c r="CR243" s="138"/>
      <c r="CS243" s="138"/>
      <c r="CT243" s="138"/>
      <c r="CU243" s="138"/>
      <c r="CV243" s="138"/>
      <c r="CW243" s="138"/>
      <c r="CX243" s="138"/>
      <c r="CY243" s="138">
        <v>0</v>
      </c>
      <c r="CZ243" s="138">
        <v>0</v>
      </c>
      <c r="DA243" s="138">
        <v>0</v>
      </c>
      <c r="DB243" s="138">
        <v>23</v>
      </c>
      <c r="DC243" s="138">
        <v>0</v>
      </c>
      <c r="DD243" s="138">
        <v>62</v>
      </c>
      <c r="DE243">
        <f t="shared" si="57"/>
        <v>765173</v>
      </c>
      <c r="DG243" s="1">
        <f t="shared" si="71"/>
        <v>480637</v>
      </c>
      <c r="DH243" s="1">
        <f t="shared" si="58"/>
        <v>229764</v>
      </c>
      <c r="DI243" s="1">
        <f t="shared" si="76"/>
        <v>710401</v>
      </c>
      <c r="DK243" s="1">
        <f t="shared" si="60"/>
        <v>60232</v>
      </c>
      <c r="DL243" s="1">
        <f t="shared" si="61"/>
        <v>124445</v>
      </c>
      <c r="DM243" s="1">
        <f t="shared" si="62"/>
        <v>10859</v>
      </c>
      <c r="DN243" s="1">
        <f t="shared" si="63"/>
        <v>33959</v>
      </c>
      <c r="DO243" s="1">
        <f t="shared" si="64"/>
        <v>345707</v>
      </c>
      <c r="DP243" s="1">
        <f t="shared" si="65"/>
        <v>62322</v>
      </c>
      <c r="DQ243" s="1">
        <f t="shared" si="72"/>
        <v>0</v>
      </c>
      <c r="DR243" s="1">
        <f t="shared" si="66"/>
        <v>16451</v>
      </c>
      <c r="DS243" s="1">
        <f t="shared" si="67"/>
        <v>6241</v>
      </c>
      <c r="DT243" s="1">
        <f t="shared" si="68"/>
        <v>13118</v>
      </c>
      <c r="DU243" s="1"/>
      <c r="DV243" s="1"/>
      <c r="DW243" s="1"/>
      <c r="DX243" s="1">
        <f t="shared" si="73"/>
        <v>673334</v>
      </c>
      <c r="DZ243" s="1">
        <f t="shared" si="74"/>
        <v>36672</v>
      </c>
      <c r="EA243" s="1">
        <f t="shared" si="69"/>
        <v>54469</v>
      </c>
      <c r="EC243" s="1">
        <f t="shared" si="75"/>
        <v>764475</v>
      </c>
      <c r="ED243" s="1">
        <f t="shared" si="70"/>
        <v>-698</v>
      </c>
      <c r="EE243" s="1"/>
    </row>
    <row r="244" spans="1:135" x14ac:dyDescent="0.25">
      <c r="A244" s="140">
        <v>39630</v>
      </c>
      <c r="B244" s="141">
        <v>0</v>
      </c>
      <c r="C244" s="141">
        <v>8</v>
      </c>
      <c r="D244" s="141">
        <v>2432</v>
      </c>
      <c r="E244" s="141">
        <v>1</v>
      </c>
      <c r="F244" s="141">
        <v>1122</v>
      </c>
      <c r="G244" s="141">
        <v>14828</v>
      </c>
      <c r="H244" s="141">
        <v>25856</v>
      </c>
      <c r="I244" s="141">
        <v>4775</v>
      </c>
      <c r="J244" s="141">
        <v>8664</v>
      </c>
      <c r="K244" s="141"/>
      <c r="L244" s="141">
        <v>29004</v>
      </c>
      <c r="M244" s="141">
        <v>2137</v>
      </c>
      <c r="N244" s="141"/>
      <c r="O244" s="141">
        <v>1615</v>
      </c>
      <c r="P244" s="141">
        <v>9888</v>
      </c>
      <c r="Q244" s="141">
        <v>432</v>
      </c>
      <c r="R244" s="141">
        <v>8706</v>
      </c>
      <c r="S244" s="141">
        <v>10859</v>
      </c>
      <c r="T244" s="141"/>
      <c r="U244" s="141"/>
      <c r="V244" s="141">
        <v>479</v>
      </c>
      <c r="W244" s="141">
        <v>7971</v>
      </c>
      <c r="X244" s="141">
        <v>340</v>
      </c>
      <c r="Y244" s="141">
        <v>11</v>
      </c>
      <c r="Z244" s="142"/>
      <c r="AA244" s="141">
        <v>5</v>
      </c>
      <c r="AB244" s="141">
        <v>83</v>
      </c>
      <c r="AC244" s="141">
        <v>14</v>
      </c>
      <c r="AD244" s="141">
        <v>30</v>
      </c>
      <c r="AE244" s="141">
        <v>40</v>
      </c>
      <c r="AF244" s="141">
        <v>60</v>
      </c>
      <c r="AG244" s="141"/>
      <c r="AH244" s="141"/>
      <c r="AI244" s="141">
        <v>6</v>
      </c>
      <c r="AJ244" s="141">
        <v>9167</v>
      </c>
      <c r="AK244" s="141">
        <v>98290</v>
      </c>
      <c r="AL244" s="141">
        <v>3041</v>
      </c>
      <c r="AM244" s="141">
        <v>16393</v>
      </c>
      <c r="AN244" s="141">
        <v>32</v>
      </c>
      <c r="AO244" s="141">
        <v>29</v>
      </c>
      <c r="AP244" s="141">
        <v>6187</v>
      </c>
      <c r="AQ244" s="141">
        <v>0</v>
      </c>
      <c r="AR244" s="141">
        <v>1902</v>
      </c>
      <c r="AS244" s="141">
        <v>14</v>
      </c>
      <c r="AT244" s="141">
        <v>4771</v>
      </c>
      <c r="AU244" s="141">
        <v>2235</v>
      </c>
      <c r="AV244" s="141">
        <v>3854</v>
      </c>
      <c r="AW244" s="141">
        <v>11290</v>
      </c>
      <c r="AX244" s="142"/>
      <c r="AY244" s="142"/>
      <c r="AZ244" s="142">
        <v>536</v>
      </c>
      <c r="BA244" s="142"/>
      <c r="BB244" s="141">
        <v>343</v>
      </c>
      <c r="BC244" s="141"/>
      <c r="BD244" s="141">
        <v>0</v>
      </c>
      <c r="BE244" s="141">
        <v>0</v>
      </c>
      <c r="BF244" s="141">
        <v>1001</v>
      </c>
      <c r="BG244" s="141">
        <v>0</v>
      </c>
      <c r="BH244" s="141">
        <v>0</v>
      </c>
      <c r="BI244" s="141">
        <v>8460</v>
      </c>
      <c r="BJ244" s="141">
        <v>34</v>
      </c>
      <c r="BK244" s="141">
        <v>3551</v>
      </c>
      <c r="BL244" s="141"/>
      <c r="BM244" s="141">
        <v>279</v>
      </c>
      <c r="BN244" s="141">
        <v>26</v>
      </c>
      <c r="BO244" s="141">
        <v>6241</v>
      </c>
      <c r="BP244" s="141">
        <v>57809</v>
      </c>
      <c r="BQ244" s="141">
        <v>656</v>
      </c>
      <c r="BR244" s="141">
        <v>166</v>
      </c>
      <c r="BS244" s="141">
        <v>4533</v>
      </c>
      <c r="BT244" s="141">
        <v>83</v>
      </c>
      <c r="BU244" s="141"/>
      <c r="BV244" s="141">
        <v>6</v>
      </c>
      <c r="BW244" s="141">
        <v>106</v>
      </c>
      <c r="BX244" s="141"/>
      <c r="BY244" s="141">
        <v>6</v>
      </c>
      <c r="BZ244" s="141">
        <v>0</v>
      </c>
      <c r="CA244" s="141">
        <v>20456</v>
      </c>
      <c r="CB244" s="141">
        <v>16427</v>
      </c>
      <c r="CC244" s="141">
        <v>118290</v>
      </c>
      <c r="CD244" s="141">
        <v>182068</v>
      </c>
      <c r="CE244" s="141">
        <v>23885</v>
      </c>
      <c r="CF244" s="141">
        <v>36499</v>
      </c>
      <c r="CG244" s="141">
        <v>0</v>
      </c>
      <c r="CH244" s="141">
        <v>24</v>
      </c>
      <c r="CI244" s="141">
        <v>6</v>
      </c>
      <c r="CJ244" s="141">
        <v>25</v>
      </c>
      <c r="CK244" s="141"/>
      <c r="CL244" s="141"/>
      <c r="CM244" s="141"/>
      <c r="CN244" s="141"/>
      <c r="CO244" s="141"/>
      <c r="CP244" s="141"/>
      <c r="CQ244" s="141"/>
      <c r="CR244" s="141"/>
      <c r="CS244" s="141"/>
      <c r="CT244" s="141"/>
      <c r="CU244" s="141"/>
      <c r="CV244" s="141"/>
      <c r="CW244" s="141"/>
      <c r="CX244" s="141"/>
      <c r="CY244" s="141">
        <v>0</v>
      </c>
      <c r="CZ244" s="141">
        <v>0</v>
      </c>
      <c r="DA244" s="141">
        <v>0</v>
      </c>
      <c r="DB244" s="141">
        <v>23</v>
      </c>
      <c r="DC244" s="141">
        <v>0</v>
      </c>
      <c r="DD244" s="141">
        <v>62</v>
      </c>
      <c r="DE244">
        <f t="shared" si="57"/>
        <v>768087</v>
      </c>
      <c r="DG244" s="1">
        <f t="shared" si="71"/>
        <v>481943</v>
      </c>
      <c r="DH244" s="1">
        <f t="shared" si="58"/>
        <v>230610</v>
      </c>
      <c r="DI244" s="1">
        <f t="shared" si="76"/>
        <v>712553</v>
      </c>
      <c r="DK244" s="1">
        <f t="shared" si="60"/>
        <v>60269</v>
      </c>
      <c r="DL244" s="1">
        <f t="shared" si="61"/>
        <v>124714</v>
      </c>
      <c r="DM244" s="1">
        <f t="shared" si="62"/>
        <v>10839</v>
      </c>
      <c r="DN244" s="1">
        <f t="shared" si="63"/>
        <v>34437</v>
      </c>
      <c r="DO244" s="1">
        <f t="shared" si="64"/>
        <v>346042</v>
      </c>
      <c r="DP244" s="1">
        <f t="shared" si="65"/>
        <v>62621</v>
      </c>
      <c r="DQ244" s="1">
        <f t="shared" si="72"/>
        <v>0</v>
      </c>
      <c r="DR244" s="1">
        <f t="shared" si="66"/>
        <v>16792</v>
      </c>
      <c r="DS244" s="1">
        <f t="shared" si="67"/>
        <v>5804</v>
      </c>
      <c r="DT244" s="1">
        <f t="shared" si="68"/>
        <v>13070</v>
      </c>
      <c r="DU244" s="1"/>
      <c r="DV244" s="1"/>
      <c r="DW244" s="1"/>
      <c r="DX244" s="1">
        <f t="shared" si="73"/>
        <v>674588</v>
      </c>
      <c r="DZ244" s="1">
        <f t="shared" si="74"/>
        <v>36499</v>
      </c>
      <c r="EA244" s="1">
        <f t="shared" si="69"/>
        <v>55245</v>
      </c>
      <c r="EC244" s="1">
        <f t="shared" si="75"/>
        <v>766332</v>
      </c>
      <c r="ED244" s="1">
        <f t="shared" si="70"/>
        <v>-1755</v>
      </c>
      <c r="EE244" s="1"/>
    </row>
    <row r="245" spans="1:135" s="136" customFormat="1" x14ac:dyDescent="0.25">
      <c r="A245" s="140">
        <v>39661</v>
      </c>
      <c r="B245" s="141">
        <v>1</v>
      </c>
      <c r="C245" s="141">
        <v>12</v>
      </c>
      <c r="D245" s="141">
        <v>3508</v>
      </c>
      <c r="E245" s="141">
        <v>1</v>
      </c>
      <c r="F245" s="141">
        <v>1128</v>
      </c>
      <c r="G245" s="141">
        <v>15105</v>
      </c>
      <c r="H245" s="141">
        <v>26389</v>
      </c>
      <c r="I245" s="141">
        <v>4880</v>
      </c>
      <c r="J245" s="141">
        <v>8657</v>
      </c>
      <c r="K245" s="141"/>
      <c r="L245" s="141">
        <v>28961</v>
      </c>
      <c r="M245" s="141">
        <v>2108</v>
      </c>
      <c r="N245" s="141"/>
      <c r="O245" s="141">
        <v>1606</v>
      </c>
      <c r="P245" s="141">
        <v>9953</v>
      </c>
      <c r="Q245" s="141">
        <v>429</v>
      </c>
      <c r="R245" s="141">
        <v>8738</v>
      </c>
      <c r="S245" s="141">
        <v>10839</v>
      </c>
      <c r="T245" s="141"/>
      <c r="U245" s="141"/>
      <c r="V245" s="141">
        <v>477</v>
      </c>
      <c r="W245" s="141">
        <v>7997</v>
      </c>
      <c r="X245" s="141">
        <v>344</v>
      </c>
      <c r="Y245" s="141">
        <v>11</v>
      </c>
      <c r="Z245" s="142"/>
      <c r="AA245" s="141">
        <v>6</v>
      </c>
      <c r="AB245" s="141">
        <v>84</v>
      </c>
      <c r="AC245" s="141">
        <v>16</v>
      </c>
      <c r="AD245" s="141">
        <v>30</v>
      </c>
      <c r="AE245" s="141">
        <v>41</v>
      </c>
      <c r="AF245" s="141">
        <v>62</v>
      </c>
      <c r="AG245" s="141"/>
      <c r="AH245" s="141"/>
      <c r="AI245" s="141">
        <v>6</v>
      </c>
      <c r="AJ245" s="141">
        <v>9181</v>
      </c>
      <c r="AK245" s="141">
        <v>98530</v>
      </c>
      <c r="AL245" s="141">
        <v>3046</v>
      </c>
      <c r="AM245" s="141">
        <v>16568</v>
      </c>
      <c r="AN245" s="141">
        <v>33</v>
      </c>
      <c r="AO245" s="141">
        <v>33</v>
      </c>
      <c r="AP245" s="141">
        <v>6406</v>
      </c>
      <c r="AQ245" s="141">
        <v>0</v>
      </c>
      <c r="AR245" s="141">
        <v>1901</v>
      </c>
      <c r="AS245" s="141">
        <v>15</v>
      </c>
      <c r="AT245" s="141">
        <v>4825</v>
      </c>
      <c r="AU245" s="141">
        <v>2240</v>
      </c>
      <c r="AV245" s="141">
        <v>3878</v>
      </c>
      <c r="AW245" s="141">
        <v>11368</v>
      </c>
      <c r="AX245" s="142"/>
      <c r="AY245" s="142"/>
      <c r="AZ245" s="142">
        <v>535</v>
      </c>
      <c r="BA245" s="142"/>
      <c r="BB245" s="141">
        <v>343</v>
      </c>
      <c r="BC245" s="141"/>
      <c r="BD245" s="141">
        <v>0</v>
      </c>
      <c r="BE245" s="141">
        <v>0</v>
      </c>
      <c r="BF245" s="141">
        <v>1003</v>
      </c>
      <c r="BG245" s="141">
        <v>0</v>
      </c>
      <c r="BH245" s="141">
        <v>0</v>
      </c>
      <c r="BI245" s="141">
        <v>8423</v>
      </c>
      <c r="BJ245" s="141">
        <v>27</v>
      </c>
      <c r="BK245" s="141">
        <v>3528</v>
      </c>
      <c r="BL245" s="141"/>
      <c r="BM245" s="141">
        <v>318</v>
      </c>
      <c r="BN245" s="141">
        <v>25</v>
      </c>
      <c r="BO245" s="141">
        <v>5804</v>
      </c>
      <c r="BP245" s="141">
        <v>58611</v>
      </c>
      <c r="BQ245" s="141">
        <v>652</v>
      </c>
      <c r="BR245" s="141">
        <v>168</v>
      </c>
      <c r="BS245" s="141">
        <v>4514</v>
      </c>
      <c r="BT245" s="141">
        <v>82</v>
      </c>
      <c r="BU245" s="141"/>
      <c r="BV245" s="141">
        <v>6</v>
      </c>
      <c r="BW245" s="141">
        <v>116</v>
      </c>
      <c r="BX245" s="141"/>
      <c r="BY245" s="141">
        <v>4</v>
      </c>
      <c r="BZ245" s="141">
        <v>0</v>
      </c>
      <c r="CA245" s="141">
        <v>20472</v>
      </c>
      <c r="CB245" s="141">
        <v>16772</v>
      </c>
      <c r="CC245" s="141">
        <v>118869</v>
      </c>
      <c r="CD245" s="141">
        <v>181975</v>
      </c>
      <c r="CE245" s="141">
        <v>23732</v>
      </c>
      <c r="CF245" s="141">
        <v>36792</v>
      </c>
      <c r="CG245" s="141">
        <v>0</v>
      </c>
      <c r="CH245" s="141">
        <v>20</v>
      </c>
      <c r="CI245" s="141">
        <v>6</v>
      </c>
      <c r="CJ245" s="141">
        <v>24</v>
      </c>
      <c r="CK245" s="141"/>
      <c r="CL245" s="141"/>
      <c r="CM245" s="141"/>
      <c r="CN245" s="141"/>
      <c r="CO245" s="141"/>
      <c r="CP245" s="141"/>
      <c r="CQ245" s="141"/>
      <c r="CR245" s="141"/>
      <c r="CS245" s="141"/>
      <c r="CT245" s="141"/>
      <c r="CU245" s="141"/>
      <c r="CV245" s="141"/>
      <c r="CW245" s="141"/>
      <c r="CX245" s="141"/>
      <c r="CY245" s="141">
        <v>0</v>
      </c>
      <c r="CZ245" s="141">
        <v>0</v>
      </c>
      <c r="DA245" s="141">
        <v>0</v>
      </c>
      <c r="DB245" s="141">
        <v>23</v>
      </c>
      <c r="DC245" s="141">
        <v>0</v>
      </c>
      <c r="DD245" s="141">
        <v>61</v>
      </c>
      <c r="DE245">
        <f t="shared" si="57"/>
        <v>772234</v>
      </c>
      <c r="DF245"/>
      <c r="DG245" s="1">
        <f t="shared" si="71"/>
        <v>483649</v>
      </c>
      <c r="DH245" s="1">
        <f t="shared" si="58"/>
        <v>231256</v>
      </c>
      <c r="DI245" s="1">
        <f t="shared" si="76"/>
        <v>714905</v>
      </c>
      <c r="DJ245"/>
      <c r="DK245" s="1">
        <f t="shared" si="60"/>
        <v>60291</v>
      </c>
      <c r="DL245" s="1">
        <f t="shared" si="61"/>
        <v>125065</v>
      </c>
      <c r="DM245" s="1">
        <f t="shared" si="62"/>
        <v>10893</v>
      </c>
      <c r="DN245" s="1">
        <f t="shared" si="63"/>
        <v>34766</v>
      </c>
      <c r="DO245" s="1">
        <f t="shared" si="64"/>
        <v>347529</v>
      </c>
      <c r="DP245" s="1">
        <f t="shared" si="65"/>
        <v>63443</v>
      </c>
      <c r="DQ245" s="1">
        <f t="shared" si="72"/>
        <v>0</v>
      </c>
      <c r="DR245" s="1">
        <f t="shared" si="66"/>
        <v>16825</v>
      </c>
      <c r="DS245" s="1">
        <f t="shared" si="67"/>
        <v>5400</v>
      </c>
      <c r="DT245" s="1">
        <f t="shared" si="68"/>
        <v>13003</v>
      </c>
      <c r="DU245" s="1"/>
      <c r="DV245" s="1"/>
      <c r="DW245" s="1"/>
      <c r="DX245" s="1">
        <f t="shared" si="73"/>
        <v>677215</v>
      </c>
      <c r="DY245"/>
      <c r="DZ245" s="1">
        <f t="shared" si="74"/>
        <v>36792</v>
      </c>
      <c r="EA245" s="1">
        <f t="shared" si="69"/>
        <v>56159</v>
      </c>
      <c r="EB245"/>
      <c r="EC245" s="1">
        <f t="shared" si="75"/>
        <v>770166</v>
      </c>
      <c r="ED245" s="1">
        <f t="shared" si="70"/>
        <v>-2068</v>
      </c>
      <c r="EE245" s="1"/>
    </row>
    <row r="246" spans="1:135" x14ac:dyDescent="0.25">
      <c r="A246" s="140">
        <v>39692</v>
      </c>
      <c r="B246" s="141">
        <v>1</v>
      </c>
      <c r="C246" s="141">
        <v>14</v>
      </c>
      <c r="D246" s="141">
        <v>4591</v>
      </c>
      <c r="E246" s="141">
        <v>2</v>
      </c>
      <c r="F246" s="141">
        <v>1119</v>
      </c>
      <c r="G246" s="141">
        <v>14972</v>
      </c>
      <c r="H246" s="141">
        <v>26452</v>
      </c>
      <c r="I246" s="141">
        <v>4947</v>
      </c>
      <c r="J246" s="141">
        <v>8679</v>
      </c>
      <c r="K246" s="141"/>
      <c r="L246" s="141">
        <v>28919</v>
      </c>
      <c r="M246" s="141">
        <v>2117</v>
      </c>
      <c r="N246" s="141"/>
      <c r="O246" s="141">
        <v>1565</v>
      </c>
      <c r="P246" s="141">
        <v>10025</v>
      </c>
      <c r="Q246" s="141">
        <v>421</v>
      </c>
      <c r="R246" s="141">
        <v>8751</v>
      </c>
      <c r="S246" s="141">
        <v>10893</v>
      </c>
      <c r="T246" s="141"/>
      <c r="U246" s="141"/>
      <c r="V246" s="141">
        <v>471</v>
      </c>
      <c r="W246" s="141">
        <v>8022</v>
      </c>
      <c r="X246" s="141">
        <v>348</v>
      </c>
      <c r="Y246" s="141">
        <v>11</v>
      </c>
      <c r="Z246" s="142"/>
      <c r="AA246" s="141">
        <v>6</v>
      </c>
      <c r="AB246" s="141">
        <v>88</v>
      </c>
      <c r="AC246" s="141">
        <v>16</v>
      </c>
      <c r="AD246" s="141">
        <v>30</v>
      </c>
      <c r="AE246" s="141">
        <v>40</v>
      </c>
      <c r="AF246" s="141">
        <v>63</v>
      </c>
      <c r="AG246" s="141"/>
      <c r="AH246" s="141"/>
      <c r="AI246" s="141">
        <v>5</v>
      </c>
      <c r="AJ246" s="141">
        <v>9180</v>
      </c>
      <c r="AK246" s="141">
        <v>98687</v>
      </c>
      <c r="AL246" s="141">
        <v>3053</v>
      </c>
      <c r="AM246" s="141">
        <v>16630</v>
      </c>
      <c r="AN246" s="141">
        <v>36</v>
      </c>
      <c r="AO246" s="141">
        <v>35</v>
      </c>
      <c r="AP246" s="141">
        <v>6613</v>
      </c>
      <c r="AQ246" s="141">
        <v>0</v>
      </c>
      <c r="AR246" s="141">
        <v>1871</v>
      </c>
      <c r="AS246" s="141">
        <v>17</v>
      </c>
      <c r="AT246" s="141">
        <v>4900</v>
      </c>
      <c r="AU246" s="141">
        <v>2241</v>
      </c>
      <c r="AV246" s="141">
        <v>3911</v>
      </c>
      <c r="AW246" s="141">
        <v>11425</v>
      </c>
      <c r="AX246" s="142"/>
      <c r="AY246" s="142"/>
      <c r="AZ246" s="142">
        <v>545</v>
      </c>
      <c r="BA246" s="142"/>
      <c r="BB246" s="141">
        <v>321</v>
      </c>
      <c r="BC246" s="141"/>
      <c r="BD246" s="141">
        <v>0</v>
      </c>
      <c r="BE246" s="141">
        <v>0</v>
      </c>
      <c r="BF246" s="141">
        <v>1012</v>
      </c>
      <c r="BG246" s="141">
        <v>0</v>
      </c>
      <c r="BH246" s="141">
        <v>0</v>
      </c>
      <c r="BI246" s="141">
        <v>8392</v>
      </c>
      <c r="BJ246" s="141">
        <v>26</v>
      </c>
      <c r="BK246" s="141">
        <v>3485</v>
      </c>
      <c r="BL246" s="141"/>
      <c r="BM246" s="141">
        <v>351</v>
      </c>
      <c r="BN246" s="141">
        <v>30</v>
      </c>
      <c r="BO246" s="141">
        <v>5400</v>
      </c>
      <c r="BP246" s="141">
        <v>59076</v>
      </c>
      <c r="BQ246" s="141">
        <v>642</v>
      </c>
      <c r="BR246" s="141">
        <v>173</v>
      </c>
      <c r="BS246" s="141">
        <v>4513</v>
      </c>
      <c r="BT246" s="141">
        <v>88</v>
      </c>
      <c r="BU246" s="141"/>
      <c r="BV246" s="141">
        <v>5</v>
      </c>
      <c r="BW246" s="141">
        <v>114</v>
      </c>
      <c r="BX246" s="141"/>
      <c r="BY246" s="141">
        <v>3</v>
      </c>
      <c r="BZ246" s="141">
        <v>0</v>
      </c>
      <c r="CA246" s="141">
        <v>20447</v>
      </c>
      <c r="CB246" s="141">
        <v>16808</v>
      </c>
      <c r="CC246" s="141">
        <v>119275</v>
      </c>
      <c r="CD246" s="141">
        <v>183231</v>
      </c>
      <c r="CE246" s="141">
        <v>23579</v>
      </c>
      <c r="CF246" s="141">
        <v>36952</v>
      </c>
      <c r="CG246" s="141">
        <v>0</v>
      </c>
      <c r="CH246" s="141">
        <v>17</v>
      </c>
      <c r="CI246" s="141">
        <v>6</v>
      </c>
      <c r="CJ246" s="141">
        <v>24</v>
      </c>
      <c r="CK246" s="141"/>
      <c r="CL246" s="141"/>
      <c r="CM246" s="141"/>
      <c r="CN246" s="141"/>
      <c r="CO246" s="141"/>
      <c r="CP246" s="141"/>
      <c r="CQ246" s="141"/>
      <c r="CR246" s="141"/>
      <c r="CS246" s="141"/>
      <c r="CT246" s="141"/>
      <c r="CU246" s="141"/>
      <c r="CV246" s="141"/>
      <c r="CW246" s="141"/>
      <c r="CX246" s="141"/>
      <c r="CY246" s="141">
        <v>0</v>
      </c>
      <c r="CZ246" s="141">
        <v>0</v>
      </c>
      <c r="DA246" s="141">
        <v>0</v>
      </c>
      <c r="DB246" s="141">
        <v>23</v>
      </c>
      <c r="DC246" s="141">
        <v>0</v>
      </c>
      <c r="DD246" s="141">
        <v>60</v>
      </c>
      <c r="DE246">
        <f t="shared" si="57"/>
        <v>775682</v>
      </c>
      <c r="DG246" s="1">
        <f t="shared" si="71"/>
        <v>487106</v>
      </c>
      <c r="DH246" s="1">
        <f t="shared" si="58"/>
        <v>231702</v>
      </c>
      <c r="DI246" s="1">
        <f t="shared" si="76"/>
        <v>718808</v>
      </c>
      <c r="DK246" s="1">
        <f t="shared" si="60"/>
        <v>60317</v>
      </c>
      <c r="DL246" s="1">
        <f t="shared" si="61"/>
        <v>125306</v>
      </c>
      <c r="DM246" s="1">
        <f t="shared" si="62"/>
        <v>10887</v>
      </c>
      <c r="DN246" s="1">
        <f t="shared" si="63"/>
        <v>35017</v>
      </c>
      <c r="DO246" s="1">
        <f t="shared" si="64"/>
        <v>350146</v>
      </c>
      <c r="DP246" s="1">
        <f t="shared" si="65"/>
        <v>63940</v>
      </c>
      <c r="DQ246" s="1">
        <f t="shared" si="72"/>
        <v>0</v>
      </c>
      <c r="DR246" s="1">
        <f t="shared" si="66"/>
        <v>16757</v>
      </c>
      <c r="DS246" s="1">
        <f t="shared" si="67"/>
        <v>5037</v>
      </c>
      <c r="DT246" s="1">
        <f t="shared" si="68"/>
        <v>12902</v>
      </c>
      <c r="DU246" s="1"/>
      <c r="DV246" s="1"/>
      <c r="DW246" s="1"/>
      <c r="DX246" s="1">
        <f t="shared" si="73"/>
        <v>680309</v>
      </c>
      <c r="DZ246" s="1">
        <f t="shared" si="74"/>
        <v>36952</v>
      </c>
      <c r="EA246" s="1">
        <f t="shared" si="69"/>
        <v>56169</v>
      </c>
      <c r="EC246" s="1">
        <f t="shared" si="75"/>
        <v>773430</v>
      </c>
      <c r="ED246" s="1">
        <f t="shared" si="70"/>
        <v>-2252</v>
      </c>
      <c r="EE246" s="1"/>
    </row>
    <row r="247" spans="1:135" x14ac:dyDescent="0.25">
      <c r="A247" s="140">
        <v>39722</v>
      </c>
      <c r="B247" s="141">
        <v>1</v>
      </c>
      <c r="C247" s="141">
        <v>24</v>
      </c>
      <c r="D247" s="141">
        <v>5502</v>
      </c>
      <c r="E247" s="141">
        <v>2</v>
      </c>
      <c r="F247" s="141">
        <v>1152</v>
      </c>
      <c r="G247" s="141">
        <v>15240</v>
      </c>
      <c r="H247" s="141">
        <v>27052</v>
      </c>
      <c r="I247" s="141">
        <v>4975</v>
      </c>
      <c r="J247" s="141">
        <v>8813</v>
      </c>
      <c r="K247" s="141"/>
      <c r="L247" s="141">
        <v>28884</v>
      </c>
      <c r="M247" s="141">
        <v>2094</v>
      </c>
      <c r="N247" s="141"/>
      <c r="O247" s="141">
        <v>1551</v>
      </c>
      <c r="P247" s="141">
        <v>10070</v>
      </c>
      <c r="Q247" s="141">
        <v>422</v>
      </c>
      <c r="R247" s="141">
        <v>8802</v>
      </c>
      <c r="S247" s="141">
        <v>10887</v>
      </c>
      <c r="T247" s="141"/>
      <c r="U247" s="141"/>
      <c r="V247" s="141">
        <v>479</v>
      </c>
      <c r="W247" s="141">
        <v>8015</v>
      </c>
      <c r="X247" s="141">
        <v>353</v>
      </c>
      <c r="Y247" s="141">
        <v>10</v>
      </c>
      <c r="Z247" s="142"/>
      <c r="AA247" s="141">
        <v>6</v>
      </c>
      <c r="AB247" s="141">
        <v>96</v>
      </c>
      <c r="AC247" s="141">
        <v>19</v>
      </c>
      <c r="AD247" s="141">
        <v>30</v>
      </c>
      <c r="AE247" s="141">
        <v>40</v>
      </c>
      <c r="AF247" s="141">
        <v>64</v>
      </c>
      <c r="AG247" s="141"/>
      <c r="AH247" s="141"/>
      <c r="AI247" s="141">
        <v>5</v>
      </c>
      <c r="AJ247" s="141">
        <v>9149</v>
      </c>
      <c r="AK247" s="141">
        <v>98780</v>
      </c>
      <c r="AL247" s="141">
        <v>3056</v>
      </c>
      <c r="AM247" s="141">
        <v>16672</v>
      </c>
      <c r="AN247" s="141">
        <v>41</v>
      </c>
      <c r="AO247" s="141">
        <v>35</v>
      </c>
      <c r="AP247" s="141">
        <v>6841</v>
      </c>
      <c r="AQ247" s="141">
        <v>0</v>
      </c>
      <c r="AR247" s="141">
        <v>1906</v>
      </c>
      <c r="AS247" s="141">
        <v>16</v>
      </c>
      <c r="AT247" s="141">
        <v>4933</v>
      </c>
      <c r="AU247" s="141">
        <v>2244</v>
      </c>
      <c r="AV247" s="141">
        <v>3942</v>
      </c>
      <c r="AW247" s="141">
        <v>11405</v>
      </c>
      <c r="AX247" s="142"/>
      <c r="AY247" s="142"/>
      <c r="AZ247" s="142">
        <v>528</v>
      </c>
      <c r="BA247" s="142"/>
      <c r="BB247" s="141">
        <v>327</v>
      </c>
      <c r="BC247" s="141"/>
      <c r="BD247" s="141">
        <v>0</v>
      </c>
      <c r="BE247" s="141">
        <v>0</v>
      </c>
      <c r="BF247" s="141">
        <v>1028</v>
      </c>
      <c r="BG247" s="141">
        <v>0</v>
      </c>
      <c r="BH247" s="141">
        <v>0</v>
      </c>
      <c r="BI247" s="141">
        <v>8362</v>
      </c>
      <c r="BJ247" s="141">
        <v>20</v>
      </c>
      <c r="BK247" s="141">
        <v>3394</v>
      </c>
      <c r="BL247" s="141"/>
      <c r="BM247" s="141">
        <v>380</v>
      </c>
      <c r="BN247" s="141">
        <v>28</v>
      </c>
      <c r="BO247" s="141">
        <v>5037</v>
      </c>
      <c r="BP247" s="141">
        <v>59859</v>
      </c>
      <c r="BQ247" s="141">
        <v>628</v>
      </c>
      <c r="BR247" s="141">
        <v>172</v>
      </c>
      <c r="BS247" s="141">
        <v>4664</v>
      </c>
      <c r="BT247" s="141">
        <v>79</v>
      </c>
      <c r="BU247" s="141"/>
      <c r="BV247" s="141">
        <v>5</v>
      </c>
      <c r="BW247" s="141">
        <v>118</v>
      </c>
      <c r="BX247" s="141"/>
      <c r="BY247" s="141">
        <v>1</v>
      </c>
      <c r="BZ247" s="141">
        <v>0</v>
      </c>
      <c r="CA247" s="141">
        <v>20657</v>
      </c>
      <c r="CB247" s="141">
        <v>16741</v>
      </c>
      <c r="CC247" s="141">
        <v>120478</v>
      </c>
      <c r="CD247" s="141">
        <v>184398</v>
      </c>
      <c r="CE247" s="141">
        <v>23649</v>
      </c>
      <c r="CF247" s="141">
        <v>37361</v>
      </c>
      <c r="CG247" s="141">
        <v>0</v>
      </c>
      <c r="CH247" s="141">
        <v>16</v>
      </c>
      <c r="CI247" s="141">
        <v>7</v>
      </c>
      <c r="CJ247" s="141">
        <v>24</v>
      </c>
      <c r="CK247" s="141"/>
      <c r="CL247" s="141"/>
      <c r="CM247" s="141"/>
      <c r="CN247" s="141"/>
      <c r="CO247" s="141"/>
      <c r="CP247" s="141"/>
      <c r="CQ247" s="141"/>
      <c r="CR247" s="141"/>
      <c r="CS247" s="141"/>
      <c r="CT247" s="141"/>
      <c r="CU247" s="141"/>
      <c r="CV247" s="141"/>
      <c r="CW247" s="141"/>
      <c r="CX247" s="141"/>
      <c r="CY247" s="141">
        <v>0</v>
      </c>
      <c r="CZ247" s="141">
        <v>0</v>
      </c>
      <c r="DA247" s="141">
        <v>0</v>
      </c>
      <c r="DB247" s="141">
        <v>23</v>
      </c>
      <c r="DC247" s="141">
        <v>0</v>
      </c>
      <c r="DD247" s="141">
        <v>59</v>
      </c>
      <c r="DE247">
        <f t="shared" si="57"/>
        <v>781569</v>
      </c>
      <c r="DG247" s="1">
        <f t="shared" si="71"/>
        <v>494047</v>
      </c>
      <c r="DH247" s="1">
        <f t="shared" si="58"/>
        <v>232653</v>
      </c>
      <c r="DI247" s="1">
        <f t="shared" si="76"/>
        <v>726700</v>
      </c>
      <c r="DK247" s="1">
        <f t="shared" si="60"/>
        <v>60235</v>
      </c>
      <c r="DL247" s="1">
        <f t="shared" si="61"/>
        <v>125481</v>
      </c>
      <c r="DM247" s="1">
        <f t="shared" si="62"/>
        <v>10914</v>
      </c>
      <c r="DN247" s="1">
        <f t="shared" si="63"/>
        <v>35343</v>
      </c>
      <c r="DO247" s="1">
        <f t="shared" si="64"/>
        <v>354955</v>
      </c>
      <c r="DP247" s="1">
        <f t="shared" si="65"/>
        <v>64903</v>
      </c>
      <c r="DQ247" s="1">
        <f t="shared" si="72"/>
        <v>0</v>
      </c>
      <c r="DR247" s="1">
        <f t="shared" si="66"/>
        <v>16994</v>
      </c>
      <c r="DS247" s="1">
        <f t="shared" si="67"/>
        <v>4800</v>
      </c>
      <c r="DT247" s="1">
        <f t="shared" si="68"/>
        <v>12900</v>
      </c>
      <c r="DU247" s="1"/>
      <c r="DV247" s="1"/>
      <c r="DW247" s="1"/>
      <c r="DX247" s="1">
        <f t="shared" si="73"/>
        <v>686525</v>
      </c>
      <c r="DZ247" s="1">
        <f t="shared" si="74"/>
        <v>37361</v>
      </c>
      <c r="EA247" s="1">
        <f t="shared" si="69"/>
        <v>57232</v>
      </c>
      <c r="EC247" s="1">
        <f t="shared" si="75"/>
        <v>781118</v>
      </c>
      <c r="ED247" s="1">
        <f t="shared" si="70"/>
        <v>-451</v>
      </c>
      <c r="EE247" s="1"/>
    </row>
    <row r="248" spans="1:135" x14ac:dyDescent="0.25">
      <c r="A248" s="140">
        <v>39753</v>
      </c>
      <c r="B248" s="141">
        <v>1</v>
      </c>
      <c r="C248" s="141">
        <v>23</v>
      </c>
      <c r="D248" s="141">
        <v>5793</v>
      </c>
      <c r="E248" s="141">
        <v>2</v>
      </c>
      <c r="F248" s="141">
        <v>1201</v>
      </c>
      <c r="G248" s="141">
        <v>15375</v>
      </c>
      <c r="H248" s="141">
        <v>27563</v>
      </c>
      <c r="I248" s="141">
        <v>5040</v>
      </c>
      <c r="J248" s="141">
        <v>8933</v>
      </c>
      <c r="K248" s="141"/>
      <c r="L248" s="141">
        <v>28776</v>
      </c>
      <c r="M248" s="141">
        <v>2085</v>
      </c>
      <c r="N248" s="141"/>
      <c r="O248" s="141">
        <v>1560</v>
      </c>
      <c r="P248" s="141">
        <v>10094</v>
      </c>
      <c r="Q248" s="141">
        <v>419</v>
      </c>
      <c r="R248" s="141">
        <v>8778</v>
      </c>
      <c r="S248" s="141">
        <v>10914</v>
      </c>
      <c r="T248" s="141"/>
      <c r="U248" s="141"/>
      <c r="V248" s="141">
        <v>493</v>
      </c>
      <c r="W248" s="141">
        <v>8030</v>
      </c>
      <c r="X248" s="141">
        <v>353</v>
      </c>
      <c r="Y248" s="141">
        <v>10</v>
      </c>
      <c r="Z248" s="142"/>
      <c r="AA248" s="141">
        <v>6</v>
      </c>
      <c r="AB248" s="141">
        <v>101</v>
      </c>
      <c r="AC248" s="141">
        <v>19</v>
      </c>
      <c r="AD248" s="141">
        <v>30</v>
      </c>
      <c r="AE248" s="141">
        <v>40</v>
      </c>
      <c r="AF248" s="141">
        <v>63</v>
      </c>
      <c r="AG248" s="141"/>
      <c r="AH248" s="141"/>
      <c r="AI248" s="141">
        <v>4</v>
      </c>
      <c r="AJ248" s="141">
        <v>9225</v>
      </c>
      <c r="AK248" s="141">
        <v>99345</v>
      </c>
      <c r="AL248" s="141">
        <v>3074</v>
      </c>
      <c r="AM248" s="141">
        <v>16735</v>
      </c>
      <c r="AN248" s="141">
        <v>40</v>
      </c>
      <c r="AO248" s="141">
        <v>30</v>
      </c>
      <c r="AP248" s="141">
        <v>7056</v>
      </c>
      <c r="AQ248" s="141">
        <v>0</v>
      </c>
      <c r="AR248" s="141">
        <v>1918</v>
      </c>
      <c r="AS248" s="141">
        <v>16</v>
      </c>
      <c r="AT248" s="141">
        <v>4922</v>
      </c>
      <c r="AU248" s="141">
        <v>2247</v>
      </c>
      <c r="AV248" s="141">
        <v>3946</v>
      </c>
      <c r="AW248" s="141">
        <v>11459</v>
      </c>
      <c r="AX248" s="142"/>
      <c r="AY248" s="142"/>
      <c r="AZ248" s="142">
        <v>533</v>
      </c>
      <c r="BA248" s="142"/>
      <c r="BB248" s="141">
        <v>332</v>
      </c>
      <c r="BC248" s="141"/>
      <c r="BD248" s="141">
        <v>0</v>
      </c>
      <c r="BE248" s="141">
        <v>0</v>
      </c>
      <c r="BF248" s="141">
        <v>1029</v>
      </c>
      <c r="BG248" s="141">
        <v>0</v>
      </c>
      <c r="BH248" s="141">
        <v>0</v>
      </c>
      <c r="BI248" s="141">
        <v>8373</v>
      </c>
      <c r="BJ248" s="141">
        <v>21</v>
      </c>
      <c r="BK248" s="141">
        <v>3365</v>
      </c>
      <c r="BL248" s="141"/>
      <c r="BM248" s="141">
        <v>409</v>
      </c>
      <c r="BN248" s="141">
        <v>29</v>
      </c>
      <c r="BO248" s="141">
        <v>4800</v>
      </c>
      <c r="BP248" s="141">
        <v>61142</v>
      </c>
      <c r="BQ248" s="141">
        <v>660</v>
      </c>
      <c r="BR248" s="141">
        <v>177</v>
      </c>
      <c r="BS248" s="141">
        <v>4764</v>
      </c>
      <c r="BT248" s="141">
        <v>60</v>
      </c>
      <c r="BU248" s="141"/>
      <c r="BV248" s="141">
        <v>7</v>
      </c>
      <c r="BW248" s="141">
        <v>133</v>
      </c>
      <c r="BX248" s="141"/>
      <c r="BY248" s="141">
        <v>1</v>
      </c>
      <c r="BZ248" s="141">
        <v>0</v>
      </c>
      <c r="CA248" s="141">
        <v>20995</v>
      </c>
      <c r="CB248" s="141">
        <v>16977</v>
      </c>
      <c r="CC248" s="141">
        <v>122410</v>
      </c>
      <c r="CD248" s="141">
        <v>186589</v>
      </c>
      <c r="CE248" s="141">
        <v>23974</v>
      </c>
      <c r="CF248" s="141">
        <v>38083</v>
      </c>
      <c r="CG248" s="141">
        <v>0</v>
      </c>
      <c r="CH248" s="141">
        <v>17</v>
      </c>
      <c r="CI248" s="141">
        <v>5</v>
      </c>
      <c r="CJ248" s="141">
        <v>27</v>
      </c>
      <c r="CK248" s="141"/>
      <c r="CL248" s="141"/>
      <c r="CM248" s="141"/>
      <c r="CN248" s="141"/>
      <c r="CO248" s="141"/>
      <c r="CP248" s="141"/>
      <c r="CQ248" s="141"/>
      <c r="CR248" s="141"/>
      <c r="CS248" s="141"/>
      <c r="CT248" s="141"/>
      <c r="CU248" s="141"/>
      <c r="CV248" s="141"/>
      <c r="CW248" s="141"/>
      <c r="CX248" s="141"/>
      <c r="CY248" s="141">
        <v>0</v>
      </c>
      <c r="CZ248" s="141">
        <v>0</v>
      </c>
      <c r="DA248" s="141">
        <v>0</v>
      </c>
      <c r="DB248" s="141">
        <v>23</v>
      </c>
      <c r="DC248" s="141">
        <v>0</v>
      </c>
      <c r="DD248" s="141">
        <v>59</v>
      </c>
      <c r="DE248">
        <f t="shared" si="57"/>
        <v>790631</v>
      </c>
      <c r="DG248" s="1">
        <f t="shared" si="71"/>
        <v>497077</v>
      </c>
      <c r="DH248" s="1">
        <f t="shared" si="58"/>
        <v>233483</v>
      </c>
      <c r="DI248" s="1">
        <f t="shared" si="76"/>
        <v>730560</v>
      </c>
      <c r="DK248" s="1">
        <f t="shared" si="60"/>
        <v>60229</v>
      </c>
      <c r="DL248" s="1">
        <f t="shared" si="61"/>
        <v>126161</v>
      </c>
      <c r="DM248" s="1">
        <f t="shared" si="62"/>
        <v>10938</v>
      </c>
      <c r="DN248" s="1">
        <f t="shared" si="63"/>
        <v>35702</v>
      </c>
      <c r="DO248" s="1">
        <f t="shared" si="64"/>
        <v>357572</v>
      </c>
      <c r="DP248" s="1">
        <f t="shared" si="65"/>
        <v>66315</v>
      </c>
      <c r="DQ248" s="1">
        <f t="shared" si="72"/>
        <v>0</v>
      </c>
      <c r="DR248" s="1">
        <f t="shared" si="66"/>
        <v>16528</v>
      </c>
      <c r="DS248" s="1">
        <f t="shared" si="67"/>
        <v>4638</v>
      </c>
      <c r="DT248" s="1">
        <f t="shared" si="68"/>
        <v>12827</v>
      </c>
      <c r="DU248" s="1"/>
      <c r="DV248" s="1"/>
      <c r="DW248" s="1"/>
      <c r="DX248" s="1">
        <f t="shared" si="73"/>
        <v>690910</v>
      </c>
      <c r="DZ248" s="1">
        <f t="shared" si="74"/>
        <v>38083</v>
      </c>
      <c r="EA248" s="1">
        <f t="shared" si="69"/>
        <v>58112</v>
      </c>
      <c r="EC248" s="1">
        <f t="shared" si="75"/>
        <v>787105</v>
      </c>
      <c r="ED248" s="1">
        <f t="shared" si="70"/>
        <v>-3526</v>
      </c>
      <c r="EE248" s="1"/>
    </row>
    <row r="249" spans="1:135" x14ac:dyDescent="0.25">
      <c r="A249" s="140">
        <v>39783</v>
      </c>
      <c r="B249" s="141">
        <v>1</v>
      </c>
      <c r="C249" s="141">
        <v>17</v>
      </c>
      <c r="D249" s="141">
        <v>4819</v>
      </c>
      <c r="E249" s="141">
        <v>1</v>
      </c>
      <c r="F249" s="141">
        <v>1169</v>
      </c>
      <c r="G249" s="141">
        <v>15319</v>
      </c>
      <c r="H249" s="141">
        <v>27701</v>
      </c>
      <c r="I249" s="141">
        <v>4997</v>
      </c>
      <c r="J249" s="141">
        <v>8814</v>
      </c>
      <c r="K249" s="141"/>
      <c r="L249" s="141">
        <v>28737</v>
      </c>
      <c r="M249" s="141">
        <v>2091</v>
      </c>
      <c r="N249" s="141"/>
      <c r="O249" s="141">
        <v>1563</v>
      </c>
      <c r="P249" s="141">
        <v>10116</v>
      </c>
      <c r="Q249" s="141">
        <v>416</v>
      </c>
      <c r="R249" s="141">
        <v>8778</v>
      </c>
      <c r="S249" s="141">
        <v>10938</v>
      </c>
      <c r="T249" s="141"/>
      <c r="U249" s="141"/>
      <c r="V249" s="141">
        <v>485</v>
      </c>
      <c r="W249" s="141">
        <v>8043</v>
      </c>
      <c r="X249" s="141">
        <v>350</v>
      </c>
      <c r="Y249" s="141">
        <v>10</v>
      </c>
      <c r="Z249" s="142"/>
      <c r="AA249" s="141">
        <v>5</v>
      </c>
      <c r="AB249" s="141">
        <v>107</v>
      </c>
      <c r="AC249" s="141">
        <v>20</v>
      </c>
      <c r="AD249" s="141">
        <v>30</v>
      </c>
      <c r="AE249" s="141">
        <v>41</v>
      </c>
      <c r="AF249" s="141">
        <v>63</v>
      </c>
      <c r="AG249" s="141"/>
      <c r="AH249" s="141"/>
      <c r="AI249" s="141">
        <v>5</v>
      </c>
      <c r="AJ249" s="141">
        <v>9280</v>
      </c>
      <c r="AK249" s="141">
        <v>99639</v>
      </c>
      <c r="AL249" s="141">
        <v>3069</v>
      </c>
      <c r="AM249" s="141">
        <v>16873</v>
      </c>
      <c r="AN249" s="141">
        <v>40</v>
      </c>
      <c r="AO249" s="141">
        <v>30</v>
      </c>
      <c r="AP249" s="141">
        <v>7237</v>
      </c>
      <c r="AQ249" s="141">
        <v>0</v>
      </c>
      <c r="AR249" s="141">
        <v>1931</v>
      </c>
      <c r="AS249" s="141">
        <v>20</v>
      </c>
      <c r="AT249" s="141">
        <v>4971</v>
      </c>
      <c r="AU249" s="141">
        <v>2254</v>
      </c>
      <c r="AV249" s="141">
        <v>3977</v>
      </c>
      <c r="AW249" s="141">
        <v>11499</v>
      </c>
      <c r="AX249" s="142"/>
      <c r="AY249" s="142"/>
      <c r="AZ249" s="142">
        <v>537</v>
      </c>
      <c r="BA249" s="142"/>
      <c r="BB249" s="141">
        <v>328</v>
      </c>
      <c r="BC249" s="141"/>
      <c r="BD249" s="141">
        <v>0</v>
      </c>
      <c r="BE249" s="141">
        <v>0</v>
      </c>
      <c r="BF249" s="141">
        <v>1035</v>
      </c>
      <c r="BG249" s="141">
        <v>0</v>
      </c>
      <c r="BH249" s="141">
        <v>0</v>
      </c>
      <c r="BI249" s="141">
        <v>8312</v>
      </c>
      <c r="BJ249" s="141">
        <v>23</v>
      </c>
      <c r="BK249" s="141">
        <v>3343</v>
      </c>
      <c r="BL249" s="141"/>
      <c r="BM249" s="141">
        <v>433</v>
      </c>
      <c r="BN249" s="141">
        <v>29</v>
      </c>
      <c r="BO249" s="141">
        <v>4638</v>
      </c>
      <c r="BP249" s="141">
        <v>61681</v>
      </c>
      <c r="BQ249" s="141">
        <v>621</v>
      </c>
      <c r="BR249" s="141">
        <v>177</v>
      </c>
      <c r="BS249" s="141">
        <v>4887</v>
      </c>
      <c r="BT249" s="141">
        <v>58</v>
      </c>
      <c r="BU249" s="141"/>
      <c r="BV249" s="141">
        <v>7</v>
      </c>
      <c r="BW249" s="141">
        <v>137</v>
      </c>
      <c r="BX249" s="141"/>
      <c r="BY249" s="141">
        <v>2</v>
      </c>
      <c r="BZ249" s="141">
        <v>0</v>
      </c>
      <c r="CA249" s="141">
        <v>21150</v>
      </c>
      <c r="CB249" s="141">
        <v>16514</v>
      </c>
      <c r="CC249" s="141">
        <v>123116</v>
      </c>
      <c r="CD249" s="141">
        <v>188508</v>
      </c>
      <c r="CE249" s="141">
        <v>23846</v>
      </c>
      <c r="CF249" s="141">
        <v>38511</v>
      </c>
      <c r="CG249" s="141">
        <v>0</v>
      </c>
      <c r="CH249" s="141">
        <v>14</v>
      </c>
      <c r="CI249" s="141">
        <v>5</v>
      </c>
      <c r="CJ249" s="141">
        <v>30</v>
      </c>
      <c r="CK249" s="141"/>
      <c r="CL249" s="141"/>
      <c r="CM249" s="141"/>
      <c r="CN249" s="141"/>
      <c r="CO249" s="141"/>
      <c r="CP249" s="141"/>
      <c r="CQ249" s="141"/>
      <c r="CR249" s="141"/>
      <c r="CS249" s="141"/>
      <c r="CT249" s="141"/>
      <c r="CU249" s="141"/>
      <c r="CV249" s="141"/>
      <c r="CW249" s="141"/>
      <c r="CX249" s="141"/>
      <c r="CY249" s="141">
        <v>0</v>
      </c>
      <c r="CZ249" s="141">
        <v>0</v>
      </c>
      <c r="DA249" s="141">
        <v>0</v>
      </c>
      <c r="DB249" s="141">
        <v>23</v>
      </c>
      <c r="DC249" s="141">
        <v>0</v>
      </c>
      <c r="DD249" s="141">
        <v>59</v>
      </c>
      <c r="DE249">
        <f t="shared" si="57"/>
        <v>793398</v>
      </c>
      <c r="DG249" s="1">
        <f t="shared" si="71"/>
        <v>500582</v>
      </c>
      <c r="DH249" s="1">
        <f t="shared" si="58"/>
        <v>226177</v>
      </c>
      <c r="DI249" s="1">
        <f t="shared" si="76"/>
        <v>726759</v>
      </c>
      <c r="DK249" s="1">
        <f t="shared" si="60"/>
        <v>59998</v>
      </c>
      <c r="DL249" s="1">
        <f t="shared" si="61"/>
        <v>126614</v>
      </c>
      <c r="DM249" s="1">
        <f t="shared" si="62"/>
        <v>10975</v>
      </c>
      <c r="DN249" s="1">
        <f t="shared" si="63"/>
        <v>28449</v>
      </c>
      <c r="DO249" s="1">
        <f t="shared" si="64"/>
        <v>361132</v>
      </c>
      <c r="DP249" s="1">
        <f t="shared" si="65"/>
        <v>67001</v>
      </c>
      <c r="DQ249" s="1">
        <f t="shared" si="72"/>
        <v>0</v>
      </c>
      <c r="DR249" s="1">
        <f t="shared" si="66"/>
        <v>16249</v>
      </c>
      <c r="DS249" s="1">
        <f t="shared" si="67"/>
        <v>4291</v>
      </c>
      <c r="DT249" s="1">
        <f t="shared" si="68"/>
        <v>12779</v>
      </c>
      <c r="DU249" s="1"/>
      <c r="DV249" s="1"/>
      <c r="DW249" s="1"/>
      <c r="DX249" s="1">
        <f t="shared" si="73"/>
        <v>687488</v>
      </c>
      <c r="DZ249" s="1">
        <f t="shared" si="74"/>
        <v>38511</v>
      </c>
      <c r="EA249" s="1">
        <f t="shared" si="69"/>
        <v>58000</v>
      </c>
      <c r="EC249" s="1">
        <f t="shared" si="75"/>
        <v>783999</v>
      </c>
      <c r="ED249" s="1">
        <f t="shared" si="70"/>
        <v>-9399</v>
      </c>
      <c r="EE249" s="1"/>
    </row>
    <row r="250" spans="1:135" x14ac:dyDescent="0.25">
      <c r="A250" s="140">
        <v>39814</v>
      </c>
      <c r="B250" s="141">
        <v>1</v>
      </c>
      <c r="C250" s="141">
        <v>17</v>
      </c>
      <c r="D250" s="141">
        <v>3857</v>
      </c>
      <c r="E250" s="141">
        <v>1</v>
      </c>
      <c r="F250" s="141">
        <v>1165</v>
      </c>
      <c r="G250" s="141">
        <v>15439</v>
      </c>
      <c r="H250" s="141">
        <v>27989</v>
      </c>
      <c r="I250" s="141">
        <v>4969</v>
      </c>
      <c r="J250" s="141">
        <v>8808</v>
      </c>
      <c r="K250" s="141"/>
      <c r="L250" s="141">
        <v>28679</v>
      </c>
      <c r="M250" s="141">
        <v>2090</v>
      </c>
      <c r="N250" s="141"/>
      <c r="O250" s="141">
        <v>1558</v>
      </c>
      <c r="P250" s="141">
        <v>10066</v>
      </c>
      <c r="Q250" s="141">
        <v>403</v>
      </c>
      <c r="R250" s="141">
        <v>8638</v>
      </c>
      <c r="S250" s="141">
        <v>10975</v>
      </c>
      <c r="T250" s="141"/>
      <c r="U250" s="141"/>
      <c r="V250" s="141">
        <v>488</v>
      </c>
      <c r="W250" s="141">
        <v>8076</v>
      </c>
      <c r="X250" s="141">
        <v>352</v>
      </c>
      <c r="Y250" s="141">
        <v>9</v>
      </c>
      <c r="Z250" s="142"/>
      <c r="AA250" s="141">
        <v>4</v>
      </c>
      <c r="AB250" s="141">
        <v>111</v>
      </c>
      <c r="AC250" s="141">
        <v>19</v>
      </c>
      <c r="AD250" s="141">
        <v>30</v>
      </c>
      <c r="AE250" s="141">
        <v>42</v>
      </c>
      <c r="AF250" s="141">
        <v>65</v>
      </c>
      <c r="AG250" s="141"/>
      <c r="AH250" s="141"/>
      <c r="AI250" s="141">
        <v>6</v>
      </c>
      <c r="AJ250" s="141">
        <v>9274</v>
      </c>
      <c r="AK250" s="141">
        <v>99759</v>
      </c>
      <c r="AL250" s="141">
        <v>3076</v>
      </c>
      <c r="AM250" s="141">
        <v>16809</v>
      </c>
      <c r="AN250" s="141">
        <v>39</v>
      </c>
      <c r="AO250" s="141">
        <v>32</v>
      </c>
      <c r="AP250" s="141">
        <v>0</v>
      </c>
      <c r="AQ250" s="141">
        <v>0</v>
      </c>
      <c r="AR250" s="141">
        <v>1905</v>
      </c>
      <c r="AS250" s="141">
        <v>21</v>
      </c>
      <c r="AT250" s="141">
        <v>5001</v>
      </c>
      <c r="AU250" s="141">
        <v>2257</v>
      </c>
      <c r="AV250" s="141">
        <v>3982</v>
      </c>
      <c r="AW250" s="141">
        <v>11543</v>
      </c>
      <c r="AX250" s="142"/>
      <c r="AY250" s="142"/>
      <c r="AZ250" s="142">
        <v>538</v>
      </c>
      <c r="BA250" s="142"/>
      <c r="BB250" s="141">
        <v>330</v>
      </c>
      <c r="BC250" s="141"/>
      <c r="BD250" s="141">
        <v>0</v>
      </c>
      <c r="BE250" s="141">
        <v>0</v>
      </c>
      <c r="BF250" s="141">
        <v>1035</v>
      </c>
      <c r="BG250" s="141">
        <v>0</v>
      </c>
      <c r="BH250" s="141">
        <v>0</v>
      </c>
      <c r="BI250" s="141">
        <v>8284</v>
      </c>
      <c r="BJ250" s="141">
        <v>31</v>
      </c>
      <c r="BK250" s="141">
        <v>3316</v>
      </c>
      <c r="BL250" s="141"/>
      <c r="BM250" s="141">
        <v>449</v>
      </c>
      <c r="BN250" s="141">
        <v>28</v>
      </c>
      <c r="BO250" s="141">
        <v>4291</v>
      </c>
      <c r="BP250" s="141">
        <v>61880</v>
      </c>
      <c r="BQ250" s="141">
        <v>627</v>
      </c>
      <c r="BR250" s="141">
        <v>174</v>
      </c>
      <c r="BS250" s="141">
        <v>4993</v>
      </c>
      <c r="BT250" s="141">
        <v>47</v>
      </c>
      <c r="BU250" s="141"/>
      <c r="BV250" s="141">
        <v>7</v>
      </c>
      <c r="BW250" s="141">
        <v>144</v>
      </c>
      <c r="BX250" s="141"/>
      <c r="BY250" s="141">
        <v>2</v>
      </c>
      <c r="BZ250" s="141">
        <v>0</v>
      </c>
      <c r="CA250" s="141">
        <v>21210</v>
      </c>
      <c r="CB250" s="141">
        <v>16238</v>
      </c>
      <c r="CC250" s="141">
        <v>124370</v>
      </c>
      <c r="CD250" s="141">
        <v>190539</v>
      </c>
      <c r="CE250" s="141">
        <v>24067</v>
      </c>
      <c r="CF250" s="141">
        <v>38809</v>
      </c>
      <c r="CG250" s="141">
        <v>0</v>
      </c>
      <c r="CH250" s="141">
        <v>11</v>
      </c>
      <c r="CI250" s="141">
        <v>5</v>
      </c>
      <c r="CJ250" s="141">
        <v>25</v>
      </c>
      <c r="CK250" s="141"/>
      <c r="CL250" s="141"/>
      <c r="CM250" s="141"/>
      <c r="CN250" s="141"/>
      <c r="CO250" s="141"/>
      <c r="CP250" s="141"/>
      <c r="CQ250" s="141"/>
      <c r="CR250" s="141"/>
      <c r="CS250" s="141"/>
      <c r="CT250" s="141"/>
      <c r="CU250" s="141"/>
      <c r="CV250" s="141"/>
      <c r="CW250" s="141"/>
      <c r="CX250" s="141"/>
      <c r="CY250" s="141">
        <v>0</v>
      </c>
      <c r="CZ250" s="141">
        <v>0</v>
      </c>
      <c r="DA250" s="141">
        <v>0</v>
      </c>
      <c r="DB250" s="141">
        <v>23</v>
      </c>
      <c r="DC250" s="141">
        <v>0</v>
      </c>
      <c r="DD250" s="141">
        <v>58</v>
      </c>
      <c r="DE250">
        <f t="shared" si="57"/>
        <v>789005</v>
      </c>
      <c r="DG250" s="1">
        <f t="shared" si="71"/>
        <v>505216</v>
      </c>
      <c r="DH250" s="1">
        <f t="shared" si="58"/>
        <v>229511</v>
      </c>
      <c r="DI250" s="1">
        <f t="shared" si="76"/>
        <v>734727</v>
      </c>
      <c r="DK250" s="1">
        <f t="shared" si="60"/>
        <v>59827</v>
      </c>
      <c r="DL250" s="1">
        <f t="shared" si="61"/>
        <v>126755</v>
      </c>
      <c r="DM250" s="1">
        <f t="shared" si="62"/>
        <v>10999</v>
      </c>
      <c r="DN250" s="1">
        <f t="shared" si="63"/>
        <v>31299</v>
      </c>
      <c r="DO250" s="1">
        <f t="shared" si="64"/>
        <v>365479</v>
      </c>
      <c r="DP250" s="1">
        <f t="shared" si="65"/>
        <v>67322</v>
      </c>
      <c r="DQ250" s="1">
        <f t="shared" si="72"/>
        <v>0</v>
      </c>
      <c r="DR250" s="1">
        <f t="shared" si="66"/>
        <v>16187</v>
      </c>
      <c r="DS250" s="1">
        <f t="shared" si="67"/>
        <v>4026</v>
      </c>
      <c r="DT250" s="1">
        <f t="shared" si="68"/>
        <v>12699</v>
      </c>
      <c r="DU250" s="1"/>
      <c r="DV250" s="1"/>
      <c r="DW250" s="1"/>
      <c r="DX250" s="1">
        <f t="shared" si="73"/>
        <v>694593</v>
      </c>
      <c r="DZ250" s="1">
        <f t="shared" si="74"/>
        <v>38809</v>
      </c>
      <c r="EA250" s="1">
        <f t="shared" si="69"/>
        <v>58370</v>
      </c>
      <c r="EC250" s="1">
        <f t="shared" si="75"/>
        <v>791772</v>
      </c>
      <c r="ED250" s="1">
        <f t="shared" si="70"/>
        <v>2767</v>
      </c>
      <c r="EE250" s="1"/>
    </row>
    <row r="251" spans="1:135" x14ac:dyDescent="0.25">
      <c r="A251" s="140">
        <v>39845</v>
      </c>
      <c r="B251" s="141">
        <v>1</v>
      </c>
      <c r="C251" s="141">
        <v>10</v>
      </c>
      <c r="D251" s="141">
        <v>2712</v>
      </c>
      <c r="E251" s="141">
        <v>0</v>
      </c>
      <c r="F251" s="141">
        <v>1161</v>
      </c>
      <c r="G251" s="141">
        <v>15394</v>
      </c>
      <c r="H251" s="141">
        <v>27906</v>
      </c>
      <c r="I251" s="141">
        <v>4903</v>
      </c>
      <c r="J251" s="141">
        <v>8802</v>
      </c>
      <c r="K251" s="141"/>
      <c r="L251" s="141">
        <v>28643</v>
      </c>
      <c r="M251" s="141">
        <v>2069</v>
      </c>
      <c r="N251" s="141"/>
      <c r="O251" s="141">
        <v>1553</v>
      </c>
      <c r="P251" s="141">
        <v>10046</v>
      </c>
      <c r="Q251" s="141">
        <v>396</v>
      </c>
      <c r="R251" s="141">
        <v>8580</v>
      </c>
      <c r="S251" s="141">
        <v>10999</v>
      </c>
      <c r="T251" s="141"/>
      <c r="U251" s="141"/>
      <c r="V251" s="141">
        <v>489</v>
      </c>
      <c r="W251" s="141">
        <v>8051</v>
      </c>
      <c r="X251" s="141">
        <v>353</v>
      </c>
      <c r="Y251" s="141">
        <v>8</v>
      </c>
      <c r="Z251" s="142"/>
      <c r="AA251" s="141">
        <v>5</v>
      </c>
      <c r="AB251" s="141">
        <v>109</v>
      </c>
      <c r="AC251" s="141">
        <v>19</v>
      </c>
      <c r="AD251" s="141">
        <v>30</v>
      </c>
      <c r="AE251" s="141">
        <v>40</v>
      </c>
      <c r="AF251" s="141">
        <v>65</v>
      </c>
      <c r="AG251" s="141"/>
      <c r="AH251" s="141"/>
      <c r="AI251" s="141">
        <v>5</v>
      </c>
      <c r="AJ251" s="141">
        <v>9326</v>
      </c>
      <c r="AK251" s="141">
        <v>100234</v>
      </c>
      <c r="AL251" s="141">
        <v>3072</v>
      </c>
      <c r="AM251" s="141">
        <v>16898</v>
      </c>
      <c r="AN251" s="141">
        <v>36</v>
      </c>
      <c r="AO251" s="141">
        <v>33</v>
      </c>
      <c r="AP251" s="141">
        <v>2718</v>
      </c>
      <c r="AQ251" s="141">
        <v>0</v>
      </c>
      <c r="AR251" s="141">
        <v>1959</v>
      </c>
      <c r="AS251" s="141">
        <v>22</v>
      </c>
      <c r="AT251" s="141">
        <v>5064</v>
      </c>
      <c r="AU251" s="141">
        <v>2251</v>
      </c>
      <c r="AV251" s="141">
        <v>3971</v>
      </c>
      <c r="AW251" s="141">
        <v>11585</v>
      </c>
      <c r="AX251" s="142"/>
      <c r="AY251" s="142"/>
      <c r="AZ251" s="142">
        <v>565</v>
      </c>
      <c r="BA251" s="142"/>
      <c r="BB251" s="141">
        <v>317</v>
      </c>
      <c r="BC251" s="141"/>
      <c r="BD251" s="141">
        <v>0</v>
      </c>
      <c r="BE251" s="141">
        <v>0</v>
      </c>
      <c r="BF251" s="141">
        <v>1039</v>
      </c>
      <c r="BG251" s="141">
        <v>0</v>
      </c>
      <c r="BH251" s="141">
        <v>0</v>
      </c>
      <c r="BI251" s="141">
        <v>8252</v>
      </c>
      <c r="BJ251" s="141">
        <v>25</v>
      </c>
      <c r="BK251" s="141">
        <v>3263</v>
      </c>
      <c r="BL251" s="141"/>
      <c r="BM251" s="141">
        <v>424</v>
      </c>
      <c r="BN251" s="141">
        <v>32</v>
      </c>
      <c r="BO251" s="141">
        <v>4026</v>
      </c>
      <c r="BP251" s="141">
        <v>62258</v>
      </c>
      <c r="BQ251" s="141">
        <v>549</v>
      </c>
      <c r="BR251" s="141">
        <v>174</v>
      </c>
      <c r="BS251" s="141">
        <v>5104</v>
      </c>
      <c r="BT251" s="141">
        <v>53</v>
      </c>
      <c r="BU251" s="141"/>
      <c r="BV251" s="141">
        <v>5</v>
      </c>
      <c r="BW251" s="141">
        <v>145</v>
      </c>
      <c r="BX251" s="141"/>
      <c r="BY251" s="141">
        <v>1</v>
      </c>
      <c r="BZ251" s="141">
        <v>0</v>
      </c>
      <c r="CA251" s="141">
        <v>21317</v>
      </c>
      <c r="CB251" s="141">
        <v>16177</v>
      </c>
      <c r="CC251" s="141">
        <v>126332</v>
      </c>
      <c r="CD251" s="141">
        <v>192933</v>
      </c>
      <c r="CE251" s="141">
        <v>24027</v>
      </c>
      <c r="CF251" s="141">
        <v>39039</v>
      </c>
      <c r="CG251" s="141">
        <v>0</v>
      </c>
      <c r="CH251" s="141">
        <v>10</v>
      </c>
      <c r="CI251" s="141">
        <v>7</v>
      </c>
      <c r="CJ251" s="141">
        <v>24</v>
      </c>
      <c r="CK251" s="141"/>
      <c r="CL251" s="141"/>
      <c r="CM251" s="141"/>
      <c r="CN251" s="141"/>
      <c r="CO251" s="141"/>
      <c r="CP251" s="141"/>
      <c r="CQ251" s="141"/>
      <c r="CR251" s="141"/>
      <c r="CS251" s="141"/>
      <c r="CT251" s="141"/>
      <c r="CU251" s="141"/>
      <c r="CV251" s="141"/>
      <c r="CW251" s="141"/>
      <c r="CX251" s="141"/>
      <c r="CY251" s="141">
        <v>0</v>
      </c>
      <c r="CZ251" s="141">
        <v>0</v>
      </c>
      <c r="DA251" s="141">
        <v>0</v>
      </c>
      <c r="DB251" s="141">
        <v>22</v>
      </c>
      <c r="DC251" s="141">
        <v>0</v>
      </c>
      <c r="DD251" s="141">
        <v>58</v>
      </c>
      <c r="DE251">
        <f t="shared" si="57"/>
        <v>795616</v>
      </c>
      <c r="DG251" s="1">
        <f t="shared" si="71"/>
        <v>509522</v>
      </c>
      <c r="DH251" s="1">
        <f t="shared" si="58"/>
        <v>231899</v>
      </c>
      <c r="DI251" s="1">
        <f t="shared" si="76"/>
        <v>741421</v>
      </c>
      <c r="DK251" s="1">
        <f t="shared" si="60"/>
        <v>59803</v>
      </c>
      <c r="DL251" s="1">
        <f t="shared" si="61"/>
        <v>127386</v>
      </c>
      <c r="DM251" s="1">
        <f t="shared" si="62"/>
        <v>11016</v>
      </c>
      <c r="DN251" s="1">
        <f t="shared" si="63"/>
        <v>33525</v>
      </c>
      <c r="DO251" s="1">
        <f t="shared" si="64"/>
        <v>370099</v>
      </c>
      <c r="DP251" s="1">
        <f t="shared" si="65"/>
        <v>67786</v>
      </c>
      <c r="DQ251" s="1">
        <f t="shared" si="72"/>
        <v>0</v>
      </c>
      <c r="DR251" s="1">
        <f t="shared" si="66"/>
        <v>16016</v>
      </c>
      <c r="DS251" s="1">
        <f t="shared" si="67"/>
        <v>3821</v>
      </c>
      <c r="DT251" s="1">
        <f t="shared" si="68"/>
        <v>12586</v>
      </c>
      <c r="DU251" s="1"/>
      <c r="DV251" s="1"/>
      <c r="DW251" s="1"/>
      <c r="DX251" s="1">
        <f t="shared" si="73"/>
        <v>702038</v>
      </c>
      <c r="DZ251" s="1">
        <f t="shared" si="74"/>
        <v>39039</v>
      </c>
      <c r="EA251" s="1">
        <f t="shared" si="69"/>
        <v>58166</v>
      </c>
      <c r="EC251" s="1">
        <f t="shared" si="75"/>
        <v>799243</v>
      </c>
      <c r="ED251" s="1">
        <f t="shared" si="70"/>
        <v>3627</v>
      </c>
      <c r="EE251" s="1"/>
    </row>
    <row r="252" spans="1:135" x14ac:dyDescent="0.25">
      <c r="A252" s="140">
        <v>39873</v>
      </c>
      <c r="B252" s="141">
        <v>1</v>
      </c>
      <c r="C252" s="141">
        <v>3</v>
      </c>
      <c r="D252" s="141">
        <v>1989</v>
      </c>
      <c r="E252" s="141">
        <v>0</v>
      </c>
      <c r="F252" s="141">
        <v>1127</v>
      </c>
      <c r="G252" s="141">
        <v>15229</v>
      </c>
      <c r="H252" s="141">
        <v>27951</v>
      </c>
      <c r="I252" s="141">
        <v>4852</v>
      </c>
      <c r="J252" s="141">
        <v>8886</v>
      </c>
      <c r="K252" s="141"/>
      <c r="L252" s="141">
        <v>28623</v>
      </c>
      <c r="M252" s="141">
        <v>2046</v>
      </c>
      <c r="N252" s="141"/>
      <c r="O252" s="141">
        <v>1544</v>
      </c>
      <c r="P252" s="141">
        <v>10147</v>
      </c>
      <c r="Q252" s="141">
        <v>391</v>
      </c>
      <c r="R252" s="141">
        <v>8561</v>
      </c>
      <c r="S252" s="141">
        <v>11016</v>
      </c>
      <c r="T252" s="141"/>
      <c r="U252" s="141"/>
      <c r="V252" s="141">
        <v>487</v>
      </c>
      <c r="W252" s="141">
        <v>8004</v>
      </c>
      <c r="X252" s="141">
        <v>353</v>
      </c>
      <c r="Y252" s="141">
        <v>8</v>
      </c>
      <c r="Z252" s="142"/>
      <c r="AA252" s="141">
        <v>5</v>
      </c>
      <c r="AB252" s="141">
        <v>109</v>
      </c>
      <c r="AC252" s="141">
        <v>20</v>
      </c>
      <c r="AD252" s="141">
        <v>30</v>
      </c>
      <c r="AE252" s="141">
        <v>39</v>
      </c>
      <c r="AF252" s="141">
        <v>65</v>
      </c>
      <c r="AG252" s="141"/>
      <c r="AH252" s="141"/>
      <c r="AI252" s="141">
        <v>4</v>
      </c>
      <c r="AJ252" s="141">
        <v>9291</v>
      </c>
      <c r="AK252" s="141">
        <v>100381</v>
      </c>
      <c r="AL252" s="141">
        <v>3073</v>
      </c>
      <c r="AM252" s="141">
        <v>16984</v>
      </c>
      <c r="AN252" s="141">
        <v>36</v>
      </c>
      <c r="AO252" s="141">
        <v>29</v>
      </c>
      <c r="AP252" s="141">
        <v>4757</v>
      </c>
      <c r="AQ252" s="141">
        <v>0</v>
      </c>
      <c r="AR252" s="141">
        <v>1989</v>
      </c>
      <c r="AS252" s="141">
        <v>21</v>
      </c>
      <c r="AT252" s="141">
        <v>5078</v>
      </c>
      <c r="AU252" s="141">
        <v>2261</v>
      </c>
      <c r="AV252" s="141">
        <v>3976</v>
      </c>
      <c r="AW252" s="141">
        <v>11690</v>
      </c>
      <c r="AX252" s="142"/>
      <c r="AY252" s="142"/>
      <c r="AZ252" s="142">
        <v>563</v>
      </c>
      <c r="BA252" s="142"/>
      <c r="BB252" s="141">
        <v>318</v>
      </c>
      <c r="BC252" s="141"/>
      <c r="BD252" s="141">
        <v>0</v>
      </c>
      <c r="BE252" s="141">
        <v>0</v>
      </c>
      <c r="BF252" s="141">
        <v>1050</v>
      </c>
      <c r="BG252" s="141">
        <v>0</v>
      </c>
      <c r="BH252" s="141">
        <v>0</v>
      </c>
      <c r="BI252" s="141">
        <v>8222</v>
      </c>
      <c r="BJ252" s="141">
        <v>28</v>
      </c>
      <c r="BK252" s="141">
        <v>3172</v>
      </c>
      <c r="BL252" s="141"/>
      <c r="BM252" s="141">
        <v>426</v>
      </c>
      <c r="BN252" s="141">
        <v>32</v>
      </c>
      <c r="BO252" s="141">
        <v>3821</v>
      </c>
      <c r="BP252" s="141">
        <v>62615</v>
      </c>
      <c r="BQ252" s="141">
        <v>527</v>
      </c>
      <c r="BR252" s="141">
        <v>174</v>
      </c>
      <c r="BS252" s="141">
        <v>5228</v>
      </c>
      <c r="BT252" s="141">
        <v>58</v>
      </c>
      <c r="BU252" s="141"/>
      <c r="BV252" s="141">
        <v>4</v>
      </c>
      <c r="BW252" s="141">
        <v>142</v>
      </c>
      <c r="BX252" s="141"/>
      <c r="BY252" s="141">
        <v>1</v>
      </c>
      <c r="BZ252" s="141">
        <v>0</v>
      </c>
      <c r="CA252" s="141">
        <v>21078</v>
      </c>
      <c r="CB252" s="141">
        <v>16009</v>
      </c>
      <c r="CC252" s="141">
        <v>128612</v>
      </c>
      <c r="CD252" s="141">
        <v>195707</v>
      </c>
      <c r="CE252" s="141">
        <v>23849</v>
      </c>
      <c r="CF252" s="141">
        <v>38731</v>
      </c>
      <c r="CG252" s="141">
        <v>0</v>
      </c>
      <c r="CH252" s="141">
        <v>7</v>
      </c>
      <c r="CI252" s="141">
        <v>7</v>
      </c>
      <c r="CJ252" s="141">
        <v>22</v>
      </c>
      <c r="CK252" s="141"/>
      <c r="CL252" s="141"/>
      <c r="CM252" s="141"/>
      <c r="CN252" s="141"/>
      <c r="CO252" s="141"/>
      <c r="CP252" s="141"/>
      <c r="CQ252" s="141"/>
      <c r="CR252" s="141"/>
      <c r="CS252" s="141"/>
      <c r="CT252" s="141"/>
      <c r="CU252" s="141"/>
      <c r="CV252" s="141"/>
      <c r="CW252" s="141"/>
      <c r="CX252" s="141"/>
      <c r="CY252" s="141">
        <v>0</v>
      </c>
      <c r="CZ252" s="141">
        <v>0</v>
      </c>
      <c r="DA252" s="141">
        <v>0</v>
      </c>
      <c r="DB252" s="141">
        <v>22</v>
      </c>
      <c r="DC252" s="141">
        <v>0</v>
      </c>
      <c r="DD252" s="141">
        <v>58</v>
      </c>
      <c r="DE252">
        <f t="shared" si="57"/>
        <v>801459</v>
      </c>
      <c r="DG252" s="1">
        <f t="shared" si="71"/>
        <v>517599</v>
      </c>
      <c r="DH252" s="1">
        <f t="shared" si="58"/>
        <v>233193</v>
      </c>
      <c r="DI252" s="1">
        <f t="shared" si="76"/>
        <v>750792</v>
      </c>
      <c r="DK252" s="1">
        <f t="shared" si="60"/>
        <v>59785</v>
      </c>
      <c r="DL252" s="1">
        <f t="shared" si="61"/>
        <v>127555</v>
      </c>
      <c r="DM252" s="1">
        <f t="shared" si="62"/>
        <v>11021</v>
      </c>
      <c r="DN252" s="1">
        <f t="shared" si="63"/>
        <v>34595</v>
      </c>
      <c r="DO252" s="1">
        <f t="shared" si="64"/>
        <v>376877</v>
      </c>
      <c r="DP252" s="1">
        <f t="shared" si="65"/>
        <v>68269</v>
      </c>
      <c r="DQ252" s="1">
        <f t="shared" si="72"/>
        <v>0</v>
      </c>
      <c r="DR252" s="1">
        <f t="shared" si="66"/>
        <v>16332</v>
      </c>
      <c r="DS252" s="1">
        <f t="shared" si="67"/>
        <v>3774</v>
      </c>
      <c r="DT252" s="1">
        <f t="shared" si="68"/>
        <v>12571</v>
      </c>
      <c r="DU252" s="1"/>
      <c r="DV252" s="1"/>
      <c r="DW252" s="1"/>
      <c r="DX252" s="1">
        <f t="shared" si="73"/>
        <v>710779</v>
      </c>
      <c r="DZ252" s="1">
        <f t="shared" si="74"/>
        <v>38731</v>
      </c>
      <c r="EA252" s="1">
        <f t="shared" si="69"/>
        <v>58045</v>
      </c>
      <c r="EC252" s="1">
        <f t="shared" si="75"/>
        <v>807555</v>
      </c>
      <c r="ED252" s="1">
        <f t="shared" si="70"/>
        <v>6096</v>
      </c>
      <c r="EE252" s="1"/>
    </row>
    <row r="253" spans="1:135" x14ac:dyDescent="0.25">
      <c r="A253" s="140">
        <v>39904</v>
      </c>
      <c r="B253" s="141">
        <v>1</v>
      </c>
      <c r="C253" s="141">
        <v>0</v>
      </c>
      <c r="D253" s="141">
        <v>1231</v>
      </c>
      <c r="E253" s="141">
        <v>0</v>
      </c>
      <c r="F253" s="141">
        <v>1118</v>
      </c>
      <c r="G253" s="141">
        <v>15278</v>
      </c>
      <c r="H253" s="141">
        <v>28230</v>
      </c>
      <c r="I253" s="141">
        <v>4869</v>
      </c>
      <c r="J253" s="141">
        <v>9192</v>
      </c>
      <c r="K253" s="141"/>
      <c r="L253" s="141">
        <v>28518</v>
      </c>
      <c r="M253" s="141">
        <v>2034</v>
      </c>
      <c r="N253" s="141"/>
      <c r="O253" s="141">
        <v>1557</v>
      </c>
      <c r="P253" s="141">
        <v>10238</v>
      </c>
      <c r="Q253" s="141">
        <v>397</v>
      </c>
      <c r="R253" s="141">
        <v>8564</v>
      </c>
      <c r="S253" s="141">
        <v>11021</v>
      </c>
      <c r="T253" s="141"/>
      <c r="U253" s="141"/>
      <c r="V253" s="141">
        <v>481</v>
      </c>
      <c r="W253" s="141">
        <v>7996</v>
      </c>
      <c r="X253" s="141">
        <v>347</v>
      </c>
      <c r="Y253" s="141">
        <v>8</v>
      </c>
      <c r="Z253" s="142"/>
      <c r="AA253" s="141">
        <v>6</v>
      </c>
      <c r="AB253" s="141">
        <v>110</v>
      </c>
      <c r="AC253" s="141">
        <v>21</v>
      </c>
      <c r="AD253" s="141">
        <v>30</v>
      </c>
      <c r="AE253" s="141">
        <v>37</v>
      </c>
      <c r="AF253" s="141">
        <v>70</v>
      </c>
      <c r="AG253" s="141"/>
      <c r="AH253" s="141"/>
      <c r="AI253" s="141">
        <v>4</v>
      </c>
      <c r="AJ253" s="141">
        <v>9278</v>
      </c>
      <c r="AK253" s="141">
        <v>100466</v>
      </c>
      <c r="AL253" s="141">
        <v>3059</v>
      </c>
      <c r="AM253" s="141">
        <v>17031</v>
      </c>
      <c r="AN253" s="141">
        <v>32</v>
      </c>
      <c r="AO253" s="141">
        <v>28</v>
      </c>
      <c r="AP253" s="141">
        <v>5683</v>
      </c>
      <c r="AQ253" s="141">
        <v>0</v>
      </c>
      <c r="AR253" s="141">
        <v>2071</v>
      </c>
      <c r="AS253" s="141">
        <v>22</v>
      </c>
      <c r="AT253" s="141">
        <v>5136</v>
      </c>
      <c r="AU253" s="141">
        <v>2257</v>
      </c>
      <c r="AV253" s="141">
        <v>4019</v>
      </c>
      <c r="AW253" s="141">
        <v>11783</v>
      </c>
      <c r="AX253" s="142"/>
      <c r="AY253" s="142"/>
      <c r="AZ253" s="142">
        <v>573</v>
      </c>
      <c r="BA253" s="142"/>
      <c r="BB253" s="141">
        <v>316</v>
      </c>
      <c r="BC253" s="141"/>
      <c r="BD253" s="141">
        <v>0</v>
      </c>
      <c r="BE253" s="141">
        <v>0</v>
      </c>
      <c r="BF253" s="141">
        <v>1066</v>
      </c>
      <c r="BG253" s="141">
        <v>0</v>
      </c>
      <c r="BH253" s="141">
        <v>0</v>
      </c>
      <c r="BI253" s="141">
        <v>8229</v>
      </c>
      <c r="BJ253" s="141">
        <v>31</v>
      </c>
      <c r="BK253" s="141">
        <v>3134</v>
      </c>
      <c r="BL253" s="141"/>
      <c r="BM253" s="141">
        <v>421</v>
      </c>
      <c r="BN253" s="141">
        <v>34</v>
      </c>
      <c r="BO253" s="141">
        <v>3774</v>
      </c>
      <c r="BP253" s="141">
        <v>63352</v>
      </c>
      <c r="BQ253" s="141">
        <v>488</v>
      </c>
      <c r="BR253" s="141">
        <v>178</v>
      </c>
      <c r="BS253" s="141">
        <v>5491</v>
      </c>
      <c r="BT253" s="141">
        <v>56</v>
      </c>
      <c r="BU253" s="141"/>
      <c r="BV253" s="141">
        <v>5</v>
      </c>
      <c r="BW253" s="141">
        <v>142</v>
      </c>
      <c r="BX253" s="141"/>
      <c r="BY253" s="141">
        <v>2</v>
      </c>
      <c r="BZ253" s="141">
        <v>0</v>
      </c>
      <c r="CA253" s="141">
        <v>21058</v>
      </c>
      <c r="CB253" s="141">
        <v>16328</v>
      </c>
      <c r="CC253" s="141">
        <v>131533</v>
      </c>
      <c r="CD253" s="141">
        <v>199399</v>
      </c>
      <c r="CE253" s="141">
        <v>24065</v>
      </c>
      <c r="CF253" s="141">
        <v>38781</v>
      </c>
      <c r="CG253" s="141">
        <v>0</v>
      </c>
      <c r="CH253" s="141">
        <v>4</v>
      </c>
      <c r="CI253" s="141">
        <v>5</v>
      </c>
      <c r="CJ253" s="141">
        <v>23</v>
      </c>
      <c r="CK253" s="141"/>
      <c r="CL253" s="141"/>
      <c r="CM253" s="141"/>
      <c r="CN253" s="141"/>
      <c r="CO253" s="141"/>
      <c r="CP253" s="141"/>
      <c r="CQ253" s="141"/>
      <c r="CR253" s="141"/>
      <c r="CS253" s="141"/>
      <c r="CT253" s="141"/>
      <c r="CU253" s="141"/>
      <c r="CV253" s="141"/>
      <c r="CW253" s="141"/>
      <c r="CX253" s="141"/>
      <c r="CY253" s="141">
        <v>0</v>
      </c>
      <c r="CZ253" s="141">
        <v>0</v>
      </c>
      <c r="DA253" s="141">
        <v>0</v>
      </c>
      <c r="DB253" s="141">
        <v>22</v>
      </c>
      <c r="DC253" s="141">
        <v>0</v>
      </c>
      <c r="DD253" s="141">
        <v>58</v>
      </c>
      <c r="DE253">
        <f t="shared" si="57"/>
        <v>810711</v>
      </c>
      <c r="DG253" s="1">
        <f t="shared" si="71"/>
        <v>523002</v>
      </c>
      <c r="DH253" s="1">
        <f t="shared" si="58"/>
        <v>234639</v>
      </c>
      <c r="DI253" s="1">
        <f t="shared" si="76"/>
        <v>757641</v>
      </c>
      <c r="DK253" s="1">
        <f t="shared" si="60"/>
        <v>59955</v>
      </c>
      <c r="DL253" s="1">
        <f t="shared" si="61"/>
        <v>127792</v>
      </c>
      <c r="DM253" s="1">
        <f t="shared" si="62"/>
        <v>11000</v>
      </c>
      <c r="DN253" s="1">
        <f t="shared" si="63"/>
        <v>35258</v>
      </c>
      <c r="DO253" s="1">
        <f t="shared" si="64"/>
        <v>383183</v>
      </c>
      <c r="DP253" s="1">
        <f t="shared" si="65"/>
        <v>69264</v>
      </c>
      <c r="DQ253" s="1">
        <f t="shared" si="72"/>
        <v>0</v>
      </c>
      <c r="DR253" s="1">
        <f t="shared" si="66"/>
        <v>14034</v>
      </c>
      <c r="DS253" s="1">
        <f t="shared" si="67"/>
        <v>3758</v>
      </c>
      <c r="DT253" s="1">
        <f t="shared" si="68"/>
        <v>12554</v>
      </c>
      <c r="DU253" s="1"/>
      <c r="DV253" s="1"/>
      <c r="DW253" s="1"/>
      <c r="DX253" s="1">
        <f t="shared" si="73"/>
        <v>716798</v>
      </c>
      <c r="DZ253" s="1">
        <f t="shared" si="74"/>
        <v>38781</v>
      </c>
      <c r="EA253" s="1">
        <f t="shared" si="69"/>
        <v>58687</v>
      </c>
      <c r="EC253" s="1">
        <f t="shared" si="75"/>
        <v>814266</v>
      </c>
      <c r="ED253" s="1">
        <f t="shared" si="70"/>
        <v>3555</v>
      </c>
      <c r="EE253" s="1"/>
    </row>
    <row r="254" spans="1:135" x14ac:dyDescent="0.25">
      <c r="A254" s="140">
        <v>39934</v>
      </c>
      <c r="B254" s="141">
        <v>0</v>
      </c>
      <c r="C254" s="141">
        <v>0</v>
      </c>
      <c r="D254" s="141">
        <v>829</v>
      </c>
      <c r="E254" s="141">
        <v>0</v>
      </c>
      <c r="F254" s="141">
        <v>1124</v>
      </c>
      <c r="G254" s="141">
        <v>14917</v>
      </c>
      <c r="H254" s="141">
        <v>27936</v>
      </c>
      <c r="I254" s="141">
        <v>4932</v>
      </c>
      <c r="J254" s="141">
        <v>9369</v>
      </c>
      <c r="K254" s="141"/>
      <c r="L254" s="141">
        <v>28490</v>
      </c>
      <c r="M254" s="141">
        <v>2047</v>
      </c>
      <c r="N254" s="141"/>
      <c r="O254" s="141">
        <v>1528</v>
      </c>
      <c r="P254" s="141">
        <v>10428</v>
      </c>
      <c r="Q254" s="141">
        <v>402</v>
      </c>
      <c r="R254" s="141">
        <v>8622</v>
      </c>
      <c r="S254" s="141">
        <v>11000</v>
      </c>
      <c r="T254" s="141"/>
      <c r="U254" s="141"/>
      <c r="V254" s="141">
        <v>475</v>
      </c>
      <c r="W254" s="141">
        <v>7963</v>
      </c>
      <c r="X254" s="141">
        <v>344</v>
      </c>
      <c r="Y254" s="141">
        <v>7</v>
      </c>
      <c r="Z254" s="142"/>
      <c r="AA254" s="141">
        <v>6</v>
      </c>
      <c r="AB254" s="141">
        <v>117</v>
      </c>
      <c r="AC254" s="141">
        <v>22</v>
      </c>
      <c r="AD254" s="141">
        <v>28</v>
      </c>
      <c r="AE254" s="141">
        <v>36</v>
      </c>
      <c r="AF254" s="141">
        <v>70</v>
      </c>
      <c r="AG254" s="141"/>
      <c r="AH254" s="141"/>
      <c r="AI254" s="141">
        <v>4</v>
      </c>
      <c r="AJ254" s="141">
        <v>9268</v>
      </c>
      <c r="AK254" s="141">
        <v>100915</v>
      </c>
      <c r="AL254" s="141">
        <v>3040</v>
      </c>
      <c r="AM254" s="141">
        <v>17138</v>
      </c>
      <c r="AN254" s="141">
        <v>33</v>
      </c>
      <c r="AO254" s="141">
        <v>28</v>
      </c>
      <c r="AP254" s="141">
        <v>6135</v>
      </c>
      <c r="AQ254" s="141">
        <v>0</v>
      </c>
      <c r="AR254" s="141">
        <v>2146</v>
      </c>
      <c r="AS254" s="141">
        <v>26</v>
      </c>
      <c r="AT254" s="141">
        <v>5185</v>
      </c>
      <c r="AU254" s="141">
        <v>2284</v>
      </c>
      <c r="AV254" s="141">
        <v>4044</v>
      </c>
      <c r="AW254" s="141">
        <v>11887</v>
      </c>
      <c r="AX254" s="142"/>
      <c r="AY254" s="142"/>
      <c r="AZ254" s="142">
        <v>594</v>
      </c>
      <c r="BA254" s="142"/>
      <c r="BB254" s="141">
        <v>327</v>
      </c>
      <c r="BC254" s="141"/>
      <c r="BD254" s="141">
        <v>0</v>
      </c>
      <c r="BE254" s="141">
        <v>0</v>
      </c>
      <c r="BF254" s="141">
        <v>1091</v>
      </c>
      <c r="BG254" s="141">
        <v>0</v>
      </c>
      <c r="BH254" s="141">
        <v>0</v>
      </c>
      <c r="BI254" s="141">
        <v>8246</v>
      </c>
      <c r="BJ254" s="141">
        <v>28</v>
      </c>
      <c r="BK254" s="141">
        <v>3075</v>
      </c>
      <c r="BL254" s="141"/>
      <c r="BM254" s="141">
        <v>427</v>
      </c>
      <c r="BN254" s="141">
        <v>33</v>
      </c>
      <c r="BO254" s="141">
        <v>3758</v>
      </c>
      <c r="BP254" s="141">
        <v>64599</v>
      </c>
      <c r="BQ254" s="141">
        <v>464</v>
      </c>
      <c r="BR254" s="141">
        <v>177</v>
      </c>
      <c r="BS254" s="141">
        <v>5660</v>
      </c>
      <c r="BT254" s="141">
        <v>52</v>
      </c>
      <c r="BU254" s="141"/>
      <c r="BV254" s="141">
        <v>7</v>
      </c>
      <c r="BW254" s="141">
        <v>142</v>
      </c>
      <c r="BX254" s="141"/>
      <c r="BY254" s="141">
        <v>3</v>
      </c>
      <c r="BZ254" s="141">
        <v>0</v>
      </c>
      <c r="CA254" s="141">
        <v>20938</v>
      </c>
      <c r="CB254" s="141">
        <v>14034</v>
      </c>
      <c r="CC254" s="141">
        <v>134332</v>
      </c>
      <c r="CD254" s="141">
        <v>202899</v>
      </c>
      <c r="CE254" s="141">
        <v>24224</v>
      </c>
      <c r="CF254" s="141">
        <v>38787</v>
      </c>
      <c r="CG254" s="141">
        <v>0</v>
      </c>
      <c r="CH254" s="141">
        <v>0</v>
      </c>
      <c r="CI254" s="141">
        <v>5</v>
      </c>
      <c r="CJ254" s="141">
        <v>21</v>
      </c>
      <c r="CK254" s="141"/>
      <c r="CL254" s="141"/>
      <c r="CM254" s="141"/>
      <c r="CN254" s="141"/>
      <c r="CO254" s="141"/>
      <c r="CP254" s="141"/>
      <c r="CQ254" s="141"/>
      <c r="CR254" s="141"/>
      <c r="CS254" s="141"/>
      <c r="CT254" s="141"/>
      <c r="CU254" s="141"/>
      <c r="CV254" s="141"/>
      <c r="CW254" s="141"/>
      <c r="CX254" s="141"/>
      <c r="CY254" s="141">
        <v>0</v>
      </c>
      <c r="CZ254" s="141">
        <v>0</v>
      </c>
      <c r="DA254" s="141">
        <v>0</v>
      </c>
      <c r="DB254" s="141">
        <v>22</v>
      </c>
      <c r="DC254" s="141">
        <v>0</v>
      </c>
      <c r="DD254" s="141">
        <v>58</v>
      </c>
      <c r="DE254">
        <f t="shared" si="57"/>
        <v>816748</v>
      </c>
      <c r="DG254" s="1">
        <f t="shared" si="71"/>
        <v>528045</v>
      </c>
      <c r="DH254" s="1">
        <f t="shared" si="58"/>
        <v>235463</v>
      </c>
      <c r="DI254" s="1">
        <f t="shared" si="76"/>
        <v>763508</v>
      </c>
      <c r="DK254" s="1">
        <f t="shared" si="60"/>
        <v>59970</v>
      </c>
      <c r="DL254" s="1">
        <f t="shared" si="61"/>
        <v>128426</v>
      </c>
      <c r="DM254" s="1">
        <f t="shared" si="62"/>
        <v>10963</v>
      </c>
      <c r="DN254" s="1">
        <f t="shared" si="63"/>
        <v>35761</v>
      </c>
      <c r="DO254" s="1">
        <f t="shared" si="64"/>
        <v>387412</v>
      </c>
      <c r="DP254" s="1">
        <f t="shared" si="65"/>
        <v>70686</v>
      </c>
      <c r="DQ254" s="1">
        <f t="shared" si="72"/>
        <v>0</v>
      </c>
      <c r="DR254" s="1">
        <f t="shared" si="66"/>
        <v>14154</v>
      </c>
      <c r="DS254" s="1">
        <f t="shared" si="67"/>
        <v>3798</v>
      </c>
      <c r="DT254" s="1">
        <f t="shared" si="68"/>
        <v>12535</v>
      </c>
      <c r="DU254" s="1"/>
      <c r="DV254" s="1"/>
      <c r="DW254" s="1"/>
      <c r="DX254" s="1">
        <f t="shared" si="73"/>
        <v>723705</v>
      </c>
      <c r="DZ254" s="1">
        <f t="shared" si="74"/>
        <v>38787</v>
      </c>
      <c r="EA254" s="1">
        <f t="shared" si="69"/>
        <v>58278</v>
      </c>
      <c r="EC254" s="1">
        <f t="shared" si="75"/>
        <v>820770</v>
      </c>
      <c r="ED254" s="1">
        <f t="shared" si="70"/>
        <v>4022</v>
      </c>
      <c r="EE254" s="1"/>
    </row>
    <row r="255" spans="1:135" x14ac:dyDescent="0.25">
      <c r="A255" s="140">
        <v>39965</v>
      </c>
      <c r="B255" s="141">
        <v>0</v>
      </c>
      <c r="C255" s="141">
        <v>0</v>
      </c>
      <c r="D255" s="141">
        <v>0</v>
      </c>
      <c r="E255" s="141">
        <v>0</v>
      </c>
      <c r="F255" s="141">
        <v>1094</v>
      </c>
      <c r="G255" s="141">
        <v>14729</v>
      </c>
      <c r="H255" s="141">
        <v>27984</v>
      </c>
      <c r="I255" s="141">
        <v>4957</v>
      </c>
      <c r="J255" s="141">
        <v>9419</v>
      </c>
      <c r="K255" s="141"/>
      <c r="L255" s="141">
        <v>28454</v>
      </c>
      <c r="M255" s="141">
        <v>2040</v>
      </c>
      <c r="N255" s="141"/>
      <c r="O255" s="141">
        <v>1551</v>
      </c>
      <c r="P255" s="141">
        <v>10514</v>
      </c>
      <c r="Q255" s="141">
        <v>393</v>
      </c>
      <c r="R255" s="141">
        <v>8619</v>
      </c>
      <c r="S255" s="141">
        <v>10963</v>
      </c>
      <c r="T255" s="141"/>
      <c r="U255" s="141"/>
      <c r="V255" s="141">
        <v>485</v>
      </c>
      <c r="W255" s="141">
        <v>7914</v>
      </c>
      <c r="X255" s="141">
        <v>346</v>
      </c>
      <c r="Y255" s="141">
        <v>7</v>
      </c>
      <c r="Z255" s="142"/>
      <c r="AA255" s="141">
        <v>7</v>
      </c>
      <c r="AB255" s="141">
        <v>114</v>
      </c>
      <c r="AC255" s="141">
        <v>22</v>
      </c>
      <c r="AD255" s="141">
        <v>26</v>
      </c>
      <c r="AE255" s="141">
        <v>39</v>
      </c>
      <c r="AF255" s="141">
        <v>71</v>
      </c>
      <c r="AG255" s="141"/>
      <c r="AH255" s="141"/>
      <c r="AI255" s="141">
        <v>4</v>
      </c>
      <c r="AJ255" s="141">
        <v>9300</v>
      </c>
      <c r="AK255" s="141">
        <v>101042</v>
      </c>
      <c r="AL255" s="141">
        <v>3059</v>
      </c>
      <c r="AM255" s="141">
        <v>17291</v>
      </c>
      <c r="AN255" s="141">
        <v>36</v>
      </c>
      <c r="AO255" s="141">
        <v>26</v>
      </c>
      <c r="AP255" s="141">
        <v>6416</v>
      </c>
      <c r="AQ255" s="141">
        <v>0</v>
      </c>
      <c r="AR255" s="141">
        <v>2244</v>
      </c>
      <c r="AS255" s="141">
        <v>27</v>
      </c>
      <c r="AT255" s="141">
        <v>5247</v>
      </c>
      <c r="AU255" s="141">
        <v>2298</v>
      </c>
      <c r="AV255" s="141">
        <v>4030</v>
      </c>
      <c r="AW255" s="141">
        <v>11957</v>
      </c>
      <c r="AX255" s="142"/>
      <c r="AY255" s="142"/>
      <c r="AZ255" s="142">
        <v>600</v>
      </c>
      <c r="BA255" s="142"/>
      <c r="BB255" s="141">
        <v>321</v>
      </c>
      <c r="BC255" s="141"/>
      <c r="BD255" s="141">
        <v>0</v>
      </c>
      <c r="BE255" s="141">
        <v>0</v>
      </c>
      <c r="BF255" s="141">
        <v>1095</v>
      </c>
      <c r="BG255" s="141">
        <v>0</v>
      </c>
      <c r="BH255" s="141">
        <v>0</v>
      </c>
      <c r="BI255" s="141">
        <v>8212</v>
      </c>
      <c r="BJ255" s="141">
        <v>28</v>
      </c>
      <c r="BK255" s="141">
        <v>3086</v>
      </c>
      <c r="BL255" s="141"/>
      <c r="BM255" s="141">
        <v>465</v>
      </c>
      <c r="BN255" s="141">
        <v>36</v>
      </c>
      <c r="BO255" s="141">
        <v>3798</v>
      </c>
      <c r="BP255" s="141">
        <v>64798</v>
      </c>
      <c r="BQ255" s="141">
        <v>443</v>
      </c>
      <c r="BR255" s="141">
        <v>176</v>
      </c>
      <c r="BS255" s="141">
        <v>5764</v>
      </c>
      <c r="BT255" s="141">
        <v>50</v>
      </c>
      <c r="BU255" s="141"/>
      <c r="BV255" s="141">
        <v>5</v>
      </c>
      <c r="BW255" s="141">
        <v>142</v>
      </c>
      <c r="BX255" s="141"/>
      <c r="BY255" s="141">
        <v>6</v>
      </c>
      <c r="BZ255" s="141">
        <v>0</v>
      </c>
      <c r="CA255" s="141">
        <v>20980</v>
      </c>
      <c r="CB255" s="141">
        <v>14154</v>
      </c>
      <c r="CC255" s="141">
        <v>135791</v>
      </c>
      <c r="CD255" s="141">
        <v>205647</v>
      </c>
      <c r="CE255" s="141">
        <v>24224</v>
      </c>
      <c r="CF255" s="141">
        <v>39119</v>
      </c>
      <c r="CG255" s="141">
        <v>0</v>
      </c>
      <c r="CH255" s="141">
        <v>0</v>
      </c>
      <c r="CI255" s="141">
        <v>5</v>
      </c>
      <c r="CJ255" s="141">
        <v>21</v>
      </c>
      <c r="CK255" s="141"/>
      <c r="CL255" s="141"/>
      <c r="CM255" s="141"/>
      <c r="CN255" s="141"/>
      <c r="CO255" s="141"/>
      <c r="CP255" s="141"/>
      <c r="CQ255" s="141"/>
      <c r="CR255" s="141"/>
      <c r="CS255" s="141"/>
      <c r="CT255" s="141"/>
      <c r="CU255" s="141"/>
      <c r="CV255" s="141"/>
      <c r="CW255" s="141"/>
      <c r="CX255" s="141"/>
      <c r="CY255" s="141">
        <v>0</v>
      </c>
      <c r="CZ255" s="141">
        <v>0</v>
      </c>
      <c r="DA255" s="141">
        <v>0</v>
      </c>
      <c r="DB255" s="141">
        <v>22</v>
      </c>
      <c r="DC255" s="141">
        <v>0</v>
      </c>
      <c r="DD255" s="141">
        <v>55</v>
      </c>
      <c r="DE255">
        <f t="shared" si="57"/>
        <v>821691</v>
      </c>
      <c r="DG255" s="1">
        <f t="shared" si="71"/>
        <v>534848</v>
      </c>
      <c r="DH255" s="1">
        <f t="shared" si="58"/>
        <v>236214</v>
      </c>
      <c r="DI255" s="1">
        <f t="shared" si="76"/>
        <v>771062</v>
      </c>
      <c r="DK255" s="1">
        <f t="shared" si="60"/>
        <v>59867</v>
      </c>
      <c r="DL255" s="1">
        <f t="shared" si="61"/>
        <v>128769</v>
      </c>
      <c r="DM255" s="1">
        <f t="shared" si="62"/>
        <v>10994</v>
      </c>
      <c r="DN255" s="1">
        <f t="shared" si="63"/>
        <v>36280</v>
      </c>
      <c r="DO255" s="1">
        <f t="shared" si="64"/>
        <v>392366</v>
      </c>
      <c r="DP255" s="1">
        <f t="shared" si="65"/>
        <v>71027</v>
      </c>
      <c r="DQ255" s="1">
        <f t="shared" si="72"/>
        <v>0</v>
      </c>
      <c r="DR255" s="1">
        <f t="shared" si="66"/>
        <v>14471</v>
      </c>
      <c r="DS255" s="1">
        <f t="shared" si="67"/>
        <v>3949</v>
      </c>
      <c r="DT255" s="1">
        <f t="shared" si="68"/>
        <v>12525</v>
      </c>
      <c r="DU255" s="1"/>
      <c r="DV255" s="1"/>
      <c r="DW255" s="1"/>
      <c r="DX255" s="1">
        <f t="shared" si="73"/>
        <v>730248</v>
      </c>
      <c r="DZ255" s="1">
        <f t="shared" si="74"/>
        <v>39119</v>
      </c>
      <c r="EA255" s="1">
        <f t="shared" si="69"/>
        <v>58183</v>
      </c>
      <c r="EC255" s="1">
        <f t="shared" si="75"/>
        <v>827550</v>
      </c>
      <c r="ED255" s="1">
        <f t="shared" si="70"/>
        <v>5859</v>
      </c>
      <c r="EE255" s="1"/>
    </row>
    <row r="256" spans="1:135" x14ac:dyDescent="0.25">
      <c r="A256" s="140">
        <v>39995</v>
      </c>
      <c r="B256" s="141">
        <v>0</v>
      </c>
      <c r="C256" s="141">
        <v>0</v>
      </c>
      <c r="D256" s="141">
        <v>0</v>
      </c>
      <c r="E256" s="141">
        <v>0</v>
      </c>
      <c r="F256" s="141">
        <v>1130</v>
      </c>
      <c r="G256" s="141">
        <v>14657</v>
      </c>
      <c r="H256" s="141">
        <v>28060</v>
      </c>
      <c r="I256" s="141">
        <v>4889</v>
      </c>
      <c r="J256" s="141">
        <v>9347</v>
      </c>
      <c r="K256" s="141"/>
      <c r="L256" s="141">
        <v>28339</v>
      </c>
      <c r="M256" s="141">
        <v>2037</v>
      </c>
      <c r="N256" s="141"/>
      <c r="O256" s="141">
        <v>1535</v>
      </c>
      <c r="P256" s="141">
        <v>10575</v>
      </c>
      <c r="Q256" s="141">
        <v>388</v>
      </c>
      <c r="R256" s="141">
        <v>8640</v>
      </c>
      <c r="S256" s="141">
        <v>10994</v>
      </c>
      <c r="T256" s="141"/>
      <c r="U256" s="141"/>
      <c r="V256" s="141">
        <v>478</v>
      </c>
      <c r="W256" s="141">
        <v>7875</v>
      </c>
      <c r="X256" s="141">
        <v>344</v>
      </c>
      <c r="Y256" s="141">
        <v>7</v>
      </c>
      <c r="Z256" s="142"/>
      <c r="AA256" s="141">
        <v>8</v>
      </c>
      <c r="AB256" s="141">
        <v>115</v>
      </c>
      <c r="AC256" s="141">
        <v>21</v>
      </c>
      <c r="AD256" s="141">
        <v>29</v>
      </c>
      <c r="AE256" s="141">
        <v>38</v>
      </c>
      <c r="AF256" s="141">
        <v>73</v>
      </c>
      <c r="AG256" s="141"/>
      <c r="AH256" s="141"/>
      <c r="AI256" s="141">
        <v>3</v>
      </c>
      <c r="AJ256" s="141">
        <v>9275</v>
      </c>
      <c r="AK256" s="141">
        <v>101222</v>
      </c>
      <c r="AL256" s="141">
        <v>3051</v>
      </c>
      <c r="AM256" s="141">
        <v>17392</v>
      </c>
      <c r="AN256" s="141">
        <v>34</v>
      </c>
      <c r="AO256" s="141">
        <v>12</v>
      </c>
      <c r="AP256" s="141">
        <v>6723</v>
      </c>
      <c r="AQ256" s="141">
        <v>0</v>
      </c>
      <c r="AR256" s="141">
        <v>2289</v>
      </c>
      <c r="AS256" s="141">
        <v>28</v>
      </c>
      <c r="AT256" s="141">
        <v>5311</v>
      </c>
      <c r="AU256" s="141">
        <v>2310</v>
      </c>
      <c r="AV256" s="141">
        <v>4051</v>
      </c>
      <c r="AW256" s="141">
        <v>12080</v>
      </c>
      <c r="AX256" s="142"/>
      <c r="AY256" s="142"/>
      <c r="AZ256" s="142">
        <v>606</v>
      </c>
      <c r="BA256" s="142"/>
      <c r="BB256" s="141">
        <v>331</v>
      </c>
      <c r="BC256" s="141"/>
      <c r="BD256" s="141">
        <v>0</v>
      </c>
      <c r="BE256" s="141">
        <v>0</v>
      </c>
      <c r="BF256" s="141">
        <v>1092</v>
      </c>
      <c r="BG256" s="141">
        <v>0</v>
      </c>
      <c r="BH256" s="141">
        <v>0</v>
      </c>
      <c r="BI256" s="141">
        <v>8216</v>
      </c>
      <c r="BJ256" s="141">
        <v>30</v>
      </c>
      <c r="BK256" s="141">
        <v>3077</v>
      </c>
      <c r="BL256" s="141"/>
      <c r="BM256" s="141">
        <v>486</v>
      </c>
      <c r="BN256" s="141">
        <v>37</v>
      </c>
      <c r="BO256" s="141">
        <v>3949</v>
      </c>
      <c r="BP256" s="141">
        <v>65643</v>
      </c>
      <c r="BQ256" s="141">
        <v>475</v>
      </c>
      <c r="BR256" s="141">
        <v>168</v>
      </c>
      <c r="BS256" s="141">
        <v>5842</v>
      </c>
      <c r="BT256" s="141">
        <v>56</v>
      </c>
      <c r="BU256" s="141"/>
      <c r="BV256" s="141">
        <v>7</v>
      </c>
      <c r="BW256" s="141">
        <v>140</v>
      </c>
      <c r="BX256" s="141"/>
      <c r="BY256" s="141">
        <v>6</v>
      </c>
      <c r="BZ256" s="141">
        <v>0</v>
      </c>
      <c r="CA256" s="141">
        <v>21199</v>
      </c>
      <c r="CB256" s="141">
        <v>14470</v>
      </c>
      <c r="CC256" s="141">
        <v>137449</v>
      </c>
      <c r="CD256" s="141">
        <v>208425</v>
      </c>
      <c r="CE256" s="141">
        <v>24486</v>
      </c>
      <c r="CF256" s="141">
        <v>39566</v>
      </c>
      <c r="CG256" s="141">
        <v>0</v>
      </c>
      <c r="CH256" s="141">
        <v>1</v>
      </c>
      <c r="CI256" s="141">
        <v>5</v>
      </c>
      <c r="CJ256" s="141">
        <v>23</v>
      </c>
      <c r="CK256" s="141"/>
      <c r="CL256" s="141"/>
      <c r="CM256" s="141"/>
      <c r="CN256" s="141"/>
      <c r="CO256" s="141"/>
      <c r="CP256" s="141"/>
      <c r="CQ256" s="141"/>
      <c r="CR256" s="141"/>
      <c r="CS256" s="141"/>
      <c r="CT256" s="141"/>
      <c r="CU256" s="141"/>
      <c r="CV256" s="141"/>
      <c r="CW256" s="141"/>
      <c r="CX256" s="141"/>
      <c r="CY256" s="141">
        <v>0</v>
      </c>
      <c r="CZ256" s="141">
        <v>0</v>
      </c>
      <c r="DA256" s="141">
        <v>0</v>
      </c>
      <c r="DB256" s="141">
        <v>22</v>
      </c>
      <c r="DC256" s="141">
        <v>0</v>
      </c>
      <c r="DD256" s="141">
        <v>55</v>
      </c>
      <c r="DE256">
        <f t="shared" si="57"/>
        <v>829145</v>
      </c>
      <c r="DG256" s="1">
        <f t="shared" si="71"/>
        <v>542021</v>
      </c>
      <c r="DH256" s="1">
        <f t="shared" si="58"/>
        <v>236759</v>
      </c>
      <c r="DI256" s="1">
        <f t="shared" si="76"/>
        <v>778780</v>
      </c>
      <c r="DK256" s="1">
        <f t="shared" si="60"/>
        <v>59742</v>
      </c>
      <c r="DL256" s="1">
        <f t="shared" si="61"/>
        <v>129073</v>
      </c>
      <c r="DM256" s="1">
        <f t="shared" si="62"/>
        <v>11004</v>
      </c>
      <c r="DN256" s="1">
        <f t="shared" si="63"/>
        <v>36728</v>
      </c>
      <c r="DO256" s="1">
        <f t="shared" si="64"/>
        <v>397231</v>
      </c>
      <c r="DP256" s="1">
        <f t="shared" si="65"/>
        <v>71971</v>
      </c>
      <c r="DQ256" s="1">
        <f t="shared" si="72"/>
        <v>0</v>
      </c>
      <c r="DR256" s="1">
        <f t="shared" si="66"/>
        <v>14764</v>
      </c>
      <c r="DS256" s="1">
        <f t="shared" si="67"/>
        <v>4055</v>
      </c>
      <c r="DT256" s="1">
        <f t="shared" si="68"/>
        <v>12401</v>
      </c>
      <c r="DU256" s="1"/>
      <c r="DV256" s="1"/>
      <c r="DW256" s="1"/>
      <c r="DX256" s="1">
        <f t="shared" si="73"/>
        <v>736969</v>
      </c>
      <c r="DZ256" s="1">
        <f t="shared" si="74"/>
        <v>39566</v>
      </c>
      <c r="EA256" s="1">
        <f t="shared" si="69"/>
        <v>58083</v>
      </c>
      <c r="EC256" s="1">
        <f t="shared" si="75"/>
        <v>834618</v>
      </c>
      <c r="ED256" s="1">
        <f t="shared" si="70"/>
        <v>5473</v>
      </c>
      <c r="EE256" s="1"/>
    </row>
    <row r="257" spans="1:135" x14ac:dyDescent="0.25">
      <c r="A257" s="140">
        <v>40026</v>
      </c>
      <c r="B257" s="141">
        <v>0</v>
      </c>
      <c r="C257" s="141">
        <v>0</v>
      </c>
      <c r="D257" s="141">
        <v>0</v>
      </c>
      <c r="E257" s="141">
        <v>0</v>
      </c>
      <c r="F257" s="141">
        <v>1149</v>
      </c>
      <c r="G257" s="141">
        <v>14515</v>
      </c>
      <c r="H257" s="141">
        <v>27860</v>
      </c>
      <c r="I257" s="141">
        <v>4856</v>
      </c>
      <c r="J257" s="141">
        <v>9302</v>
      </c>
      <c r="K257" s="141"/>
      <c r="L257" s="141">
        <v>28259</v>
      </c>
      <c r="M257" s="141">
        <v>2045</v>
      </c>
      <c r="N257" s="141"/>
      <c r="O257" s="141">
        <v>1521</v>
      </c>
      <c r="P257" s="141">
        <v>10600</v>
      </c>
      <c r="Q257" s="141">
        <v>390</v>
      </c>
      <c r="R257" s="141">
        <v>8617</v>
      </c>
      <c r="S257" s="141">
        <v>11004</v>
      </c>
      <c r="T257" s="141"/>
      <c r="U257" s="141"/>
      <c r="V257" s="141">
        <v>473</v>
      </c>
      <c r="W257" s="141">
        <v>7837</v>
      </c>
      <c r="X257" s="141">
        <v>340</v>
      </c>
      <c r="Y257" s="141">
        <v>7</v>
      </c>
      <c r="Z257" s="142"/>
      <c r="AA257" s="141">
        <v>7</v>
      </c>
      <c r="AB257" s="141">
        <v>118</v>
      </c>
      <c r="AC257" s="141">
        <v>21</v>
      </c>
      <c r="AD257" s="141">
        <v>28</v>
      </c>
      <c r="AE257" s="141">
        <v>38</v>
      </c>
      <c r="AF257" s="141">
        <v>82</v>
      </c>
      <c r="AG257" s="141"/>
      <c r="AH257" s="141"/>
      <c r="AI257" s="141">
        <v>3</v>
      </c>
      <c r="AJ257" s="141">
        <v>9310</v>
      </c>
      <c r="AK257" s="141">
        <v>101247</v>
      </c>
      <c r="AL257" s="141">
        <v>3085</v>
      </c>
      <c r="AM257" s="141">
        <v>17435</v>
      </c>
      <c r="AN257" s="141">
        <v>37</v>
      </c>
      <c r="AO257" s="141">
        <v>6</v>
      </c>
      <c r="AP257" s="141">
        <v>7041</v>
      </c>
      <c r="AQ257" s="141">
        <v>0</v>
      </c>
      <c r="AR257" s="141">
        <v>2327</v>
      </c>
      <c r="AS257" s="141">
        <v>27</v>
      </c>
      <c r="AT257" s="141">
        <v>5362</v>
      </c>
      <c r="AU257" s="141">
        <v>2315</v>
      </c>
      <c r="AV257" s="141">
        <v>4068</v>
      </c>
      <c r="AW257" s="141">
        <v>12164</v>
      </c>
      <c r="AX257" s="142"/>
      <c r="AY257" s="142"/>
      <c r="AZ257" s="142">
        <v>611</v>
      </c>
      <c r="BA257" s="142"/>
      <c r="BB257" s="141">
        <v>334</v>
      </c>
      <c r="BC257" s="141"/>
      <c r="BD257" s="141">
        <v>0</v>
      </c>
      <c r="BE257" s="141">
        <v>0</v>
      </c>
      <c r="BF257" s="141">
        <v>1098</v>
      </c>
      <c r="BG257" s="141">
        <v>0</v>
      </c>
      <c r="BH257" s="141">
        <v>0</v>
      </c>
      <c r="BI257" s="141">
        <v>8118</v>
      </c>
      <c r="BJ257" s="141">
        <v>35</v>
      </c>
      <c r="BK257" s="141">
        <v>3050</v>
      </c>
      <c r="BL257" s="141"/>
      <c r="BM257" s="141">
        <v>515</v>
      </c>
      <c r="BN257" s="141">
        <v>39</v>
      </c>
      <c r="BO257" s="141">
        <v>4055</v>
      </c>
      <c r="BP257" s="141">
        <v>66735</v>
      </c>
      <c r="BQ257" s="141">
        <v>484</v>
      </c>
      <c r="BR257" s="141">
        <v>168</v>
      </c>
      <c r="BS257" s="141">
        <v>6051</v>
      </c>
      <c r="BT257" s="141">
        <v>48</v>
      </c>
      <c r="BU257" s="141"/>
      <c r="BV257" s="141">
        <v>8</v>
      </c>
      <c r="BW257" s="141">
        <v>135</v>
      </c>
      <c r="BX257" s="141"/>
      <c r="BY257" s="141">
        <v>5</v>
      </c>
      <c r="BZ257" s="141">
        <v>0</v>
      </c>
      <c r="CA257" s="141">
        <v>21626</v>
      </c>
      <c r="CB257" s="141">
        <v>14764</v>
      </c>
      <c r="CC257" s="141">
        <v>139382</v>
      </c>
      <c r="CD257" s="141">
        <v>210761</v>
      </c>
      <c r="CE257" s="141">
        <v>24644</v>
      </c>
      <c r="CF257" s="141">
        <v>40269</v>
      </c>
      <c r="CG257" s="141">
        <v>0</v>
      </c>
      <c r="CH257" s="141">
        <v>0</v>
      </c>
      <c r="CI257" s="141">
        <v>6</v>
      </c>
      <c r="CJ257" s="141">
        <v>25</v>
      </c>
      <c r="CK257" s="141"/>
      <c r="CL257" s="141"/>
      <c r="CM257" s="141"/>
      <c r="CN257" s="141"/>
      <c r="CO257" s="141"/>
      <c r="CP257" s="141"/>
      <c r="CQ257" s="141"/>
      <c r="CR257" s="141"/>
      <c r="CS257" s="141"/>
      <c r="CT257" s="141"/>
      <c r="CU257" s="141"/>
      <c r="CV257" s="141"/>
      <c r="CW257" s="141"/>
      <c r="CX257" s="141"/>
      <c r="CY257" s="141">
        <v>0</v>
      </c>
      <c r="CZ257" s="141">
        <v>0</v>
      </c>
      <c r="DA257" s="141">
        <v>0</v>
      </c>
      <c r="DB257" s="141">
        <v>22</v>
      </c>
      <c r="DC257" s="141">
        <v>0</v>
      </c>
      <c r="DD257" s="141">
        <v>55</v>
      </c>
      <c r="DE257">
        <f t="shared" si="57"/>
        <v>836462</v>
      </c>
      <c r="DG257" s="1">
        <f t="shared" si="71"/>
        <v>545890</v>
      </c>
      <c r="DH257" s="1">
        <f t="shared" si="58"/>
        <v>237196</v>
      </c>
      <c r="DI257" s="1">
        <f t="shared" si="76"/>
        <v>783086</v>
      </c>
      <c r="DK257" s="1">
        <f t="shared" si="60"/>
        <v>59750</v>
      </c>
      <c r="DL257" s="1">
        <f t="shared" si="61"/>
        <v>129285</v>
      </c>
      <c r="DM257" s="1">
        <f t="shared" si="62"/>
        <v>10905</v>
      </c>
      <c r="DN257" s="1">
        <f t="shared" si="63"/>
        <v>36796</v>
      </c>
      <c r="DO257" s="1">
        <f t="shared" si="64"/>
        <v>399451</v>
      </c>
      <c r="DP257" s="1">
        <f t="shared" si="65"/>
        <v>73301</v>
      </c>
      <c r="DQ257" s="1">
        <f t="shared" si="72"/>
        <v>0</v>
      </c>
      <c r="DR257" s="1">
        <f t="shared" si="66"/>
        <v>14779</v>
      </c>
      <c r="DS257" s="1">
        <f t="shared" si="67"/>
        <v>4145</v>
      </c>
      <c r="DT257" s="1">
        <f t="shared" si="68"/>
        <v>12358</v>
      </c>
      <c r="DU257" s="1"/>
      <c r="DV257" s="1"/>
      <c r="DW257" s="1"/>
      <c r="DX257" s="1">
        <f t="shared" si="73"/>
        <v>740770</v>
      </c>
      <c r="DZ257" s="1">
        <f t="shared" si="74"/>
        <v>40269</v>
      </c>
      <c r="EA257" s="1">
        <f t="shared" si="69"/>
        <v>57682</v>
      </c>
      <c r="EC257" s="1">
        <f t="shared" si="75"/>
        <v>838721</v>
      </c>
      <c r="ED257" s="1">
        <f t="shared" si="70"/>
        <v>2259</v>
      </c>
      <c r="EE257" s="1"/>
    </row>
    <row r="258" spans="1:135" x14ac:dyDescent="0.25">
      <c r="A258" s="140">
        <v>40057</v>
      </c>
      <c r="B258" s="141">
        <v>0</v>
      </c>
      <c r="C258" s="141">
        <v>0</v>
      </c>
      <c r="D258" s="141">
        <v>0</v>
      </c>
      <c r="E258" s="141">
        <v>0</v>
      </c>
      <c r="F258" s="141">
        <v>1157</v>
      </c>
      <c r="G258" s="141">
        <v>14367</v>
      </c>
      <c r="H258" s="141">
        <v>27677</v>
      </c>
      <c r="I258" s="141">
        <v>4939</v>
      </c>
      <c r="J258" s="141">
        <v>9308</v>
      </c>
      <c r="K258" s="141"/>
      <c r="L258" s="141">
        <v>28173</v>
      </c>
      <c r="M258" s="141">
        <v>2021</v>
      </c>
      <c r="N258" s="141"/>
      <c r="O258" s="141">
        <v>1517</v>
      </c>
      <c r="P258" s="141">
        <v>10711</v>
      </c>
      <c r="Q258" s="141">
        <v>395</v>
      </c>
      <c r="R258" s="141">
        <v>8653</v>
      </c>
      <c r="S258" s="141">
        <v>10905</v>
      </c>
      <c r="T258" s="141"/>
      <c r="U258" s="141"/>
      <c r="V258" s="141">
        <v>479</v>
      </c>
      <c r="W258" s="141">
        <v>7801</v>
      </c>
      <c r="X258" s="141">
        <v>344</v>
      </c>
      <c r="Y258" s="141">
        <v>7</v>
      </c>
      <c r="Z258" s="142"/>
      <c r="AA258" s="141">
        <v>7</v>
      </c>
      <c r="AB258" s="141">
        <v>117</v>
      </c>
      <c r="AC258" s="141">
        <v>22</v>
      </c>
      <c r="AD258" s="141">
        <v>27</v>
      </c>
      <c r="AE258" s="141">
        <v>37</v>
      </c>
      <c r="AF258" s="141">
        <v>81</v>
      </c>
      <c r="AG258" s="141"/>
      <c r="AH258" s="141"/>
      <c r="AI258" s="141">
        <v>4</v>
      </c>
      <c r="AJ258" s="141">
        <v>9338</v>
      </c>
      <c r="AK258" s="141">
        <v>101607</v>
      </c>
      <c r="AL258" s="141">
        <v>3061</v>
      </c>
      <c r="AM258" s="141">
        <v>17355</v>
      </c>
      <c r="AN258" s="141">
        <v>32</v>
      </c>
      <c r="AO258" s="141">
        <v>7</v>
      </c>
      <c r="AP258" s="141">
        <v>7176</v>
      </c>
      <c r="AQ258" s="141">
        <v>0</v>
      </c>
      <c r="AR258" s="141">
        <v>2343</v>
      </c>
      <c r="AS258" s="141">
        <v>24</v>
      </c>
      <c r="AT258" s="141">
        <v>5390</v>
      </c>
      <c r="AU258" s="141">
        <v>2316</v>
      </c>
      <c r="AV258" s="141">
        <v>4113</v>
      </c>
      <c r="AW258" s="141">
        <v>12177</v>
      </c>
      <c r="AX258" s="142"/>
      <c r="AY258" s="142"/>
      <c r="AZ258" s="142">
        <v>625</v>
      </c>
      <c r="BA258" s="142"/>
      <c r="BB258" s="141">
        <v>331</v>
      </c>
      <c r="BC258" s="141"/>
      <c r="BD258" s="141">
        <v>0</v>
      </c>
      <c r="BE258" s="141">
        <v>0</v>
      </c>
      <c r="BF258" s="141">
        <v>1101</v>
      </c>
      <c r="BG258" s="141">
        <v>0</v>
      </c>
      <c r="BH258" s="141">
        <v>0</v>
      </c>
      <c r="BI258" s="141">
        <v>8087</v>
      </c>
      <c r="BJ258" s="141">
        <v>32</v>
      </c>
      <c r="BK258" s="141">
        <v>3038</v>
      </c>
      <c r="BL258" s="141"/>
      <c r="BM258" s="141">
        <v>497</v>
      </c>
      <c r="BN258" s="141">
        <v>39</v>
      </c>
      <c r="BO258" s="141">
        <v>4145</v>
      </c>
      <c r="BP258" s="141">
        <v>67581</v>
      </c>
      <c r="BQ258" s="141">
        <v>501</v>
      </c>
      <c r="BR258" s="141">
        <v>167</v>
      </c>
      <c r="BS258" s="141">
        <v>6250</v>
      </c>
      <c r="BT258" s="141">
        <v>60</v>
      </c>
      <c r="BU258" s="141"/>
      <c r="BV258" s="141">
        <v>7</v>
      </c>
      <c r="BW258" s="141">
        <v>132</v>
      </c>
      <c r="BX258" s="141"/>
      <c r="BY258" s="141">
        <v>3</v>
      </c>
      <c r="BZ258" s="141">
        <v>0</v>
      </c>
      <c r="CA258" s="141">
        <v>21747</v>
      </c>
      <c r="CB258" s="141">
        <v>14779</v>
      </c>
      <c r="CC258" s="141">
        <v>140018</v>
      </c>
      <c r="CD258" s="141">
        <v>212344</v>
      </c>
      <c r="CE258" s="141">
        <v>24500</v>
      </c>
      <c r="CF258" s="141">
        <v>40829</v>
      </c>
      <c r="CG258" s="141">
        <v>0</v>
      </c>
      <c r="CH258" s="141">
        <v>0</v>
      </c>
      <c r="CI258" s="141">
        <v>6</v>
      </c>
      <c r="CJ258" s="141">
        <v>27</v>
      </c>
      <c r="CK258" s="141"/>
      <c r="CL258" s="141"/>
      <c r="CM258" s="141"/>
      <c r="CN258" s="141"/>
      <c r="CO258" s="141"/>
      <c r="CP258" s="141"/>
      <c r="CQ258" s="141"/>
      <c r="CR258" s="141"/>
      <c r="CS258" s="141"/>
      <c r="CT258" s="141"/>
      <c r="CU258" s="141"/>
      <c r="CV258" s="141"/>
      <c r="CW258" s="141"/>
      <c r="CX258" s="141"/>
      <c r="CY258" s="141">
        <v>0</v>
      </c>
      <c r="CZ258" s="141">
        <v>0</v>
      </c>
      <c r="DA258" s="141">
        <v>0</v>
      </c>
      <c r="DB258" s="141">
        <v>22</v>
      </c>
      <c r="DC258" s="141">
        <v>0</v>
      </c>
      <c r="DD258" s="141">
        <v>55</v>
      </c>
      <c r="DE258">
        <f t="shared" si="57"/>
        <v>840534</v>
      </c>
      <c r="DG258" s="1">
        <f t="shared" si="71"/>
        <v>553866</v>
      </c>
      <c r="DH258" s="1">
        <f t="shared" si="58"/>
        <v>239274</v>
      </c>
      <c r="DI258" s="1">
        <f t="shared" si="76"/>
        <v>793140</v>
      </c>
      <c r="DK258" s="1">
        <f t="shared" si="60"/>
        <v>59920</v>
      </c>
      <c r="DL258" s="1">
        <f t="shared" si="61"/>
        <v>129745</v>
      </c>
      <c r="DM258" s="1">
        <f t="shared" si="62"/>
        <v>11048</v>
      </c>
      <c r="DN258" s="1">
        <f t="shared" si="63"/>
        <v>37813</v>
      </c>
      <c r="DO258" s="1">
        <f t="shared" si="64"/>
        <v>404918</v>
      </c>
      <c r="DP258" s="1">
        <f t="shared" si="65"/>
        <v>74328</v>
      </c>
      <c r="DQ258" s="1">
        <f t="shared" si="72"/>
        <v>0</v>
      </c>
      <c r="DR258" s="1">
        <f t="shared" si="66"/>
        <v>14680</v>
      </c>
      <c r="DS258" s="1">
        <f t="shared" si="67"/>
        <v>4268</v>
      </c>
      <c r="DT258" s="1">
        <f t="shared" si="68"/>
        <v>12295</v>
      </c>
      <c r="DU258" s="1"/>
      <c r="DV258" s="1"/>
      <c r="DW258" s="1"/>
      <c r="DX258" s="1">
        <f t="shared" si="73"/>
        <v>749015</v>
      </c>
      <c r="DZ258" s="1">
        <f t="shared" si="74"/>
        <v>40829</v>
      </c>
      <c r="EA258" s="1">
        <f t="shared" si="69"/>
        <v>57448</v>
      </c>
      <c r="EC258" s="1">
        <f t="shared" si="75"/>
        <v>847292</v>
      </c>
      <c r="ED258" s="1">
        <f t="shared" si="70"/>
        <v>6758</v>
      </c>
      <c r="EE258" s="1"/>
    </row>
    <row r="259" spans="1:135" x14ac:dyDescent="0.25">
      <c r="A259" s="140">
        <v>40087</v>
      </c>
      <c r="B259" s="141">
        <v>0</v>
      </c>
      <c r="C259" s="141">
        <v>0</v>
      </c>
      <c r="D259" s="141">
        <v>0</v>
      </c>
      <c r="E259" s="141">
        <v>0</v>
      </c>
      <c r="F259" s="141">
        <v>1195</v>
      </c>
      <c r="G259" s="141">
        <v>14199</v>
      </c>
      <c r="H259" s="141">
        <v>27791</v>
      </c>
      <c r="I259" s="141">
        <v>4966</v>
      </c>
      <c r="J259" s="141">
        <v>9315</v>
      </c>
      <c r="K259" s="141"/>
      <c r="L259" s="141">
        <v>28129</v>
      </c>
      <c r="M259" s="141">
        <v>2011</v>
      </c>
      <c r="N259" s="141"/>
      <c r="O259" s="141">
        <v>1551</v>
      </c>
      <c r="P259" s="141">
        <v>10854</v>
      </c>
      <c r="Q259" s="141">
        <v>391</v>
      </c>
      <c r="R259" s="141">
        <v>8705</v>
      </c>
      <c r="S259" s="141">
        <v>11048</v>
      </c>
      <c r="T259" s="141"/>
      <c r="U259" s="141"/>
      <c r="V259" s="141">
        <v>484</v>
      </c>
      <c r="W259" s="141">
        <v>7795</v>
      </c>
      <c r="X259" s="141">
        <v>342</v>
      </c>
      <c r="Y259" s="141">
        <v>7</v>
      </c>
      <c r="Z259" s="142"/>
      <c r="AA259" s="141">
        <v>6</v>
      </c>
      <c r="AB259" s="141">
        <v>118</v>
      </c>
      <c r="AC259" s="141">
        <v>22</v>
      </c>
      <c r="AD259" s="141">
        <v>26</v>
      </c>
      <c r="AE259" s="141">
        <v>36</v>
      </c>
      <c r="AF259" s="141">
        <v>83</v>
      </c>
      <c r="AG259" s="141"/>
      <c r="AH259" s="141"/>
      <c r="AI259" s="141">
        <v>4</v>
      </c>
      <c r="AJ259" s="141">
        <v>9372</v>
      </c>
      <c r="AK259" s="141">
        <v>102183</v>
      </c>
      <c r="AL259" s="141">
        <v>3070</v>
      </c>
      <c r="AM259" s="141">
        <v>17689</v>
      </c>
      <c r="AN259" s="141">
        <v>28</v>
      </c>
      <c r="AO259" s="141">
        <v>4</v>
      </c>
      <c r="AP259" s="141">
        <v>7587</v>
      </c>
      <c r="AQ259" s="141">
        <v>0</v>
      </c>
      <c r="AR259" s="141">
        <v>2384</v>
      </c>
      <c r="AS259" s="141">
        <v>24</v>
      </c>
      <c r="AT259" s="141">
        <v>5449</v>
      </c>
      <c r="AU259" s="141">
        <v>2323</v>
      </c>
      <c r="AV259" s="141">
        <v>4130</v>
      </c>
      <c r="AW259" s="141">
        <v>12450</v>
      </c>
      <c r="AX259" s="142"/>
      <c r="AY259" s="142"/>
      <c r="AZ259" s="142">
        <v>636</v>
      </c>
      <c r="BA259" s="142"/>
      <c r="BB259" s="141">
        <v>333</v>
      </c>
      <c r="BC259" s="141"/>
      <c r="BD259" s="141">
        <v>0</v>
      </c>
      <c r="BE259" s="141">
        <v>0</v>
      </c>
      <c r="BF259" s="141">
        <v>1105</v>
      </c>
      <c r="BG259" s="141">
        <v>0</v>
      </c>
      <c r="BH259" s="141">
        <v>0</v>
      </c>
      <c r="BI259" s="141">
        <v>8069</v>
      </c>
      <c r="BJ259" s="141">
        <v>36</v>
      </c>
      <c r="BK259" s="141">
        <v>2991</v>
      </c>
      <c r="BL259" s="141"/>
      <c r="BM259" s="141">
        <v>570</v>
      </c>
      <c r="BN259" s="141">
        <v>40</v>
      </c>
      <c r="BO259" s="141">
        <v>4268</v>
      </c>
      <c r="BP259" s="141">
        <v>68797</v>
      </c>
      <c r="BQ259" s="141">
        <v>529</v>
      </c>
      <c r="BR259" s="141">
        <v>163</v>
      </c>
      <c r="BS259" s="141">
        <v>6387</v>
      </c>
      <c r="BT259" s="141">
        <v>81</v>
      </c>
      <c r="BU259" s="141"/>
      <c r="BV259" s="141">
        <v>4</v>
      </c>
      <c r="BW259" s="141">
        <v>130</v>
      </c>
      <c r="BX259" s="141"/>
      <c r="BY259" s="141">
        <v>3</v>
      </c>
      <c r="BZ259" s="141">
        <v>0</v>
      </c>
      <c r="CA259" s="141">
        <v>22408</v>
      </c>
      <c r="CB259" s="141">
        <v>14680</v>
      </c>
      <c r="CC259" s="141">
        <v>141782</v>
      </c>
      <c r="CD259" s="141">
        <v>215248</v>
      </c>
      <c r="CE259" s="141">
        <v>24588</v>
      </c>
      <c r="CF259" s="141">
        <v>41951</v>
      </c>
      <c r="CG259" s="141">
        <v>0</v>
      </c>
      <c r="CH259" s="141">
        <v>0</v>
      </c>
      <c r="CI259" s="141">
        <v>7</v>
      </c>
      <c r="CJ259" s="141">
        <v>29</v>
      </c>
      <c r="CK259" s="141"/>
      <c r="CL259" s="141"/>
      <c r="CM259" s="141"/>
      <c r="CN259" s="141"/>
      <c r="CO259" s="141"/>
      <c r="CP259" s="141"/>
      <c r="CQ259" s="141"/>
      <c r="CR259" s="141"/>
      <c r="CS259" s="141"/>
      <c r="CT259" s="141"/>
      <c r="CU259" s="141"/>
      <c r="CV259" s="141"/>
      <c r="CW259" s="141"/>
      <c r="CX259" s="141"/>
      <c r="CY259" s="141">
        <v>0</v>
      </c>
      <c r="CZ259" s="141">
        <v>0</v>
      </c>
      <c r="DA259" s="141">
        <v>0</v>
      </c>
      <c r="DB259" s="141">
        <v>22</v>
      </c>
      <c r="DC259" s="141">
        <v>0</v>
      </c>
      <c r="DD259" s="141">
        <v>55</v>
      </c>
      <c r="DE259">
        <f t="shared" si="57"/>
        <v>850606</v>
      </c>
      <c r="DG259" s="1">
        <f t="shared" si="71"/>
        <v>563208</v>
      </c>
      <c r="DH259" s="1">
        <f t="shared" si="58"/>
        <v>240498</v>
      </c>
      <c r="DI259" s="1">
        <f t="shared" si="76"/>
        <v>803706</v>
      </c>
      <c r="DK259" s="1">
        <f t="shared" si="60"/>
        <v>59892</v>
      </c>
      <c r="DL259" s="1">
        <f t="shared" si="61"/>
        <v>130493</v>
      </c>
      <c r="DM259" s="1">
        <f t="shared" si="62"/>
        <v>11009</v>
      </c>
      <c r="DN259" s="1">
        <f t="shared" si="63"/>
        <v>38275</v>
      </c>
      <c r="DO259" s="1">
        <f t="shared" si="64"/>
        <v>411495</v>
      </c>
      <c r="DP259" s="1">
        <f t="shared" si="65"/>
        <v>75754</v>
      </c>
      <c r="DQ259" s="1">
        <f t="shared" si="72"/>
        <v>0</v>
      </c>
      <c r="DR259" s="1">
        <f t="shared" si="66"/>
        <v>14804</v>
      </c>
      <c r="DS259" s="1">
        <f t="shared" si="67"/>
        <v>4371</v>
      </c>
      <c r="DT259" s="1">
        <f t="shared" si="68"/>
        <v>12294</v>
      </c>
      <c r="DU259" s="1"/>
      <c r="DV259" s="1"/>
      <c r="DW259" s="1"/>
      <c r="DX259" s="1">
        <f t="shared" si="73"/>
        <v>758387</v>
      </c>
      <c r="DZ259" s="1">
        <f t="shared" si="74"/>
        <v>41951</v>
      </c>
      <c r="EA259" s="1">
        <f t="shared" si="69"/>
        <v>57466</v>
      </c>
      <c r="EC259" s="1">
        <f t="shared" si="75"/>
        <v>857804</v>
      </c>
      <c r="ED259" s="1">
        <f t="shared" si="70"/>
        <v>7198</v>
      </c>
      <c r="EE259" s="1"/>
    </row>
    <row r="260" spans="1:135" x14ac:dyDescent="0.25">
      <c r="A260" s="140">
        <v>40118</v>
      </c>
      <c r="B260" s="141">
        <v>0</v>
      </c>
      <c r="C260" s="141">
        <v>0</v>
      </c>
      <c r="D260" s="141">
        <v>0</v>
      </c>
      <c r="E260" s="141">
        <v>0</v>
      </c>
      <c r="F260" s="141">
        <v>1193</v>
      </c>
      <c r="G260" s="141">
        <v>14277</v>
      </c>
      <c r="H260" s="141">
        <v>28091</v>
      </c>
      <c r="I260" s="141">
        <v>4897</v>
      </c>
      <c r="J260" s="141">
        <v>9305</v>
      </c>
      <c r="K260" s="141"/>
      <c r="L260" s="141">
        <v>28031</v>
      </c>
      <c r="M260" s="141">
        <v>2011</v>
      </c>
      <c r="N260" s="141"/>
      <c r="O260" s="141">
        <v>1578</v>
      </c>
      <c r="P260" s="141">
        <v>10899</v>
      </c>
      <c r="Q260" s="141">
        <v>392</v>
      </c>
      <c r="R260" s="141">
        <v>8720</v>
      </c>
      <c r="S260" s="141">
        <v>11009</v>
      </c>
      <c r="T260" s="141"/>
      <c r="U260" s="141"/>
      <c r="V260" s="141">
        <v>488</v>
      </c>
      <c r="W260" s="141">
        <v>7773</v>
      </c>
      <c r="X260" s="141">
        <v>343</v>
      </c>
      <c r="Y260" s="141">
        <v>7</v>
      </c>
      <c r="Z260" s="142"/>
      <c r="AA260" s="141">
        <v>4</v>
      </c>
      <c r="AB260" s="141">
        <v>121</v>
      </c>
      <c r="AC260" s="141">
        <v>22</v>
      </c>
      <c r="AD260" s="141">
        <v>30</v>
      </c>
      <c r="AE260" s="141">
        <v>34</v>
      </c>
      <c r="AF260" s="141">
        <v>90</v>
      </c>
      <c r="AG260" s="141"/>
      <c r="AH260" s="141"/>
      <c r="AI260" s="141">
        <v>4</v>
      </c>
      <c r="AJ260" s="141">
        <v>9410</v>
      </c>
      <c r="AK260" s="141">
        <v>102830</v>
      </c>
      <c r="AL260" s="141">
        <v>3061</v>
      </c>
      <c r="AM260" s="141">
        <v>17795</v>
      </c>
      <c r="AN260" s="141">
        <v>26</v>
      </c>
      <c r="AO260" s="141">
        <v>8</v>
      </c>
      <c r="AP260" s="141">
        <v>7816</v>
      </c>
      <c r="AQ260" s="141">
        <v>0</v>
      </c>
      <c r="AR260" s="141">
        <v>2411</v>
      </c>
      <c r="AS260" s="141">
        <v>23</v>
      </c>
      <c r="AT260" s="141">
        <v>5524</v>
      </c>
      <c r="AU260" s="141">
        <v>2333</v>
      </c>
      <c r="AV260" s="141">
        <v>4150</v>
      </c>
      <c r="AW260" s="141">
        <v>12566</v>
      </c>
      <c r="AX260" s="142"/>
      <c r="AY260" s="142"/>
      <c r="AZ260" s="142">
        <v>651</v>
      </c>
      <c r="BA260" s="142"/>
      <c r="BB260" s="141">
        <v>338</v>
      </c>
      <c r="BC260" s="141"/>
      <c r="BD260" s="141">
        <v>0</v>
      </c>
      <c r="BE260" s="141">
        <v>0</v>
      </c>
      <c r="BF260" s="141">
        <v>1106</v>
      </c>
      <c r="BG260" s="141">
        <v>0</v>
      </c>
      <c r="BH260" s="141">
        <v>0</v>
      </c>
      <c r="BI260" s="141">
        <v>8094</v>
      </c>
      <c r="BJ260" s="141">
        <v>38</v>
      </c>
      <c r="BK260" s="141">
        <v>2966</v>
      </c>
      <c r="BL260" s="141"/>
      <c r="BM260" s="141">
        <v>583</v>
      </c>
      <c r="BN260" s="141">
        <v>42</v>
      </c>
      <c r="BO260" s="141">
        <v>4371</v>
      </c>
      <c r="BP260" s="141">
        <v>69984</v>
      </c>
      <c r="BQ260" s="141">
        <v>532</v>
      </c>
      <c r="BR260" s="141">
        <v>161</v>
      </c>
      <c r="BS260" s="141">
        <v>6542</v>
      </c>
      <c r="BT260" s="141">
        <v>76</v>
      </c>
      <c r="BU260" s="141"/>
      <c r="BV260" s="141">
        <v>4</v>
      </c>
      <c r="BW260" s="141">
        <v>128</v>
      </c>
      <c r="BX260" s="141"/>
      <c r="BY260" s="141">
        <v>2</v>
      </c>
      <c r="BZ260" s="141">
        <v>0</v>
      </c>
      <c r="CA260" s="141">
        <v>23003</v>
      </c>
      <c r="CB260" s="141">
        <v>14804</v>
      </c>
      <c r="CC260" s="141">
        <v>143824</v>
      </c>
      <c r="CD260" s="141">
        <v>219027</v>
      </c>
      <c r="CE260" s="141">
        <v>24749</v>
      </c>
      <c r="CF260" s="141">
        <v>43135</v>
      </c>
      <c r="CG260" s="141">
        <v>0</v>
      </c>
      <c r="CH260" s="141">
        <v>0</v>
      </c>
      <c r="CI260" s="141">
        <v>7</v>
      </c>
      <c r="CJ260" s="141">
        <v>30</v>
      </c>
      <c r="CK260" s="141"/>
      <c r="CL260" s="141"/>
      <c r="CM260" s="141"/>
      <c r="CN260" s="141"/>
      <c r="CO260" s="141"/>
      <c r="CP260" s="141"/>
      <c r="CQ260" s="141"/>
      <c r="CR260" s="141"/>
      <c r="CS260" s="141"/>
      <c r="CT260" s="141"/>
      <c r="CU260" s="141"/>
      <c r="CV260" s="141"/>
      <c r="CW260" s="141"/>
      <c r="CX260" s="141"/>
      <c r="CY260" s="141">
        <v>0</v>
      </c>
      <c r="CZ260" s="141">
        <v>0</v>
      </c>
      <c r="DA260" s="141">
        <v>0</v>
      </c>
      <c r="DB260" s="141">
        <v>22</v>
      </c>
      <c r="DC260" s="141">
        <v>0</v>
      </c>
      <c r="DD260" s="141">
        <v>55</v>
      </c>
      <c r="DE260">
        <f t="shared" ref="DE260:DE323" si="77">SUM(B260:CX260)</f>
        <v>861469</v>
      </c>
      <c r="DG260" s="1">
        <f t="shared" si="71"/>
        <v>567135</v>
      </c>
      <c r="DH260" s="1">
        <f t="shared" ref="DH260:DH314" si="78">SUM(L261:M261,O261:AW261,AZ261:BB261)+CQ261+CR261</f>
        <v>241008</v>
      </c>
      <c r="DI260" s="1">
        <f t="shared" si="76"/>
        <v>808143</v>
      </c>
      <c r="DK260" s="1">
        <f t="shared" ref="DK260:DK314" si="79">SUM(L261:M261,O261:R261,T261:W261)</f>
        <v>59744</v>
      </c>
      <c r="DL260" s="1">
        <f t="shared" ref="DL260:DL323" si="80">SUM(X260:Y260,AA260:AE260,AG260:AL260,AN260,AR260:AV260,AZ260:BB260)</f>
        <v>131322</v>
      </c>
      <c r="DM260" s="1">
        <f t="shared" ref="DM260:DM314" si="81">S261</f>
        <v>10999</v>
      </c>
      <c r="DN260" s="1">
        <f t="shared" ref="DN260:DN314" si="82">AF261+AW261+AM261+AO261+AP261+AQ261</f>
        <v>38598</v>
      </c>
      <c r="DO260" s="1">
        <f t="shared" ref="DO260:DO309" si="83">SUM(BE261,BH261,BJ261,BN261,BQ261:BR261,BT261:BV261,BY261:CA261,CC261:CE261,CI261:CJ261)</f>
        <v>414713</v>
      </c>
      <c r="DP260" s="1">
        <f t="shared" ref="DP260:DP323" si="84">SUM(AY260,BC260:BD260,BG260,BM260,BP260,BS260)</f>
        <v>77109</v>
      </c>
      <c r="DQ260" s="1">
        <f t="shared" si="72"/>
        <v>0</v>
      </c>
      <c r="DR260" s="1">
        <f t="shared" ref="DR260:DR309" si="85">CB261+CH261</f>
        <v>14351</v>
      </c>
      <c r="DS260" s="1">
        <f t="shared" ref="DS260:DS294" si="86">BO261</f>
        <v>4480</v>
      </c>
      <c r="DT260" s="1">
        <f t="shared" ref="DT260:DT307" si="87">BF261+BI261+BK261+BW261</f>
        <v>12205</v>
      </c>
      <c r="DU260" s="1"/>
      <c r="DV260" s="1"/>
      <c r="DW260" s="1"/>
      <c r="DX260" s="1">
        <f t="shared" si="73"/>
        <v>763521</v>
      </c>
      <c r="DZ260" s="1">
        <f t="shared" si="74"/>
        <v>43135</v>
      </c>
      <c r="EA260" s="1">
        <f t="shared" ref="EA260:EA269" si="88">SUM(F260:K260,N260,CS260:CT260)</f>
        <v>57763</v>
      </c>
      <c r="EC260" s="1">
        <f t="shared" si="75"/>
        <v>864419</v>
      </c>
      <c r="ED260" s="1">
        <f t="shared" ref="ED260:ED323" si="89">EC260-DE260</f>
        <v>2950</v>
      </c>
      <c r="EE260" s="1"/>
    </row>
    <row r="261" spans="1:135" x14ac:dyDescent="0.25">
      <c r="A261" s="140">
        <v>40148</v>
      </c>
      <c r="B261" s="141">
        <v>0</v>
      </c>
      <c r="C261" s="141">
        <v>0</v>
      </c>
      <c r="D261" s="141">
        <v>0</v>
      </c>
      <c r="E261" s="141">
        <v>0</v>
      </c>
      <c r="F261" s="141">
        <v>1165</v>
      </c>
      <c r="G261" s="141">
        <v>14285</v>
      </c>
      <c r="H261" s="141">
        <v>28225</v>
      </c>
      <c r="I261" s="141">
        <v>4778</v>
      </c>
      <c r="J261" s="141">
        <v>9114</v>
      </c>
      <c r="K261" s="141"/>
      <c r="L261" s="141">
        <v>27959</v>
      </c>
      <c r="M261" s="141">
        <v>2003</v>
      </c>
      <c r="N261" s="141"/>
      <c r="O261" s="141">
        <v>1589</v>
      </c>
      <c r="P261" s="141">
        <v>10862</v>
      </c>
      <c r="Q261" s="141">
        <v>390</v>
      </c>
      <c r="R261" s="141">
        <v>8692</v>
      </c>
      <c r="S261" s="141">
        <v>10999</v>
      </c>
      <c r="T261" s="141"/>
      <c r="U261" s="141"/>
      <c r="V261" s="141">
        <v>477</v>
      </c>
      <c r="W261" s="141">
        <v>7772</v>
      </c>
      <c r="X261" s="141">
        <v>342</v>
      </c>
      <c r="Y261" s="141">
        <v>7</v>
      </c>
      <c r="Z261" s="142"/>
      <c r="AA261" s="141">
        <v>3</v>
      </c>
      <c r="AB261" s="141">
        <v>127</v>
      </c>
      <c r="AC261" s="141">
        <v>22</v>
      </c>
      <c r="AD261" s="141">
        <v>28</v>
      </c>
      <c r="AE261" s="141">
        <v>35</v>
      </c>
      <c r="AF261" s="141">
        <v>88</v>
      </c>
      <c r="AG261" s="141"/>
      <c r="AH261" s="141"/>
      <c r="AI261" s="141">
        <v>7</v>
      </c>
      <c r="AJ261" s="141">
        <v>9447</v>
      </c>
      <c r="AK261" s="141">
        <v>103035</v>
      </c>
      <c r="AL261" s="141">
        <v>3051</v>
      </c>
      <c r="AM261" s="141">
        <v>17904</v>
      </c>
      <c r="AN261" s="141">
        <v>25</v>
      </c>
      <c r="AO261" s="141">
        <v>5</v>
      </c>
      <c r="AP261" s="141">
        <v>7981</v>
      </c>
      <c r="AQ261" s="141">
        <v>0</v>
      </c>
      <c r="AR261" s="141">
        <v>2423</v>
      </c>
      <c r="AS261" s="141">
        <v>23</v>
      </c>
      <c r="AT261" s="141">
        <v>5612</v>
      </c>
      <c r="AU261" s="141">
        <v>2327</v>
      </c>
      <c r="AV261" s="141">
        <v>4157</v>
      </c>
      <c r="AW261" s="141">
        <v>12620</v>
      </c>
      <c r="AX261" s="142"/>
      <c r="AY261" s="142"/>
      <c r="AZ261" s="142">
        <v>654</v>
      </c>
      <c r="BA261" s="142"/>
      <c r="BB261" s="141">
        <v>342</v>
      </c>
      <c r="BC261" s="141"/>
      <c r="BD261" s="141">
        <v>0</v>
      </c>
      <c r="BE261" s="141">
        <v>0</v>
      </c>
      <c r="BF261" s="141">
        <v>1114</v>
      </c>
      <c r="BG261" s="141">
        <v>0</v>
      </c>
      <c r="BH261" s="141">
        <v>0</v>
      </c>
      <c r="BI261" s="141">
        <v>8030</v>
      </c>
      <c r="BJ261" s="141">
        <v>36</v>
      </c>
      <c r="BK261" s="141">
        <v>2938</v>
      </c>
      <c r="BL261" s="141"/>
      <c r="BM261" s="141">
        <v>527</v>
      </c>
      <c r="BN261" s="141">
        <v>42</v>
      </c>
      <c r="BO261" s="141">
        <v>4480</v>
      </c>
      <c r="BP261" s="141">
        <v>70183</v>
      </c>
      <c r="BQ261" s="141">
        <v>538</v>
      </c>
      <c r="BR261" s="141">
        <v>165</v>
      </c>
      <c r="BS261" s="141">
        <v>6578</v>
      </c>
      <c r="BT261" s="141">
        <v>79</v>
      </c>
      <c r="BU261" s="141"/>
      <c r="BV261" s="141">
        <v>6</v>
      </c>
      <c r="BW261" s="141">
        <v>123</v>
      </c>
      <c r="BX261" s="141"/>
      <c r="BY261" s="141">
        <v>2</v>
      </c>
      <c r="BZ261" s="141">
        <v>0</v>
      </c>
      <c r="CA261" s="141">
        <v>23384</v>
      </c>
      <c r="CB261" s="141">
        <v>14351</v>
      </c>
      <c r="CC261" s="141">
        <v>144684</v>
      </c>
      <c r="CD261" s="141">
        <v>221130</v>
      </c>
      <c r="CE261" s="141">
        <v>24609</v>
      </c>
      <c r="CF261" s="141">
        <v>44098</v>
      </c>
      <c r="CG261" s="141">
        <v>0</v>
      </c>
      <c r="CH261" s="141">
        <v>0</v>
      </c>
      <c r="CI261" s="141">
        <v>8</v>
      </c>
      <c r="CJ261" s="141">
        <v>30</v>
      </c>
      <c r="CK261" s="141"/>
      <c r="CL261" s="141"/>
      <c r="CM261" s="141"/>
      <c r="CN261" s="141"/>
      <c r="CO261" s="141"/>
      <c r="CP261" s="141"/>
      <c r="CQ261" s="141"/>
      <c r="CR261" s="141"/>
      <c r="CS261" s="141"/>
      <c r="CT261" s="141"/>
      <c r="CU261" s="141"/>
      <c r="CV261" s="141"/>
      <c r="CW261" s="141"/>
      <c r="CX261" s="141"/>
      <c r="CY261" s="141">
        <v>0</v>
      </c>
      <c r="CZ261" s="141">
        <v>0</v>
      </c>
      <c r="DA261" s="141">
        <v>0</v>
      </c>
      <c r="DB261" s="141">
        <v>22</v>
      </c>
      <c r="DC261" s="141">
        <v>0</v>
      </c>
      <c r="DD261" s="141">
        <v>55</v>
      </c>
      <c r="DE261">
        <f t="shared" si="77"/>
        <v>865710</v>
      </c>
      <c r="DG261" s="1">
        <f t="shared" ref="DG261:DG293" si="90">SUM(AX262:AY262,BC262:CP262,CU262:CX262)</f>
        <v>572169</v>
      </c>
      <c r="DH261" s="1">
        <f t="shared" si="78"/>
        <v>233660</v>
      </c>
      <c r="DI261" s="1">
        <f t="shared" si="76"/>
        <v>805829</v>
      </c>
      <c r="DK261" s="1">
        <f t="shared" si="79"/>
        <v>59709</v>
      </c>
      <c r="DL261" s="1">
        <f t="shared" si="80"/>
        <v>131667</v>
      </c>
      <c r="DM261" s="1">
        <f t="shared" si="81"/>
        <v>10958</v>
      </c>
      <c r="DN261" s="1">
        <f t="shared" si="82"/>
        <v>30838</v>
      </c>
      <c r="DO261" s="1">
        <f t="shared" si="83"/>
        <v>418138</v>
      </c>
      <c r="DP261" s="1">
        <f t="shared" si="84"/>
        <v>77288</v>
      </c>
      <c r="DQ261" s="1">
        <f t="shared" ref="DQ261:DQ324" si="91">SUM(BX261,CQ261,CR261,CW261,CX261)</f>
        <v>0</v>
      </c>
      <c r="DR261" s="1">
        <f t="shared" si="85"/>
        <v>14298</v>
      </c>
      <c r="DS261" s="1">
        <f t="shared" si="86"/>
        <v>4602</v>
      </c>
      <c r="DT261" s="1">
        <f t="shared" si="87"/>
        <v>12223</v>
      </c>
      <c r="DU261" s="1"/>
      <c r="DV261" s="1"/>
      <c r="DW261" s="1"/>
      <c r="DX261" s="1">
        <f t="shared" ref="DX261:DX324" si="92">SUM(DK261:DW261)</f>
        <v>759721</v>
      </c>
      <c r="DZ261" s="1">
        <f t="shared" ref="DZ261:DZ324" si="93">CF261</f>
        <v>44098</v>
      </c>
      <c r="EA261" s="1">
        <f t="shared" si="88"/>
        <v>57567</v>
      </c>
      <c r="EC261" s="1">
        <f t="shared" ref="EC261:EC324" si="94">DX261+EA261+DZ261</f>
        <v>861386</v>
      </c>
      <c r="ED261" s="1">
        <f t="shared" si="89"/>
        <v>-4324</v>
      </c>
      <c r="EE261" s="1"/>
    </row>
    <row r="262" spans="1:135" x14ac:dyDescent="0.25">
      <c r="A262" s="140">
        <v>40179</v>
      </c>
      <c r="B262" s="141">
        <v>0</v>
      </c>
      <c r="C262" s="141">
        <v>0</v>
      </c>
      <c r="D262" s="141">
        <v>0</v>
      </c>
      <c r="E262" s="141">
        <v>0</v>
      </c>
      <c r="F262" s="141">
        <v>1165</v>
      </c>
      <c r="G262" s="141">
        <v>14276</v>
      </c>
      <c r="H262" s="141">
        <v>28313</v>
      </c>
      <c r="I262" s="141">
        <v>4635</v>
      </c>
      <c r="J262" s="141">
        <v>8907</v>
      </c>
      <c r="K262" s="141"/>
      <c r="L262" s="141">
        <v>27918</v>
      </c>
      <c r="M262" s="141">
        <v>2002</v>
      </c>
      <c r="N262" s="141"/>
      <c r="O262" s="141">
        <v>1589</v>
      </c>
      <c r="P262" s="141">
        <v>10897</v>
      </c>
      <c r="Q262" s="141">
        <v>386</v>
      </c>
      <c r="R262" s="141">
        <v>8672</v>
      </c>
      <c r="S262" s="141">
        <v>10958</v>
      </c>
      <c r="T262" s="141"/>
      <c r="U262" s="141"/>
      <c r="V262" s="141">
        <v>474</v>
      </c>
      <c r="W262" s="141">
        <v>7771</v>
      </c>
      <c r="X262" s="141">
        <v>338</v>
      </c>
      <c r="Y262" s="141">
        <v>7</v>
      </c>
      <c r="Z262" s="142"/>
      <c r="AA262" s="141">
        <v>3</v>
      </c>
      <c r="AB262" s="141">
        <v>135</v>
      </c>
      <c r="AC262" s="141">
        <v>23</v>
      </c>
      <c r="AD262" s="141">
        <v>28</v>
      </c>
      <c r="AE262" s="141">
        <v>35</v>
      </c>
      <c r="AF262" s="141">
        <v>92</v>
      </c>
      <c r="AG262" s="141"/>
      <c r="AH262" s="141"/>
      <c r="AI262" s="141">
        <v>7</v>
      </c>
      <c r="AJ262" s="141">
        <v>9488</v>
      </c>
      <c r="AK262" s="141">
        <v>103436</v>
      </c>
      <c r="AL262" s="141">
        <v>3074</v>
      </c>
      <c r="AM262" s="141">
        <v>17962</v>
      </c>
      <c r="AN262" s="141">
        <v>25</v>
      </c>
      <c r="AO262" s="141">
        <v>6</v>
      </c>
      <c r="AP262" s="141">
        <v>0</v>
      </c>
      <c r="AQ262" s="141">
        <v>0</v>
      </c>
      <c r="AR262" s="141">
        <v>2403</v>
      </c>
      <c r="AS262" s="141">
        <v>21</v>
      </c>
      <c r="AT262" s="141">
        <v>5633</v>
      </c>
      <c r="AU262" s="141">
        <v>2321</v>
      </c>
      <c r="AV262" s="141">
        <v>4186</v>
      </c>
      <c r="AW262" s="141">
        <v>12778</v>
      </c>
      <c r="AX262" s="142"/>
      <c r="AY262" s="142"/>
      <c r="AZ262" s="142">
        <v>652</v>
      </c>
      <c r="BA262" s="142"/>
      <c r="BB262" s="141">
        <v>340</v>
      </c>
      <c r="BC262" s="141"/>
      <c r="BD262" s="141">
        <v>0</v>
      </c>
      <c r="BE262" s="141">
        <v>0</v>
      </c>
      <c r="BF262" s="141">
        <v>1144</v>
      </c>
      <c r="BG262" s="141">
        <v>0</v>
      </c>
      <c r="BH262" s="141">
        <v>0</v>
      </c>
      <c r="BI262" s="141">
        <v>8018</v>
      </c>
      <c r="BJ262" s="141">
        <v>38</v>
      </c>
      <c r="BK262" s="141">
        <v>2938</v>
      </c>
      <c r="BL262" s="141"/>
      <c r="BM262" s="141">
        <v>524</v>
      </c>
      <c r="BN262" s="141">
        <v>38</v>
      </c>
      <c r="BO262" s="141">
        <v>4602</v>
      </c>
      <c r="BP262" s="141">
        <v>70883</v>
      </c>
      <c r="BQ262" s="141">
        <v>543</v>
      </c>
      <c r="BR262" s="141">
        <v>167</v>
      </c>
      <c r="BS262" s="141">
        <v>6778</v>
      </c>
      <c r="BT262" s="141">
        <v>86</v>
      </c>
      <c r="BU262" s="141"/>
      <c r="BV262" s="141">
        <v>6</v>
      </c>
      <c r="BW262" s="141">
        <v>123</v>
      </c>
      <c r="BX262" s="141"/>
      <c r="BY262" s="141">
        <v>3</v>
      </c>
      <c r="BZ262" s="141">
        <v>0</v>
      </c>
      <c r="CA262" s="141">
        <v>23605</v>
      </c>
      <c r="CB262" s="141">
        <v>14298</v>
      </c>
      <c r="CC262" s="141">
        <v>145633</v>
      </c>
      <c r="CD262" s="141">
        <v>223218</v>
      </c>
      <c r="CE262" s="141">
        <v>24765</v>
      </c>
      <c r="CF262" s="141">
        <v>44723</v>
      </c>
      <c r="CG262" s="141">
        <v>0</v>
      </c>
      <c r="CH262" s="141">
        <v>0</v>
      </c>
      <c r="CI262" s="141">
        <v>8</v>
      </c>
      <c r="CJ262" s="141">
        <v>28</v>
      </c>
      <c r="CK262" s="141"/>
      <c r="CL262" s="141"/>
      <c r="CM262" s="141"/>
      <c r="CN262" s="141"/>
      <c r="CO262" s="141"/>
      <c r="CP262" s="141"/>
      <c r="CQ262" s="141"/>
      <c r="CR262" s="141"/>
      <c r="CS262" s="141"/>
      <c r="CT262" s="141"/>
      <c r="CU262" s="141"/>
      <c r="CV262" s="141"/>
      <c r="CW262" s="141"/>
      <c r="CX262" s="141"/>
      <c r="CY262" s="141">
        <v>0</v>
      </c>
      <c r="CZ262" s="141">
        <v>0</v>
      </c>
      <c r="DA262" s="141">
        <v>0</v>
      </c>
      <c r="DB262" s="141">
        <v>22</v>
      </c>
      <c r="DC262" s="141">
        <v>0</v>
      </c>
      <c r="DD262" s="141">
        <v>55</v>
      </c>
      <c r="DE262">
        <f t="shared" si="77"/>
        <v>863125</v>
      </c>
      <c r="DG262" s="1">
        <f t="shared" si="90"/>
        <v>579854</v>
      </c>
      <c r="DH262" s="1">
        <f t="shared" si="78"/>
        <v>240105</v>
      </c>
      <c r="DI262" s="1">
        <f t="shared" si="76"/>
        <v>819959</v>
      </c>
      <c r="DK262" s="1">
        <f t="shared" si="79"/>
        <v>59440</v>
      </c>
      <c r="DL262" s="1">
        <f t="shared" si="80"/>
        <v>132155</v>
      </c>
      <c r="DM262" s="1">
        <f t="shared" si="81"/>
        <v>10935</v>
      </c>
      <c r="DN262" s="1">
        <f t="shared" si="82"/>
        <v>36922</v>
      </c>
      <c r="DO262" s="1">
        <f t="shared" si="83"/>
        <v>422951</v>
      </c>
      <c r="DP262" s="1">
        <f t="shared" si="84"/>
        <v>78185</v>
      </c>
      <c r="DQ262" s="1">
        <f t="shared" si="91"/>
        <v>0</v>
      </c>
      <c r="DR262" s="1">
        <f t="shared" si="85"/>
        <v>15385</v>
      </c>
      <c r="DS262" s="1">
        <f t="shared" si="86"/>
        <v>4718</v>
      </c>
      <c r="DT262" s="1">
        <f t="shared" si="87"/>
        <v>12253</v>
      </c>
      <c r="DU262" s="1"/>
      <c r="DV262" s="1"/>
      <c r="DW262" s="1"/>
      <c r="DX262" s="1">
        <f t="shared" si="92"/>
        <v>772944</v>
      </c>
      <c r="DZ262" s="1">
        <f t="shared" si="93"/>
        <v>44723</v>
      </c>
      <c r="EA262" s="1">
        <f t="shared" si="88"/>
        <v>57296</v>
      </c>
      <c r="EC262" s="1">
        <f t="shared" si="94"/>
        <v>874963</v>
      </c>
      <c r="ED262" s="1">
        <f t="shared" si="89"/>
        <v>11838</v>
      </c>
      <c r="EE262" s="1"/>
    </row>
    <row r="263" spans="1:135" x14ac:dyDescent="0.25">
      <c r="A263" s="140">
        <v>40210</v>
      </c>
      <c r="B263" s="141">
        <v>0</v>
      </c>
      <c r="C263" s="141">
        <v>0</v>
      </c>
      <c r="D263" s="141">
        <v>0</v>
      </c>
      <c r="E263" s="141">
        <v>0</v>
      </c>
      <c r="F263" s="141">
        <v>1189</v>
      </c>
      <c r="G263" s="141">
        <v>14080</v>
      </c>
      <c r="H263" s="141">
        <v>27576</v>
      </c>
      <c r="I263" s="141">
        <v>4510</v>
      </c>
      <c r="J263" s="141">
        <v>8778</v>
      </c>
      <c r="K263" s="141"/>
      <c r="L263" s="141">
        <v>27794</v>
      </c>
      <c r="M263" s="141">
        <v>1967</v>
      </c>
      <c r="N263" s="141"/>
      <c r="O263" s="141">
        <v>1573</v>
      </c>
      <c r="P263" s="141">
        <v>10891</v>
      </c>
      <c r="Q263" s="141">
        <v>375</v>
      </c>
      <c r="R263" s="141">
        <v>8601</v>
      </c>
      <c r="S263" s="141">
        <v>10935</v>
      </c>
      <c r="T263" s="141"/>
      <c r="U263" s="141"/>
      <c r="V263" s="141">
        <v>481</v>
      </c>
      <c r="W263" s="141">
        <v>7758</v>
      </c>
      <c r="X263" s="141">
        <v>336</v>
      </c>
      <c r="Y263" s="141">
        <v>7</v>
      </c>
      <c r="Z263" s="142"/>
      <c r="AA263" s="141">
        <v>3</v>
      </c>
      <c r="AB263" s="141">
        <v>141</v>
      </c>
      <c r="AC263" s="141">
        <v>21</v>
      </c>
      <c r="AD263" s="141">
        <v>29</v>
      </c>
      <c r="AE263" s="141">
        <v>36</v>
      </c>
      <c r="AF263" s="141">
        <v>92</v>
      </c>
      <c r="AG263" s="141"/>
      <c r="AH263" s="141"/>
      <c r="AI263" s="141">
        <v>7</v>
      </c>
      <c r="AJ263" s="141">
        <v>9600</v>
      </c>
      <c r="AK263" s="141">
        <v>103787</v>
      </c>
      <c r="AL263" s="141">
        <v>3079</v>
      </c>
      <c r="AM263" s="141">
        <v>18139</v>
      </c>
      <c r="AN263" s="141">
        <v>18</v>
      </c>
      <c r="AO263" s="141">
        <v>5</v>
      </c>
      <c r="AP263" s="141">
        <v>5783</v>
      </c>
      <c r="AQ263" s="141">
        <v>0</v>
      </c>
      <c r="AR263" s="141">
        <v>2509</v>
      </c>
      <c r="AS263" s="141">
        <v>23</v>
      </c>
      <c r="AT263" s="141">
        <v>5677</v>
      </c>
      <c r="AU263" s="141">
        <v>2329</v>
      </c>
      <c r="AV263" s="141">
        <v>4199</v>
      </c>
      <c r="AW263" s="141">
        <v>12903</v>
      </c>
      <c r="AX263" s="142"/>
      <c r="AY263" s="142"/>
      <c r="AZ263" s="142">
        <v>669</v>
      </c>
      <c r="BA263" s="142"/>
      <c r="BB263" s="141">
        <v>338</v>
      </c>
      <c r="BC263" s="141"/>
      <c r="BD263" s="141">
        <v>0</v>
      </c>
      <c r="BE263" s="141">
        <v>0</v>
      </c>
      <c r="BF263" s="141">
        <v>1161</v>
      </c>
      <c r="BG263" s="141">
        <v>0</v>
      </c>
      <c r="BH263" s="141">
        <v>0</v>
      </c>
      <c r="BI263" s="141">
        <v>8041</v>
      </c>
      <c r="BJ263" s="141">
        <v>35</v>
      </c>
      <c r="BK263" s="141">
        <v>2932</v>
      </c>
      <c r="BL263" s="141"/>
      <c r="BM263" s="141">
        <v>505</v>
      </c>
      <c r="BN263" s="141">
        <v>47</v>
      </c>
      <c r="BO263" s="141">
        <v>4718</v>
      </c>
      <c r="BP263" s="141">
        <v>72142</v>
      </c>
      <c r="BQ263" s="141">
        <v>493</v>
      </c>
      <c r="BR263" s="141">
        <v>165</v>
      </c>
      <c r="BS263" s="141">
        <v>6987</v>
      </c>
      <c r="BT263" s="141">
        <v>87</v>
      </c>
      <c r="BU263" s="141"/>
      <c r="BV263" s="141">
        <v>6</v>
      </c>
      <c r="BW263" s="141">
        <v>119</v>
      </c>
      <c r="BX263" s="141"/>
      <c r="BY263" s="141">
        <v>2</v>
      </c>
      <c r="BZ263" s="141">
        <v>0</v>
      </c>
      <c r="CA263" s="141">
        <v>23610</v>
      </c>
      <c r="CB263" s="141">
        <v>15385</v>
      </c>
      <c r="CC263" s="141">
        <v>147378</v>
      </c>
      <c r="CD263" s="141">
        <v>225949</v>
      </c>
      <c r="CE263" s="141">
        <v>25146</v>
      </c>
      <c r="CF263" s="141">
        <v>44913</v>
      </c>
      <c r="CG263" s="141">
        <v>0</v>
      </c>
      <c r="CH263" s="141">
        <v>0</v>
      </c>
      <c r="CI263" s="141">
        <v>8</v>
      </c>
      <c r="CJ263" s="141">
        <v>25</v>
      </c>
      <c r="CK263" s="141"/>
      <c r="CL263" s="141"/>
      <c r="CM263" s="141"/>
      <c r="CN263" s="141"/>
      <c r="CO263" s="141"/>
      <c r="CP263" s="141"/>
      <c r="CQ263" s="141"/>
      <c r="CR263" s="141"/>
      <c r="CS263" s="141"/>
      <c r="CT263" s="141"/>
      <c r="CU263" s="141"/>
      <c r="CV263" s="141"/>
      <c r="CW263" s="141"/>
      <c r="CX263" s="141"/>
      <c r="CY263" s="141">
        <v>0</v>
      </c>
      <c r="CZ263" s="141">
        <v>0</v>
      </c>
      <c r="DA263" s="141">
        <v>0</v>
      </c>
      <c r="DB263" s="141">
        <v>22</v>
      </c>
      <c r="DC263" s="141">
        <v>0</v>
      </c>
      <c r="DD263" s="141">
        <v>55</v>
      </c>
      <c r="DE263">
        <f t="shared" si="77"/>
        <v>876092</v>
      </c>
      <c r="DG263" s="1">
        <f t="shared" si="90"/>
        <v>580816</v>
      </c>
      <c r="DH263" s="1">
        <f t="shared" si="78"/>
        <v>240811</v>
      </c>
      <c r="DI263" s="1">
        <f t="shared" si="76"/>
        <v>821627</v>
      </c>
      <c r="DK263" s="1">
        <f t="shared" si="79"/>
        <v>59225</v>
      </c>
      <c r="DL263" s="1">
        <f t="shared" si="80"/>
        <v>132808</v>
      </c>
      <c r="DM263" s="1">
        <f t="shared" si="81"/>
        <v>10945</v>
      </c>
      <c r="DN263" s="1">
        <f t="shared" si="82"/>
        <v>37743</v>
      </c>
      <c r="DO263" s="1">
        <f t="shared" si="83"/>
        <v>423666</v>
      </c>
      <c r="DP263" s="1">
        <f t="shared" si="84"/>
        <v>79634</v>
      </c>
      <c r="DQ263" s="1">
        <f t="shared" si="91"/>
        <v>0</v>
      </c>
      <c r="DR263" s="1">
        <f t="shared" si="85"/>
        <v>15892</v>
      </c>
      <c r="DS263" s="1">
        <f t="shared" si="86"/>
        <v>4741</v>
      </c>
      <c r="DT263" s="1">
        <f t="shared" si="87"/>
        <v>12200</v>
      </c>
      <c r="DU263" s="1"/>
      <c r="DV263" s="1"/>
      <c r="DW263" s="1"/>
      <c r="DX263" s="1">
        <f t="shared" si="92"/>
        <v>776854</v>
      </c>
      <c r="DZ263" s="1">
        <f t="shared" si="93"/>
        <v>44913</v>
      </c>
      <c r="EA263" s="1">
        <f t="shared" si="88"/>
        <v>56133</v>
      </c>
      <c r="EC263" s="1">
        <f t="shared" si="94"/>
        <v>877900</v>
      </c>
      <c r="ED263" s="1">
        <f t="shared" si="89"/>
        <v>1808</v>
      </c>
      <c r="EE263" s="1"/>
    </row>
    <row r="264" spans="1:135" x14ac:dyDescent="0.25">
      <c r="A264" s="140">
        <v>40238</v>
      </c>
      <c r="B264" s="141">
        <v>0</v>
      </c>
      <c r="C264" s="141">
        <v>0</v>
      </c>
      <c r="D264" s="141">
        <v>0</v>
      </c>
      <c r="E264" s="141">
        <v>0</v>
      </c>
      <c r="F264" s="141">
        <v>1149</v>
      </c>
      <c r="G264" s="141">
        <v>13948</v>
      </c>
      <c r="H264" s="141">
        <v>27433</v>
      </c>
      <c r="I264" s="141">
        <v>4355</v>
      </c>
      <c r="J264" s="141">
        <v>8565</v>
      </c>
      <c r="K264" s="141"/>
      <c r="L264" s="141">
        <v>27723</v>
      </c>
      <c r="M264" s="141">
        <v>1959</v>
      </c>
      <c r="N264" s="141"/>
      <c r="O264" s="141">
        <v>1570</v>
      </c>
      <c r="P264" s="141">
        <v>10831</v>
      </c>
      <c r="Q264" s="141">
        <v>370</v>
      </c>
      <c r="R264" s="141">
        <v>8576</v>
      </c>
      <c r="S264" s="141">
        <v>10945</v>
      </c>
      <c r="T264" s="141"/>
      <c r="U264" s="141"/>
      <c r="V264" s="141">
        <v>473</v>
      </c>
      <c r="W264" s="141">
        <v>7723</v>
      </c>
      <c r="X264" s="141">
        <v>332</v>
      </c>
      <c r="Y264" s="141">
        <v>6</v>
      </c>
      <c r="Z264" s="142"/>
      <c r="AA264" s="141">
        <v>0</v>
      </c>
      <c r="AB264" s="141">
        <v>144</v>
      </c>
      <c r="AC264" s="141">
        <v>21</v>
      </c>
      <c r="AD264" s="141">
        <v>30</v>
      </c>
      <c r="AE264" s="141">
        <v>37</v>
      </c>
      <c r="AF264" s="141">
        <v>90</v>
      </c>
      <c r="AG264" s="141"/>
      <c r="AH264" s="141"/>
      <c r="AI264" s="141">
        <v>7</v>
      </c>
      <c r="AJ264" s="141">
        <v>9610</v>
      </c>
      <c r="AK264" s="141">
        <v>103901</v>
      </c>
      <c r="AL264" s="141">
        <v>3064</v>
      </c>
      <c r="AM264" s="141">
        <v>18125</v>
      </c>
      <c r="AN264" s="141">
        <v>18</v>
      </c>
      <c r="AO264" s="141">
        <v>4</v>
      </c>
      <c r="AP264" s="141">
        <v>6522</v>
      </c>
      <c r="AQ264" s="141">
        <v>0</v>
      </c>
      <c r="AR264" s="141">
        <v>2509</v>
      </c>
      <c r="AS264" s="141">
        <v>21</v>
      </c>
      <c r="AT264" s="141">
        <v>5690</v>
      </c>
      <c r="AU264" s="141">
        <v>2314</v>
      </c>
      <c r="AV264" s="141">
        <v>4197</v>
      </c>
      <c r="AW264" s="141">
        <v>13002</v>
      </c>
      <c r="AX264" s="142"/>
      <c r="AY264" s="142"/>
      <c r="AZ264" s="142">
        <v>674</v>
      </c>
      <c r="BA264" s="142"/>
      <c r="BB264" s="141">
        <v>323</v>
      </c>
      <c r="BC264" s="141"/>
      <c r="BD264" s="141">
        <v>0</v>
      </c>
      <c r="BE264" s="141">
        <v>0</v>
      </c>
      <c r="BF264" s="141">
        <v>1171</v>
      </c>
      <c r="BG264" s="141">
        <v>0</v>
      </c>
      <c r="BH264" s="141">
        <v>0</v>
      </c>
      <c r="BI264" s="141">
        <v>8020</v>
      </c>
      <c r="BJ264" s="141">
        <v>30</v>
      </c>
      <c r="BK264" s="141">
        <v>2896</v>
      </c>
      <c r="BL264" s="141"/>
      <c r="BM264" s="141">
        <v>502</v>
      </c>
      <c r="BN264" s="141">
        <v>42</v>
      </c>
      <c r="BO264" s="141">
        <v>4741</v>
      </c>
      <c r="BP264" s="141">
        <v>71974</v>
      </c>
      <c r="BQ264" s="141">
        <v>439</v>
      </c>
      <c r="BR264" s="141">
        <v>165</v>
      </c>
      <c r="BS264" s="141">
        <v>7018</v>
      </c>
      <c r="BT264" s="141">
        <v>85</v>
      </c>
      <c r="BU264" s="141"/>
      <c r="BV264" s="141">
        <v>7</v>
      </c>
      <c r="BW264" s="141">
        <v>113</v>
      </c>
      <c r="BX264" s="141"/>
      <c r="BY264" s="141">
        <v>3</v>
      </c>
      <c r="BZ264" s="141">
        <v>0</v>
      </c>
      <c r="CA264" s="141">
        <v>23526</v>
      </c>
      <c r="CB264" s="141">
        <v>15892</v>
      </c>
      <c r="CC264" s="141">
        <v>147646</v>
      </c>
      <c r="CD264" s="141">
        <v>226766</v>
      </c>
      <c r="CE264" s="141">
        <v>24924</v>
      </c>
      <c r="CF264" s="141">
        <v>44823</v>
      </c>
      <c r="CG264" s="141">
        <v>0</v>
      </c>
      <c r="CH264" s="141">
        <v>0</v>
      </c>
      <c r="CI264" s="141">
        <v>7</v>
      </c>
      <c r="CJ264" s="141">
        <v>26</v>
      </c>
      <c r="CK264" s="141"/>
      <c r="CL264" s="141"/>
      <c r="CM264" s="141"/>
      <c r="CN264" s="141"/>
      <c r="CO264" s="141"/>
      <c r="CP264" s="141"/>
      <c r="CQ264" s="141"/>
      <c r="CR264" s="141"/>
      <c r="CS264" s="141"/>
      <c r="CT264" s="141"/>
      <c r="CU264" s="141"/>
      <c r="CV264" s="141"/>
      <c r="CW264" s="141"/>
      <c r="CX264" s="141"/>
      <c r="CY264" s="141">
        <v>0</v>
      </c>
      <c r="CZ264" s="141">
        <v>0</v>
      </c>
      <c r="DA264" s="141">
        <v>0</v>
      </c>
      <c r="DB264" s="141">
        <v>22</v>
      </c>
      <c r="DC264" s="141">
        <v>0</v>
      </c>
      <c r="DD264" s="141">
        <v>55</v>
      </c>
      <c r="DE264">
        <f t="shared" si="77"/>
        <v>877077</v>
      </c>
      <c r="DG264" s="1">
        <f t="shared" si="90"/>
        <v>586733</v>
      </c>
      <c r="DH264" s="1">
        <f t="shared" si="78"/>
        <v>242195</v>
      </c>
      <c r="DI264" s="1">
        <f t="shared" si="76"/>
        <v>828928</v>
      </c>
      <c r="DK264" s="1">
        <f t="shared" si="79"/>
        <v>59197</v>
      </c>
      <c r="DL264" s="1">
        <f t="shared" si="80"/>
        <v>132898</v>
      </c>
      <c r="DM264" s="1">
        <f t="shared" si="81"/>
        <v>10974</v>
      </c>
      <c r="DN264" s="1">
        <f t="shared" si="82"/>
        <v>38539</v>
      </c>
      <c r="DO264" s="1">
        <f t="shared" si="83"/>
        <v>428020</v>
      </c>
      <c r="DP264" s="1">
        <f t="shared" si="84"/>
        <v>79494</v>
      </c>
      <c r="DQ264" s="1">
        <f t="shared" si="91"/>
        <v>0</v>
      </c>
      <c r="DR264" s="1">
        <f t="shared" si="85"/>
        <v>15880</v>
      </c>
      <c r="DS264" s="1">
        <f t="shared" si="86"/>
        <v>4947</v>
      </c>
      <c r="DT264" s="1">
        <f t="shared" si="87"/>
        <v>12199</v>
      </c>
      <c r="DU264" s="1"/>
      <c r="DV264" s="1"/>
      <c r="DW264" s="1"/>
      <c r="DX264" s="1">
        <f t="shared" si="92"/>
        <v>782148</v>
      </c>
      <c r="DZ264" s="1">
        <f t="shared" si="93"/>
        <v>44823</v>
      </c>
      <c r="EA264" s="1">
        <f t="shared" si="88"/>
        <v>55450</v>
      </c>
      <c r="EC264" s="1">
        <f t="shared" si="94"/>
        <v>882421</v>
      </c>
      <c r="ED264" s="1">
        <f t="shared" si="89"/>
        <v>5344</v>
      </c>
      <c r="EE264" s="1"/>
    </row>
    <row r="265" spans="1:135" x14ac:dyDescent="0.25">
      <c r="A265" s="140">
        <v>40269</v>
      </c>
      <c r="B265" s="141">
        <v>0</v>
      </c>
      <c r="C265" s="141">
        <v>0</v>
      </c>
      <c r="D265" s="141">
        <v>0</v>
      </c>
      <c r="E265" s="141">
        <v>0</v>
      </c>
      <c r="F265" s="141">
        <v>1170</v>
      </c>
      <c r="G265" s="141">
        <v>13995</v>
      </c>
      <c r="H265" s="141">
        <v>27111</v>
      </c>
      <c r="I265" s="141">
        <v>4334</v>
      </c>
      <c r="J265" s="141">
        <v>8358</v>
      </c>
      <c r="K265" s="141"/>
      <c r="L265" s="141">
        <v>27616</v>
      </c>
      <c r="M265" s="141">
        <v>1942</v>
      </c>
      <c r="N265" s="141"/>
      <c r="O265" s="141">
        <v>1577</v>
      </c>
      <c r="P265" s="141">
        <v>10932</v>
      </c>
      <c r="Q265" s="141">
        <v>371</v>
      </c>
      <c r="R265" s="141">
        <v>8592</v>
      </c>
      <c r="S265" s="141">
        <v>10974</v>
      </c>
      <c r="T265" s="141"/>
      <c r="U265" s="141"/>
      <c r="V265" s="141">
        <v>471</v>
      </c>
      <c r="W265" s="141">
        <v>7696</v>
      </c>
      <c r="X265" s="141">
        <v>336</v>
      </c>
      <c r="Y265" s="141">
        <v>6</v>
      </c>
      <c r="Z265" s="142"/>
      <c r="AA265" s="141">
        <v>1</v>
      </c>
      <c r="AB265" s="141">
        <v>147</v>
      </c>
      <c r="AC265" s="141">
        <v>21</v>
      </c>
      <c r="AD265" s="141">
        <v>30</v>
      </c>
      <c r="AE265" s="141">
        <v>40</v>
      </c>
      <c r="AF265" s="141">
        <v>91</v>
      </c>
      <c r="AG265" s="141"/>
      <c r="AH265" s="141"/>
      <c r="AI265" s="141">
        <v>6</v>
      </c>
      <c r="AJ265" s="141">
        <v>9753</v>
      </c>
      <c r="AK265" s="141">
        <v>104012</v>
      </c>
      <c r="AL265" s="141">
        <v>3076</v>
      </c>
      <c r="AM265" s="141">
        <v>18215</v>
      </c>
      <c r="AN265" s="141">
        <v>18</v>
      </c>
      <c r="AO265" s="141">
        <v>5</v>
      </c>
      <c r="AP265" s="141">
        <v>7128</v>
      </c>
      <c r="AQ265" s="141">
        <v>0</v>
      </c>
      <c r="AR265" s="141">
        <v>2696</v>
      </c>
      <c r="AS265" s="141">
        <v>23</v>
      </c>
      <c r="AT265" s="141">
        <v>5716</v>
      </c>
      <c r="AU265" s="141">
        <v>2328</v>
      </c>
      <c r="AV265" s="141">
        <v>4250</v>
      </c>
      <c r="AW265" s="141">
        <v>13100</v>
      </c>
      <c r="AX265" s="142"/>
      <c r="AY265" s="142"/>
      <c r="AZ265" s="142">
        <v>681</v>
      </c>
      <c r="BA265" s="142"/>
      <c r="BB265" s="141">
        <v>345</v>
      </c>
      <c r="BC265" s="141"/>
      <c r="BD265" s="141">
        <v>0</v>
      </c>
      <c r="BE265" s="141">
        <v>0</v>
      </c>
      <c r="BF265" s="141">
        <v>1175</v>
      </c>
      <c r="BG265" s="141">
        <v>0</v>
      </c>
      <c r="BH265" s="141">
        <v>0</v>
      </c>
      <c r="BI265" s="141">
        <v>8051</v>
      </c>
      <c r="BJ265" s="141">
        <v>25</v>
      </c>
      <c r="BK265" s="141">
        <v>2881</v>
      </c>
      <c r="BL265" s="141"/>
      <c r="BM265" s="141">
        <v>468</v>
      </c>
      <c r="BN265" s="141">
        <v>45</v>
      </c>
      <c r="BO265" s="141">
        <v>4947</v>
      </c>
      <c r="BP265" s="141">
        <v>73247</v>
      </c>
      <c r="BQ265" s="141">
        <v>441</v>
      </c>
      <c r="BR265" s="141">
        <v>162</v>
      </c>
      <c r="BS265" s="141">
        <v>7118</v>
      </c>
      <c r="BT265" s="141">
        <v>88</v>
      </c>
      <c r="BU265" s="141"/>
      <c r="BV265" s="141">
        <v>5</v>
      </c>
      <c r="BW265" s="141">
        <v>92</v>
      </c>
      <c r="BX265" s="141"/>
      <c r="BY265" s="141">
        <v>7</v>
      </c>
      <c r="BZ265" s="141">
        <v>0</v>
      </c>
      <c r="CA265" s="141">
        <v>23416</v>
      </c>
      <c r="CB265" s="141">
        <v>15879</v>
      </c>
      <c r="CC265" s="141">
        <v>149239</v>
      </c>
      <c r="CD265" s="141">
        <v>229274</v>
      </c>
      <c r="CE265" s="141">
        <v>25287</v>
      </c>
      <c r="CF265" s="141">
        <v>44854</v>
      </c>
      <c r="CG265" s="141">
        <v>0</v>
      </c>
      <c r="CH265" s="141">
        <v>1</v>
      </c>
      <c r="CI265" s="141">
        <v>5</v>
      </c>
      <c r="CJ265" s="141">
        <v>26</v>
      </c>
      <c r="CK265" s="141"/>
      <c r="CL265" s="141"/>
      <c r="CM265" s="141"/>
      <c r="CN265" s="141"/>
      <c r="CO265" s="141"/>
      <c r="CP265" s="141"/>
      <c r="CQ265" s="141"/>
      <c r="CR265" s="141"/>
      <c r="CS265" s="141"/>
      <c r="CT265" s="141"/>
      <c r="CU265" s="141"/>
      <c r="CV265" s="141"/>
      <c r="CW265" s="141"/>
      <c r="CX265" s="141"/>
      <c r="CY265" s="141">
        <v>0</v>
      </c>
      <c r="CZ265" s="141">
        <v>0</v>
      </c>
      <c r="DA265" s="141">
        <v>0</v>
      </c>
      <c r="DB265" s="141">
        <v>22</v>
      </c>
      <c r="DC265" s="141">
        <v>0</v>
      </c>
      <c r="DD265" s="141">
        <v>54</v>
      </c>
      <c r="DE265">
        <f t="shared" si="77"/>
        <v>883896</v>
      </c>
      <c r="DG265" s="1">
        <f t="shared" si="90"/>
        <v>590004</v>
      </c>
      <c r="DH265" s="1">
        <f t="shared" si="78"/>
        <v>243786</v>
      </c>
      <c r="DI265" s="1">
        <f t="shared" si="76"/>
        <v>833790</v>
      </c>
      <c r="DK265" s="1">
        <f t="shared" si="79"/>
        <v>59331</v>
      </c>
      <c r="DL265" s="1">
        <f t="shared" si="80"/>
        <v>133485</v>
      </c>
      <c r="DM265" s="1">
        <f t="shared" si="81"/>
        <v>11024</v>
      </c>
      <c r="DN265" s="1">
        <f t="shared" si="82"/>
        <v>39227</v>
      </c>
      <c r="DO265" s="1">
        <f t="shared" si="83"/>
        <v>430903</v>
      </c>
      <c r="DP265" s="1">
        <f t="shared" si="84"/>
        <v>80833</v>
      </c>
      <c r="DQ265" s="1">
        <f t="shared" si="91"/>
        <v>0</v>
      </c>
      <c r="DR265" s="1">
        <f t="shared" si="85"/>
        <v>15819</v>
      </c>
      <c r="DS265" s="1">
        <f t="shared" si="86"/>
        <v>5106</v>
      </c>
      <c r="DT265" s="1">
        <f t="shared" si="87"/>
        <v>12229</v>
      </c>
      <c r="DU265" s="1"/>
      <c r="DV265" s="1"/>
      <c r="DW265" s="1"/>
      <c r="DX265" s="1">
        <f t="shared" si="92"/>
        <v>787957</v>
      </c>
      <c r="DZ265" s="1">
        <f t="shared" si="93"/>
        <v>44854</v>
      </c>
      <c r="EA265" s="1">
        <f t="shared" si="88"/>
        <v>54968</v>
      </c>
      <c r="EC265" s="1">
        <f t="shared" si="94"/>
        <v>887779</v>
      </c>
      <c r="ED265" s="1">
        <f t="shared" si="89"/>
        <v>3883</v>
      </c>
      <c r="EE265" s="1"/>
    </row>
    <row r="266" spans="1:135" x14ac:dyDescent="0.25">
      <c r="A266" s="140">
        <v>40299</v>
      </c>
      <c r="B266" s="141">
        <v>0</v>
      </c>
      <c r="C266" s="141">
        <v>0</v>
      </c>
      <c r="D266" s="141">
        <v>0</v>
      </c>
      <c r="E266" s="141">
        <v>0</v>
      </c>
      <c r="F266" s="141">
        <v>1204</v>
      </c>
      <c r="G266" s="141">
        <v>14090</v>
      </c>
      <c r="H266" s="141">
        <v>27089</v>
      </c>
      <c r="I266" s="141">
        <v>4294</v>
      </c>
      <c r="J266" s="141">
        <v>8278</v>
      </c>
      <c r="K266" s="141"/>
      <c r="L266" s="141">
        <v>27534</v>
      </c>
      <c r="M266" s="141">
        <v>1946</v>
      </c>
      <c r="N266" s="141"/>
      <c r="O266" s="141">
        <v>1572</v>
      </c>
      <c r="P266" s="141">
        <v>11108</v>
      </c>
      <c r="Q266" s="141">
        <v>371</v>
      </c>
      <c r="R266" s="141">
        <v>8605</v>
      </c>
      <c r="S266" s="141">
        <v>11024</v>
      </c>
      <c r="T266" s="141"/>
      <c r="U266" s="141"/>
      <c r="V266" s="141">
        <v>480</v>
      </c>
      <c r="W266" s="141">
        <v>7715</v>
      </c>
      <c r="X266" s="141">
        <v>335</v>
      </c>
      <c r="Y266" s="141">
        <v>6</v>
      </c>
      <c r="Z266" s="142"/>
      <c r="AA266" s="141">
        <v>1</v>
      </c>
      <c r="AB266" s="141">
        <v>160</v>
      </c>
      <c r="AC266" s="141">
        <v>21</v>
      </c>
      <c r="AD266" s="141">
        <v>29</v>
      </c>
      <c r="AE266" s="141">
        <v>42</v>
      </c>
      <c r="AF266" s="141">
        <v>91</v>
      </c>
      <c r="AG266" s="141"/>
      <c r="AH266" s="141"/>
      <c r="AI266" s="141">
        <v>6</v>
      </c>
      <c r="AJ266" s="141">
        <v>9885</v>
      </c>
      <c r="AK266" s="141">
        <v>104392</v>
      </c>
      <c r="AL266" s="141">
        <v>3082</v>
      </c>
      <c r="AM266" s="141">
        <v>18389</v>
      </c>
      <c r="AN266" s="141">
        <v>20</v>
      </c>
      <c r="AO266" s="141">
        <v>4</v>
      </c>
      <c r="AP266" s="141">
        <v>7562</v>
      </c>
      <c r="AQ266" s="141">
        <v>0</v>
      </c>
      <c r="AR266" s="141">
        <v>2734</v>
      </c>
      <c r="AS266" s="141">
        <v>24</v>
      </c>
      <c r="AT266" s="141">
        <v>5834</v>
      </c>
      <c r="AU266" s="141">
        <v>2318</v>
      </c>
      <c r="AV266" s="141">
        <v>4287</v>
      </c>
      <c r="AW266" s="141">
        <v>13181</v>
      </c>
      <c r="AX266" s="142"/>
      <c r="AY266" s="142"/>
      <c r="AZ266" s="142">
        <v>674</v>
      </c>
      <c r="BA266" s="142"/>
      <c r="BB266" s="141">
        <v>354</v>
      </c>
      <c r="BC266" s="141"/>
      <c r="BD266" s="141">
        <v>0</v>
      </c>
      <c r="BE266" s="141">
        <v>0</v>
      </c>
      <c r="BF266" s="141">
        <v>1176</v>
      </c>
      <c r="BG266" s="141">
        <v>0</v>
      </c>
      <c r="BH266" s="141">
        <v>0</v>
      </c>
      <c r="BI266" s="141">
        <v>8093</v>
      </c>
      <c r="BJ266" s="141">
        <v>28</v>
      </c>
      <c r="BK266" s="141">
        <v>2905</v>
      </c>
      <c r="BL266" s="141"/>
      <c r="BM266" s="141">
        <v>420</v>
      </c>
      <c r="BN266" s="141">
        <v>48</v>
      </c>
      <c r="BO266" s="141">
        <v>5106</v>
      </c>
      <c r="BP266" s="141">
        <v>73528</v>
      </c>
      <c r="BQ266" s="141">
        <v>431</v>
      </c>
      <c r="BR266" s="141">
        <v>158</v>
      </c>
      <c r="BS266" s="141">
        <v>7056</v>
      </c>
      <c r="BT266" s="141">
        <v>104</v>
      </c>
      <c r="BU266" s="141"/>
      <c r="BV266" s="141">
        <v>5</v>
      </c>
      <c r="BW266" s="141">
        <v>55</v>
      </c>
      <c r="BX266" s="141"/>
      <c r="BY266" s="141">
        <v>3</v>
      </c>
      <c r="BZ266" s="141">
        <v>0</v>
      </c>
      <c r="CA266" s="141">
        <v>23454</v>
      </c>
      <c r="CB266" s="141">
        <v>15818</v>
      </c>
      <c r="CC266" s="141">
        <v>150127</v>
      </c>
      <c r="CD266" s="141">
        <v>231054</v>
      </c>
      <c r="CE266" s="141">
        <v>25459</v>
      </c>
      <c r="CF266" s="141">
        <v>44943</v>
      </c>
      <c r="CG266" s="141">
        <v>0</v>
      </c>
      <c r="CH266" s="141">
        <v>1</v>
      </c>
      <c r="CI266" s="141">
        <v>6</v>
      </c>
      <c r="CJ266" s="141">
        <v>26</v>
      </c>
      <c r="CK266" s="141"/>
      <c r="CL266" s="141"/>
      <c r="CM266" s="141"/>
      <c r="CN266" s="141"/>
      <c r="CO266" s="141"/>
      <c r="CP266" s="141"/>
      <c r="CQ266" s="141"/>
      <c r="CR266" s="141"/>
      <c r="CS266" s="141"/>
      <c r="CT266" s="141"/>
      <c r="CU266" s="141"/>
      <c r="CV266" s="141"/>
      <c r="CW266" s="141"/>
      <c r="CX266" s="141"/>
      <c r="CY266" s="141">
        <v>0</v>
      </c>
      <c r="CZ266" s="141">
        <v>0</v>
      </c>
      <c r="DA266" s="141">
        <v>0</v>
      </c>
      <c r="DB266" s="141">
        <v>22</v>
      </c>
      <c r="DC266" s="141">
        <v>0</v>
      </c>
      <c r="DD266" s="141">
        <v>54</v>
      </c>
      <c r="DE266">
        <f t="shared" si="77"/>
        <v>888745</v>
      </c>
      <c r="DG266" s="1">
        <f t="shared" si="90"/>
        <v>591246</v>
      </c>
      <c r="DH266" s="1">
        <f t="shared" si="78"/>
        <v>244854</v>
      </c>
      <c r="DI266" s="1">
        <f t="shared" si="76"/>
        <v>836100</v>
      </c>
      <c r="DK266" s="1">
        <f t="shared" si="79"/>
        <v>59472</v>
      </c>
      <c r="DL266" s="1">
        <f t="shared" si="80"/>
        <v>134204</v>
      </c>
      <c r="DM266" s="1">
        <f t="shared" si="81"/>
        <v>11063</v>
      </c>
      <c r="DN266" s="1">
        <f t="shared" si="82"/>
        <v>39647</v>
      </c>
      <c r="DO266" s="1">
        <f t="shared" si="83"/>
        <v>431775</v>
      </c>
      <c r="DP266" s="1">
        <f t="shared" si="84"/>
        <v>81004</v>
      </c>
      <c r="DQ266" s="1">
        <f t="shared" si="91"/>
        <v>0</v>
      </c>
      <c r="DR266" s="1">
        <f t="shared" si="85"/>
        <v>15550</v>
      </c>
      <c r="DS266" s="1">
        <f t="shared" si="86"/>
        <v>5276</v>
      </c>
      <c r="DT266" s="1">
        <f t="shared" si="87"/>
        <v>12255</v>
      </c>
      <c r="DU266" s="1"/>
      <c r="DV266" s="1"/>
      <c r="DW266" s="1"/>
      <c r="DX266" s="1">
        <f t="shared" si="92"/>
        <v>790246</v>
      </c>
      <c r="DZ266" s="1">
        <f t="shared" si="93"/>
        <v>44943</v>
      </c>
      <c r="EA266" s="1">
        <f t="shared" si="88"/>
        <v>54955</v>
      </c>
      <c r="EC266" s="1">
        <f t="shared" si="94"/>
        <v>890144</v>
      </c>
      <c r="ED266" s="1">
        <f t="shared" si="89"/>
        <v>1399</v>
      </c>
      <c r="EE266" s="1"/>
    </row>
    <row r="267" spans="1:135" x14ac:dyDescent="0.25">
      <c r="A267" s="140">
        <v>40330</v>
      </c>
      <c r="B267" s="141">
        <v>0</v>
      </c>
      <c r="C267" s="141">
        <v>0</v>
      </c>
      <c r="D267" s="141">
        <v>0</v>
      </c>
      <c r="E267" s="141">
        <v>0</v>
      </c>
      <c r="F267" s="141">
        <v>1231</v>
      </c>
      <c r="G267" s="141">
        <v>14105</v>
      </c>
      <c r="H267" s="141">
        <v>27126</v>
      </c>
      <c r="I267" s="141">
        <v>4309</v>
      </c>
      <c r="J267" s="141">
        <v>8330</v>
      </c>
      <c r="K267" s="141"/>
      <c r="L267" s="141">
        <v>27491</v>
      </c>
      <c r="M267" s="141">
        <v>1939</v>
      </c>
      <c r="N267" s="141"/>
      <c r="O267" s="141">
        <v>1600</v>
      </c>
      <c r="P267" s="141">
        <v>11196</v>
      </c>
      <c r="Q267" s="141">
        <v>369</v>
      </c>
      <c r="R267" s="141">
        <v>8640</v>
      </c>
      <c r="S267" s="141">
        <v>11063</v>
      </c>
      <c r="T267" s="141"/>
      <c r="U267" s="141"/>
      <c r="V267" s="141">
        <v>478</v>
      </c>
      <c r="W267" s="141">
        <v>7759</v>
      </c>
      <c r="X267" s="141">
        <v>334</v>
      </c>
      <c r="Y267" s="141">
        <v>5</v>
      </c>
      <c r="Z267" s="142"/>
      <c r="AA267" s="141">
        <v>2</v>
      </c>
      <c r="AB267" s="141">
        <v>162</v>
      </c>
      <c r="AC267" s="141">
        <v>25</v>
      </c>
      <c r="AD267" s="141">
        <v>30</v>
      </c>
      <c r="AE267" s="141">
        <v>43</v>
      </c>
      <c r="AF267" s="141">
        <v>90</v>
      </c>
      <c r="AG267" s="141"/>
      <c r="AH267" s="141"/>
      <c r="AI267" s="141">
        <v>6</v>
      </c>
      <c r="AJ267" s="141">
        <v>9940</v>
      </c>
      <c r="AK267" s="141">
        <v>104590</v>
      </c>
      <c r="AL267" s="141">
        <v>3089</v>
      </c>
      <c r="AM267" s="141">
        <v>18484</v>
      </c>
      <c r="AN267" s="141">
        <v>22</v>
      </c>
      <c r="AO267" s="141">
        <v>2</v>
      </c>
      <c r="AP267" s="141">
        <v>7823</v>
      </c>
      <c r="AQ267" s="141">
        <v>0</v>
      </c>
      <c r="AR267" s="141">
        <v>2795</v>
      </c>
      <c r="AS267" s="141">
        <v>25</v>
      </c>
      <c r="AT267" s="141">
        <v>5881</v>
      </c>
      <c r="AU267" s="141">
        <v>2332</v>
      </c>
      <c r="AV267" s="141">
        <v>4328</v>
      </c>
      <c r="AW267" s="141">
        <v>13248</v>
      </c>
      <c r="AX267" s="142"/>
      <c r="AY267" s="142"/>
      <c r="AZ267" s="142">
        <v>683</v>
      </c>
      <c r="BA267" s="142"/>
      <c r="BB267" s="141">
        <v>380</v>
      </c>
      <c r="BC267" s="141"/>
      <c r="BD267" s="141">
        <v>0</v>
      </c>
      <c r="BE267" s="141">
        <v>0</v>
      </c>
      <c r="BF267" s="141">
        <v>1176</v>
      </c>
      <c r="BG267" s="141">
        <v>0</v>
      </c>
      <c r="BH267" s="141">
        <v>0</v>
      </c>
      <c r="BI267" s="141">
        <v>8101</v>
      </c>
      <c r="BJ267" s="141">
        <v>29</v>
      </c>
      <c r="BK267" s="141">
        <v>2922</v>
      </c>
      <c r="BL267" s="141"/>
      <c r="BM267" s="141">
        <v>421</v>
      </c>
      <c r="BN267" s="141">
        <v>50</v>
      </c>
      <c r="BO267" s="141">
        <v>5276</v>
      </c>
      <c r="BP267" s="141">
        <v>73778</v>
      </c>
      <c r="BQ267" s="141">
        <v>446</v>
      </c>
      <c r="BR267" s="141">
        <v>152</v>
      </c>
      <c r="BS267" s="141">
        <v>7084</v>
      </c>
      <c r="BT267" s="141">
        <v>104</v>
      </c>
      <c r="BU267" s="141"/>
      <c r="BV267" s="141">
        <v>5</v>
      </c>
      <c r="BW267" s="141">
        <v>56</v>
      </c>
      <c r="BX267" s="141"/>
      <c r="BY267" s="141">
        <v>3</v>
      </c>
      <c r="BZ267" s="141">
        <v>0</v>
      </c>
      <c r="CA267" s="141">
        <v>23573</v>
      </c>
      <c r="CB267" s="141">
        <v>15549</v>
      </c>
      <c r="CC267" s="141">
        <v>150348</v>
      </c>
      <c r="CD267" s="141">
        <v>231858</v>
      </c>
      <c r="CE267" s="141">
        <v>25183</v>
      </c>
      <c r="CF267" s="141">
        <v>45107</v>
      </c>
      <c r="CG267" s="141">
        <v>0</v>
      </c>
      <c r="CH267" s="141">
        <v>1</v>
      </c>
      <c r="CI267" s="141">
        <v>6</v>
      </c>
      <c r="CJ267" s="141">
        <v>18</v>
      </c>
      <c r="CK267" s="141"/>
      <c r="CL267" s="141"/>
      <c r="CM267" s="141"/>
      <c r="CN267" s="141"/>
      <c r="CO267" s="141"/>
      <c r="CP267" s="141"/>
      <c r="CQ267" s="141"/>
      <c r="CR267" s="141"/>
      <c r="CS267" s="141"/>
      <c r="CT267" s="141"/>
      <c r="CU267" s="141"/>
      <c r="CV267" s="141"/>
      <c r="CW267" s="141"/>
      <c r="CX267" s="141"/>
      <c r="CY267" s="141">
        <v>0</v>
      </c>
      <c r="CZ267" s="141">
        <v>0</v>
      </c>
      <c r="DA267" s="141">
        <v>0</v>
      </c>
      <c r="DB267" s="141">
        <v>22</v>
      </c>
      <c r="DC267" s="141">
        <v>0</v>
      </c>
      <c r="DD267" s="141">
        <v>54</v>
      </c>
      <c r="DE267">
        <f t="shared" si="77"/>
        <v>891201</v>
      </c>
      <c r="DG267" s="1">
        <f t="shared" si="90"/>
        <v>588382</v>
      </c>
      <c r="DH267" s="1">
        <f t="shared" si="78"/>
        <v>245248</v>
      </c>
      <c r="DI267" s="1">
        <f t="shared" si="76"/>
        <v>833630</v>
      </c>
      <c r="DK267" s="1">
        <f t="shared" si="79"/>
        <v>59476</v>
      </c>
      <c r="DL267" s="1">
        <f t="shared" si="80"/>
        <v>134672</v>
      </c>
      <c r="DM267" s="1">
        <f t="shared" si="81"/>
        <v>11052</v>
      </c>
      <c r="DN267" s="1">
        <f t="shared" si="82"/>
        <v>40121</v>
      </c>
      <c r="DO267" s="1">
        <f t="shared" si="83"/>
        <v>429954</v>
      </c>
      <c r="DP267" s="1">
        <f t="shared" si="84"/>
        <v>81283</v>
      </c>
      <c r="DQ267" s="1">
        <f t="shared" si="91"/>
        <v>0</v>
      </c>
      <c r="DR267" s="1">
        <f t="shared" si="85"/>
        <v>15228</v>
      </c>
      <c r="DS267" s="1">
        <f t="shared" si="86"/>
        <v>5370</v>
      </c>
      <c r="DT267" s="1">
        <f t="shared" si="87"/>
        <v>12272</v>
      </c>
      <c r="DU267" s="1"/>
      <c r="DV267" s="1"/>
      <c r="DW267" s="1"/>
      <c r="DX267" s="1">
        <f t="shared" si="92"/>
        <v>789428</v>
      </c>
      <c r="DZ267" s="1">
        <f t="shared" si="93"/>
        <v>45107</v>
      </c>
      <c r="EA267" s="1">
        <f t="shared" si="88"/>
        <v>55101</v>
      </c>
      <c r="EC267" s="1">
        <f t="shared" si="94"/>
        <v>889636</v>
      </c>
      <c r="ED267" s="1">
        <f t="shared" si="89"/>
        <v>-1565</v>
      </c>
      <c r="EE267" s="1"/>
    </row>
    <row r="268" spans="1:135" x14ac:dyDescent="0.25">
      <c r="A268" s="140">
        <v>40360</v>
      </c>
      <c r="B268" s="141">
        <v>0</v>
      </c>
      <c r="C268" s="141">
        <v>0</v>
      </c>
      <c r="D268" s="141">
        <v>0</v>
      </c>
      <c r="E268" s="141">
        <v>0</v>
      </c>
      <c r="F268" s="141">
        <v>1196</v>
      </c>
      <c r="G268" s="141">
        <v>14185</v>
      </c>
      <c r="H268" s="141">
        <v>27218</v>
      </c>
      <c r="I268" s="141">
        <v>4242</v>
      </c>
      <c r="J268" s="141">
        <v>8265</v>
      </c>
      <c r="K268" s="141"/>
      <c r="L268" s="141">
        <v>27441</v>
      </c>
      <c r="M268" s="141">
        <v>1900</v>
      </c>
      <c r="N268" s="141"/>
      <c r="O268" s="141">
        <v>1597</v>
      </c>
      <c r="P268" s="141">
        <v>11265</v>
      </c>
      <c r="Q268" s="141">
        <v>365</v>
      </c>
      <c r="R268" s="141">
        <v>8651</v>
      </c>
      <c r="S268" s="141">
        <v>11052</v>
      </c>
      <c r="T268" s="141"/>
      <c r="U268" s="141"/>
      <c r="V268" s="141">
        <v>468</v>
      </c>
      <c r="W268" s="141">
        <v>7789</v>
      </c>
      <c r="X268" s="141">
        <v>330</v>
      </c>
      <c r="Y268" s="141">
        <v>5</v>
      </c>
      <c r="Z268" s="142"/>
      <c r="AA268" s="141">
        <v>3</v>
      </c>
      <c r="AB268" s="141">
        <v>164</v>
      </c>
      <c r="AC268" s="141">
        <v>25</v>
      </c>
      <c r="AD268" s="141">
        <v>30</v>
      </c>
      <c r="AE268" s="141">
        <v>44</v>
      </c>
      <c r="AF268" s="141">
        <v>90</v>
      </c>
      <c r="AG268" s="141"/>
      <c r="AH268" s="141"/>
      <c r="AI268" s="141">
        <v>6</v>
      </c>
      <c r="AJ268" s="141">
        <v>9949</v>
      </c>
      <c r="AK268" s="141">
        <v>104598</v>
      </c>
      <c r="AL268" s="141">
        <v>3074</v>
      </c>
      <c r="AM268" s="141">
        <v>18575</v>
      </c>
      <c r="AN268" s="141">
        <v>30</v>
      </c>
      <c r="AO268" s="141">
        <v>1</v>
      </c>
      <c r="AP268" s="141">
        <v>8121</v>
      </c>
      <c r="AQ268" s="141">
        <v>0</v>
      </c>
      <c r="AR268" s="141">
        <v>2716</v>
      </c>
      <c r="AS268" s="141">
        <v>25</v>
      </c>
      <c r="AT268" s="141">
        <v>5896</v>
      </c>
      <c r="AU268" s="141">
        <v>2335</v>
      </c>
      <c r="AV268" s="141">
        <v>4311</v>
      </c>
      <c r="AW268" s="141">
        <v>13334</v>
      </c>
      <c r="AX268" s="142"/>
      <c r="AY268" s="142"/>
      <c r="AZ268" s="142">
        <v>688</v>
      </c>
      <c r="BA268" s="142"/>
      <c r="BB268" s="141">
        <v>370</v>
      </c>
      <c r="BC268" s="141"/>
      <c r="BD268" s="141">
        <v>0</v>
      </c>
      <c r="BE268" s="141">
        <v>0</v>
      </c>
      <c r="BF268" s="141">
        <v>1177</v>
      </c>
      <c r="BG268" s="141">
        <v>0</v>
      </c>
      <c r="BH268" s="141">
        <v>0</v>
      </c>
      <c r="BI268" s="141">
        <v>8108</v>
      </c>
      <c r="BJ268" s="141">
        <v>31</v>
      </c>
      <c r="BK268" s="141">
        <v>2931</v>
      </c>
      <c r="BL268" s="141"/>
      <c r="BM268" s="141">
        <v>431</v>
      </c>
      <c r="BN268" s="141">
        <v>53</v>
      </c>
      <c r="BO268" s="141">
        <v>5370</v>
      </c>
      <c r="BP268" s="141">
        <v>73157</v>
      </c>
      <c r="BQ268" s="141">
        <v>474</v>
      </c>
      <c r="BR268" s="141">
        <v>149</v>
      </c>
      <c r="BS268" s="141">
        <v>6949</v>
      </c>
      <c r="BT268" s="141">
        <v>103</v>
      </c>
      <c r="BU268" s="141"/>
      <c r="BV268" s="141">
        <v>0</v>
      </c>
      <c r="BW268" s="141">
        <v>56</v>
      </c>
      <c r="BX268" s="141"/>
      <c r="BY268" s="141">
        <v>3</v>
      </c>
      <c r="BZ268" s="141">
        <v>0</v>
      </c>
      <c r="CA268" s="141">
        <v>23570</v>
      </c>
      <c r="CB268" s="141">
        <v>15227</v>
      </c>
      <c r="CC268" s="141">
        <v>149127</v>
      </c>
      <c r="CD268" s="141">
        <v>231454</v>
      </c>
      <c r="CE268" s="141">
        <v>24964</v>
      </c>
      <c r="CF268" s="141">
        <v>45021</v>
      </c>
      <c r="CG268" s="141">
        <v>0</v>
      </c>
      <c r="CH268" s="141">
        <v>1</v>
      </c>
      <c r="CI268" s="141">
        <v>6</v>
      </c>
      <c r="CJ268" s="141">
        <v>20</v>
      </c>
      <c r="CK268" s="141"/>
      <c r="CL268" s="141"/>
      <c r="CM268" s="141"/>
      <c r="CN268" s="141"/>
      <c r="CO268" s="141"/>
      <c r="CP268" s="141"/>
      <c r="CQ268" s="141"/>
      <c r="CR268" s="141"/>
      <c r="CS268" s="141"/>
      <c r="CT268" s="141"/>
      <c r="CU268" s="141"/>
      <c r="CV268" s="141"/>
      <c r="CW268" s="141"/>
      <c r="CX268" s="141"/>
      <c r="CY268" s="141">
        <v>0</v>
      </c>
      <c r="CZ268" s="141">
        <v>0</v>
      </c>
      <c r="DA268" s="141">
        <v>0</v>
      </c>
      <c r="DB268" s="141">
        <v>22</v>
      </c>
      <c r="DC268" s="141">
        <v>0</v>
      </c>
      <c r="DD268" s="141">
        <v>54</v>
      </c>
      <c r="DE268">
        <f t="shared" si="77"/>
        <v>888736</v>
      </c>
      <c r="DG268" s="1">
        <f t="shared" si="90"/>
        <v>594571</v>
      </c>
      <c r="DH268" s="1">
        <f t="shared" si="78"/>
        <v>246861</v>
      </c>
      <c r="DI268" s="1">
        <f t="shared" si="76"/>
        <v>841432</v>
      </c>
      <c r="DK268" s="1">
        <f t="shared" si="79"/>
        <v>59404</v>
      </c>
      <c r="DL268" s="1">
        <f t="shared" si="80"/>
        <v>134599</v>
      </c>
      <c r="DM268" s="1">
        <f t="shared" si="81"/>
        <v>11107</v>
      </c>
      <c r="DN268" s="1">
        <f t="shared" si="82"/>
        <v>40687</v>
      </c>
      <c r="DO268" s="1">
        <f t="shared" si="83"/>
        <v>433641</v>
      </c>
      <c r="DP268" s="1">
        <f t="shared" si="84"/>
        <v>80537</v>
      </c>
      <c r="DQ268" s="1">
        <f t="shared" si="91"/>
        <v>0</v>
      </c>
      <c r="DR268" s="1">
        <f t="shared" si="85"/>
        <v>15300</v>
      </c>
      <c r="DS268" s="1">
        <f t="shared" si="86"/>
        <v>5522</v>
      </c>
      <c r="DT268" s="1">
        <f t="shared" si="87"/>
        <v>12256</v>
      </c>
      <c r="DU268" s="1"/>
      <c r="DV268" s="1"/>
      <c r="DW268" s="1"/>
      <c r="DX268" s="1">
        <f t="shared" si="92"/>
        <v>793053</v>
      </c>
      <c r="DZ268" s="1">
        <f t="shared" si="93"/>
        <v>45021</v>
      </c>
      <c r="EA268" s="1">
        <f t="shared" si="88"/>
        <v>55106</v>
      </c>
      <c r="EC268" s="1">
        <f t="shared" si="94"/>
        <v>893180</v>
      </c>
      <c r="ED268" s="1">
        <f t="shared" si="89"/>
        <v>4444</v>
      </c>
      <c r="EE268" s="1"/>
    </row>
    <row r="269" spans="1:135" x14ac:dyDescent="0.25">
      <c r="A269" s="140">
        <v>40391</v>
      </c>
      <c r="B269" s="141">
        <v>0</v>
      </c>
      <c r="C269" s="141">
        <v>0</v>
      </c>
      <c r="D269" s="141">
        <v>0</v>
      </c>
      <c r="E269" s="141">
        <v>0</v>
      </c>
      <c r="F269" s="141">
        <v>1196</v>
      </c>
      <c r="G269" s="141">
        <v>14319</v>
      </c>
      <c r="H269" s="141">
        <v>27338</v>
      </c>
      <c r="I269" s="141">
        <v>4261</v>
      </c>
      <c r="J269" s="141">
        <v>8196</v>
      </c>
      <c r="K269" s="141"/>
      <c r="L269" s="141">
        <v>27343</v>
      </c>
      <c r="M269" s="141">
        <v>1878</v>
      </c>
      <c r="N269" s="141"/>
      <c r="O269" s="141">
        <v>1618</v>
      </c>
      <c r="P269" s="141">
        <v>11286</v>
      </c>
      <c r="Q269" s="141">
        <v>362</v>
      </c>
      <c r="R269" s="141">
        <v>8634</v>
      </c>
      <c r="S269" s="141">
        <v>11107</v>
      </c>
      <c r="T269" s="141"/>
      <c r="U269" s="141"/>
      <c r="V269" s="141">
        <v>471</v>
      </c>
      <c r="W269" s="141">
        <v>7812</v>
      </c>
      <c r="X269" s="141">
        <v>331</v>
      </c>
      <c r="Y269" s="141">
        <v>5</v>
      </c>
      <c r="Z269" s="142"/>
      <c r="AA269" s="141">
        <v>4</v>
      </c>
      <c r="AB269" s="141">
        <v>164</v>
      </c>
      <c r="AC269" s="141">
        <v>26</v>
      </c>
      <c r="AD269" s="141">
        <v>30</v>
      </c>
      <c r="AE269" s="141">
        <v>43</v>
      </c>
      <c r="AF269" s="141">
        <v>89</v>
      </c>
      <c r="AG269" s="141"/>
      <c r="AH269" s="141"/>
      <c r="AI269" s="141">
        <v>7</v>
      </c>
      <c r="AJ269" s="141">
        <v>10048</v>
      </c>
      <c r="AK269" s="141">
        <v>105342</v>
      </c>
      <c r="AL269" s="141">
        <v>3091</v>
      </c>
      <c r="AM269" s="141">
        <v>18748</v>
      </c>
      <c r="AN269" s="141">
        <v>31</v>
      </c>
      <c r="AO269" s="141">
        <v>1</v>
      </c>
      <c r="AP269" s="141">
        <v>8376</v>
      </c>
      <c r="AQ269" s="141">
        <v>0</v>
      </c>
      <c r="AR269" s="141">
        <v>2861</v>
      </c>
      <c r="AS269" s="141">
        <v>25</v>
      </c>
      <c r="AT269" s="141">
        <v>5935</v>
      </c>
      <c r="AU269" s="141">
        <v>2335</v>
      </c>
      <c r="AV269" s="141">
        <v>4322</v>
      </c>
      <c r="AW269" s="141">
        <v>13473</v>
      </c>
      <c r="AX269" s="142"/>
      <c r="AY269" s="142"/>
      <c r="AZ269" s="142">
        <v>686</v>
      </c>
      <c r="BA269" s="142"/>
      <c r="BB269" s="141">
        <v>377</v>
      </c>
      <c r="BC269" s="141"/>
      <c r="BD269" s="141">
        <v>0</v>
      </c>
      <c r="BE269" s="141">
        <v>0</v>
      </c>
      <c r="BF269" s="141">
        <v>1180</v>
      </c>
      <c r="BG269" s="141">
        <v>0</v>
      </c>
      <c r="BH269" s="141">
        <v>0</v>
      </c>
      <c r="BI269" s="141">
        <v>8124</v>
      </c>
      <c r="BJ269" s="141">
        <v>29</v>
      </c>
      <c r="BK269" s="141">
        <v>2899</v>
      </c>
      <c r="BL269" s="141"/>
      <c r="BM269" s="141">
        <v>429</v>
      </c>
      <c r="BN269" s="141">
        <v>53</v>
      </c>
      <c r="BO269" s="141">
        <v>5522</v>
      </c>
      <c r="BP269" s="141">
        <v>74957</v>
      </c>
      <c r="BQ269" s="141">
        <v>473</v>
      </c>
      <c r="BR269" s="141">
        <v>142</v>
      </c>
      <c r="BS269" s="141">
        <v>7156</v>
      </c>
      <c r="BT269" s="141">
        <v>103</v>
      </c>
      <c r="BU269" s="141"/>
      <c r="BV269" s="141">
        <v>0</v>
      </c>
      <c r="BW269" s="141">
        <v>53</v>
      </c>
      <c r="BX269" s="141"/>
      <c r="BY269" s="141">
        <v>4</v>
      </c>
      <c r="BZ269" s="141">
        <v>0</v>
      </c>
      <c r="CA269" s="141">
        <v>23870</v>
      </c>
      <c r="CB269" s="141">
        <v>15300</v>
      </c>
      <c r="CC269" s="141">
        <v>150104</v>
      </c>
      <c r="CD269" s="141">
        <v>233748</v>
      </c>
      <c r="CE269" s="141">
        <v>25084</v>
      </c>
      <c r="CF269" s="141">
        <v>45310</v>
      </c>
      <c r="CG269" s="141">
        <v>0</v>
      </c>
      <c r="CH269" s="141">
        <v>0</v>
      </c>
      <c r="CI269" s="141">
        <v>6</v>
      </c>
      <c r="CJ269" s="141">
        <v>25</v>
      </c>
      <c r="CK269" s="141"/>
      <c r="CL269" s="141"/>
      <c r="CM269" s="141"/>
      <c r="CN269" s="141"/>
      <c r="CO269" s="141"/>
      <c r="CP269" s="141"/>
      <c r="CQ269" s="141"/>
      <c r="CR269" s="141"/>
      <c r="CS269" s="141"/>
      <c r="CT269" s="141"/>
      <c r="CU269" s="141"/>
      <c r="CV269" s="141"/>
      <c r="CW269" s="141"/>
      <c r="CX269" s="141"/>
      <c r="CY269" s="141">
        <v>0</v>
      </c>
      <c r="CZ269" s="141">
        <v>0</v>
      </c>
      <c r="DA269" s="141">
        <v>0</v>
      </c>
      <c r="DB269" s="141">
        <v>22</v>
      </c>
      <c r="DC269" s="141">
        <v>0</v>
      </c>
      <c r="DD269" s="141">
        <v>54</v>
      </c>
      <c r="DE269">
        <f t="shared" si="77"/>
        <v>896742</v>
      </c>
      <c r="DG269" s="1">
        <f t="shared" si="90"/>
        <v>596206</v>
      </c>
      <c r="DH269" s="1">
        <f t="shared" si="78"/>
        <v>247736</v>
      </c>
      <c r="DI269" s="1">
        <f t="shared" si="76"/>
        <v>843942</v>
      </c>
      <c r="DK269" s="1">
        <f t="shared" si="79"/>
        <v>59342</v>
      </c>
      <c r="DL269" s="1">
        <f t="shared" si="80"/>
        <v>135663</v>
      </c>
      <c r="DM269" s="1">
        <f t="shared" si="81"/>
        <v>11099</v>
      </c>
      <c r="DN269" s="1">
        <f t="shared" si="82"/>
        <v>41114</v>
      </c>
      <c r="DO269" s="1">
        <f t="shared" si="83"/>
        <v>435040</v>
      </c>
      <c r="DP269" s="1">
        <f t="shared" si="84"/>
        <v>82542</v>
      </c>
      <c r="DQ269" s="1">
        <f t="shared" si="91"/>
        <v>0</v>
      </c>
      <c r="DR269" s="1">
        <f t="shared" si="85"/>
        <v>14577</v>
      </c>
      <c r="DS269" s="1">
        <f t="shared" si="86"/>
        <v>5649</v>
      </c>
      <c r="DT269" s="1">
        <f t="shared" si="87"/>
        <v>12225</v>
      </c>
      <c r="DU269" s="1"/>
      <c r="DV269" s="1"/>
      <c r="DW269" s="1"/>
      <c r="DX269" s="1">
        <f t="shared" si="92"/>
        <v>797251</v>
      </c>
      <c r="DZ269" s="1">
        <f t="shared" si="93"/>
        <v>45310</v>
      </c>
      <c r="EA269" s="1">
        <f t="shared" si="88"/>
        <v>55310</v>
      </c>
      <c r="EC269" s="1">
        <f t="shared" si="94"/>
        <v>897871</v>
      </c>
      <c r="ED269" s="1">
        <f t="shared" si="89"/>
        <v>1129</v>
      </c>
      <c r="EE269" s="1"/>
    </row>
    <row r="270" spans="1:135" x14ac:dyDescent="0.25">
      <c r="A270" s="140">
        <v>40422</v>
      </c>
      <c r="B270" s="141">
        <v>0</v>
      </c>
      <c r="C270" s="141">
        <v>0</v>
      </c>
      <c r="D270" s="141">
        <v>0</v>
      </c>
      <c r="E270" s="141">
        <v>0</v>
      </c>
      <c r="F270" s="141">
        <v>1257</v>
      </c>
      <c r="G270" s="141">
        <v>14594</v>
      </c>
      <c r="H270" s="141">
        <v>27768</v>
      </c>
      <c r="I270" s="141">
        <v>4322</v>
      </c>
      <c r="J270" s="141">
        <v>8228</v>
      </c>
      <c r="K270" s="141"/>
      <c r="L270" s="141">
        <v>27267</v>
      </c>
      <c r="M270" s="141">
        <v>1864</v>
      </c>
      <c r="N270" s="141"/>
      <c r="O270" s="141">
        <v>1623</v>
      </c>
      <c r="P270" s="141">
        <v>11329</v>
      </c>
      <c r="Q270" s="141">
        <v>358</v>
      </c>
      <c r="R270" s="141">
        <v>8616</v>
      </c>
      <c r="S270" s="141">
        <v>11099</v>
      </c>
      <c r="T270" s="141"/>
      <c r="U270" s="141"/>
      <c r="V270" s="141">
        <v>478</v>
      </c>
      <c r="W270" s="141">
        <v>7807</v>
      </c>
      <c r="X270" s="141">
        <v>331</v>
      </c>
      <c r="Y270" s="141">
        <v>6</v>
      </c>
      <c r="Z270" s="142"/>
      <c r="AA270" s="141">
        <v>3</v>
      </c>
      <c r="AB270" s="141">
        <v>172</v>
      </c>
      <c r="AC270" s="141">
        <v>26</v>
      </c>
      <c r="AD270" s="141">
        <v>30</v>
      </c>
      <c r="AE270" s="141">
        <v>42</v>
      </c>
      <c r="AF270" s="141">
        <v>88</v>
      </c>
      <c r="AG270" s="141"/>
      <c r="AH270" s="141"/>
      <c r="AI270" s="141">
        <v>7</v>
      </c>
      <c r="AJ270" s="141">
        <v>10068</v>
      </c>
      <c r="AK270" s="141">
        <v>105797</v>
      </c>
      <c r="AL270" s="141">
        <v>3090</v>
      </c>
      <c r="AM270" s="141">
        <v>18804</v>
      </c>
      <c r="AN270" s="141">
        <v>24</v>
      </c>
      <c r="AO270" s="141">
        <v>2</v>
      </c>
      <c r="AP270" s="141">
        <v>8628</v>
      </c>
      <c r="AQ270" s="141">
        <v>0</v>
      </c>
      <c r="AR270" s="141">
        <v>2866</v>
      </c>
      <c r="AS270" s="141">
        <v>26</v>
      </c>
      <c r="AT270" s="141">
        <v>5999</v>
      </c>
      <c r="AU270" s="141">
        <v>2331</v>
      </c>
      <c r="AV270" s="141">
        <v>4329</v>
      </c>
      <c r="AW270" s="141">
        <v>13592</v>
      </c>
      <c r="AX270" s="142"/>
      <c r="AY270" s="142"/>
      <c r="AZ270" s="142">
        <v>677</v>
      </c>
      <c r="BA270" s="142"/>
      <c r="BB270" s="141">
        <v>357</v>
      </c>
      <c r="BC270" s="141"/>
      <c r="BD270" s="141">
        <v>0</v>
      </c>
      <c r="BE270" s="141">
        <v>0</v>
      </c>
      <c r="BF270" s="141">
        <v>1182</v>
      </c>
      <c r="BG270" s="141">
        <v>0</v>
      </c>
      <c r="BH270" s="141">
        <v>0</v>
      </c>
      <c r="BI270" s="141">
        <v>8111</v>
      </c>
      <c r="BJ270" s="141">
        <v>26</v>
      </c>
      <c r="BK270" s="141">
        <v>2882</v>
      </c>
      <c r="BL270" s="141"/>
      <c r="BM270" s="141">
        <v>439</v>
      </c>
      <c r="BN270" s="141">
        <v>53</v>
      </c>
      <c r="BO270" s="141">
        <v>5649</v>
      </c>
      <c r="BP270" s="141">
        <v>75619</v>
      </c>
      <c r="BQ270" s="141">
        <v>471</v>
      </c>
      <c r="BR270" s="141">
        <v>145</v>
      </c>
      <c r="BS270" s="141">
        <v>7206</v>
      </c>
      <c r="BT270" s="141">
        <v>102</v>
      </c>
      <c r="BU270" s="141"/>
      <c r="BV270" s="141">
        <v>0</v>
      </c>
      <c r="BW270" s="141">
        <v>50</v>
      </c>
      <c r="BX270" s="141"/>
      <c r="BY270" s="141">
        <v>4</v>
      </c>
      <c r="BZ270" s="141">
        <v>0</v>
      </c>
      <c r="CA270" s="141">
        <v>23997</v>
      </c>
      <c r="CB270" s="141">
        <v>14577</v>
      </c>
      <c r="CC270" s="141">
        <v>150500</v>
      </c>
      <c r="CD270" s="141">
        <v>234836</v>
      </c>
      <c r="CE270" s="141">
        <v>24876</v>
      </c>
      <c r="CF270" s="141">
        <v>45451</v>
      </c>
      <c r="CG270" s="141">
        <v>0</v>
      </c>
      <c r="CH270" s="141">
        <v>0</v>
      </c>
      <c r="CI270" s="141">
        <v>6</v>
      </c>
      <c r="CJ270" s="141">
        <v>24</v>
      </c>
      <c r="CK270" s="141"/>
      <c r="CL270" s="141"/>
      <c r="CM270" s="141"/>
      <c r="CN270" s="141"/>
      <c r="CO270" s="141"/>
      <c r="CP270" s="141"/>
      <c r="CQ270" s="141"/>
      <c r="CR270" s="141"/>
      <c r="CS270" s="141"/>
      <c r="CT270" s="141"/>
      <c r="CU270" s="141"/>
      <c r="CV270" s="141"/>
      <c r="CW270" s="141"/>
      <c r="CX270" s="141"/>
      <c r="CY270" s="141">
        <v>0</v>
      </c>
      <c r="CZ270" s="141">
        <v>0</v>
      </c>
      <c r="DA270" s="141">
        <v>0</v>
      </c>
      <c r="DB270" s="141">
        <v>22</v>
      </c>
      <c r="DC270" s="141">
        <v>0</v>
      </c>
      <c r="DD270" s="141">
        <v>53</v>
      </c>
      <c r="DE270">
        <f t="shared" si="77"/>
        <v>900111</v>
      </c>
      <c r="DG270" s="1">
        <f t="shared" si="90"/>
        <v>599830</v>
      </c>
      <c r="DH270" s="1">
        <f t="shared" si="78"/>
        <v>249134</v>
      </c>
      <c r="DI270" s="1">
        <f t="shared" si="76"/>
        <v>848964</v>
      </c>
      <c r="DK270" s="1">
        <f t="shared" si="79"/>
        <v>59512</v>
      </c>
      <c r="DL270" s="1">
        <f t="shared" si="80"/>
        <v>136181</v>
      </c>
      <c r="DM270" s="1">
        <f t="shared" si="81"/>
        <v>11067</v>
      </c>
      <c r="DN270" s="1">
        <f t="shared" si="82"/>
        <v>41548</v>
      </c>
      <c r="DO270" s="1">
        <f t="shared" si="83"/>
        <v>436788</v>
      </c>
      <c r="DP270" s="1">
        <f t="shared" si="84"/>
        <v>83264</v>
      </c>
      <c r="DQ270" s="1">
        <f t="shared" si="91"/>
        <v>0</v>
      </c>
      <c r="DR270" s="1">
        <f t="shared" si="85"/>
        <v>14596</v>
      </c>
      <c r="DS270" s="1">
        <f t="shared" si="86"/>
        <v>5790</v>
      </c>
      <c r="DT270" s="1">
        <f t="shared" si="87"/>
        <v>12219</v>
      </c>
      <c r="DU270" s="1"/>
      <c r="DV270" s="1"/>
      <c r="DW270" s="1"/>
      <c r="DX270" s="1">
        <f t="shared" si="92"/>
        <v>800965</v>
      </c>
      <c r="DZ270" s="1">
        <f t="shared" si="93"/>
        <v>45451</v>
      </c>
      <c r="EA270" s="1">
        <f t="shared" ref="EA270:EA281" si="95">SUM(F270:K270,N270,CS270:CT270)</f>
        <v>56169</v>
      </c>
      <c r="EC270" s="1">
        <f t="shared" si="94"/>
        <v>902585</v>
      </c>
      <c r="ED270" s="1">
        <f t="shared" si="89"/>
        <v>2474</v>
      </c>
      <c r="EE270" s="1"/>
    </row>
    <row r="271" spans="1:135" x14ac:dyDescent="0.25">
      <c r="A271" s="140">
        <v>40452</v>
      </c>
      <c r="B271" s="141">
        <v>0</v>
      </c>
      <c r="C271" s="141">
        <v>0</v>
      </c>
      <c r="D271" s="141">
        <v>0</v>
      </c>
      <c r="E271" s="141">
        <v>0</v>
      </c>
      <c r="F271" s="141">
        <v>1264</v>
      </c>
      <c r="G271" s="141">
        <v>14679</v>
      </c>
      <c r="H271" s="141">
        <v>27972</v>
      </c>
      <c r="I271" s="141">
        <v>4373</v>
      </c>
      <c r="J271" s="141">
        <v>8201</v>
      </c>
      <c r="K271" s="141"/>
      <c r="L271" s="141">
        <v>27221</v>
      </c>
      <c r="M271" s="141">
        <v>1856</v>
      </c>
      <c r="N271" s="141"/>
      <c r="O271" s="141">
        <v>1648</v>
      </c>
      <c r="P271" s="141">
        <v>11456</v>
      </c>
      <c r="Q271" s="141">
        <v>361</v>
      </c>
      <c r="R271" s="141">
        <v>8644</v>
      </c>
      <c r="S271" s="141">
        <v>11067</v>
      </c>
      <c r="T271" s="141"/>
      <c r="U271" s="141"/>
      <c r="V271" s="141">
        <v>475</v>
      </c>
      <c r="W271" s="141">
        <v>7851</v>
      </c>
      <c r="X271" s="141">
        <v>337</v>
      </c>
      <c r="Y271" s="141">
        <v>5</v>
      </c>
      <c r="Z271" s="142"/>
      <c r="AA271" s="141">
        <v>4</v>
      </c>
      <c r="AB271" s="141">
        <v>174</v>
      </c>
      <c r="AC271" s="141">
        <v>27</v>
      </c>
      <c r="AD271" s="141">
        <v>30</v>
      </c>
      <c r="AE271" s="141">
        <v>41</v>
      </c>
      <c r="AF271" s="141">
        <v>87</v>
      </c>
      <c r="AG271" s="141"/>
      <c r="AH271" s="141"/>
      <c r="AI271" s="141">
        <v>6</v>
      </c>
      <c r="AJ271" s="141">
        <v>10105</v>
      </c>
      <c r="AK271" s="141">
        <v>106472</v>
      </c>
      <c r="AL271" s="141">
        <v>3104</v>
      </c>
      <c r="AM271" s="141">
        <v>18902</v>
      </c>
      <c r="AN271" s="141">
        <v>26</v>
      </c>
      <c r="AO271" s="141">
        <v>4</v>
      </c>
      <c r="AP271" s="141">
        <v>8863</v>
      </c>
      <c r="AQ271" s="141">
        <v>0</v>
      </c>
      <c r="AR271" s="141">
        <v>2837</v>
      </c>
      <c r="AS271" s="141">
        <v>27</v>
      </c>
      <c r="AT271" s="141">
        <v>6084</v>
      </c>
      <c r="AU271" s="141">
        <v>2330</v>
      </c>
      <c r="AV271" s="141">
        <v>4355</v>
      </c>
      <c r="AW271" s="141">
        <v>13692</v>
      </c>
      <c r="AX271" s="142"/>
      <c r="AY271" s="142"/>
      <c r="AZ271" s="142">
        <v>690</v>
      </c>
      <c r="BA271" s="142"/>
      <c r="BB271" s="141">
        <v>353</v>
      </c>
      <c r="BC271" s="141"/>
      <c r="BD271" s="141">
        <v>0</v>
      </c>
      <c r="BE271" s="141">
        <v>0</v>
      </c>
      <c r="BF271" s="141">
        <v>1188</v>
      </c>
      <c r="BG271" s="141">
        <v>0</v>
      </c>
      <c r="BH271" s="141">
        <v>0</v>
      </c>
      <c r="BI271" s="141">
        <v>8108</v>
      </c>
      <c r="BJ271" s="141">
        <v>24</v>
      </c>
      <c r="BK271" s="141">
        <v>2874</v>
      </c>
      <c r="BL271" s="141"/>
      <c r="BM271" s="141">
        <v>458</v>
      </c>
      <c r="BN271" s="141">
        <v>52</v>
      </c>
      <c r="BO271" s="141">
        <v>5790</v>
      </c>
      <c r="BP271" s="141">
        <v>76438</v>
      </c>
      <c r="BQ271" s="141">
        <v>521</v>
      </c>
      <c r="BR271" s="141">
        <v>139</v>
      </c>
      <c r="BS271" s="141">
        <v>7250</v>
      </c>
      <c r="BT271" s="141">
        <v>94</v>
      </c>
      <c r="BU271" s="141"/>
      <c r="BV271" s="141">
        <v>0</v>
      </c>
      <c r="BW271" s="141">
        <v>49</v>
      </c>
      <c r="BX271" s="141"/>
      <c r="BY271" s="141">
        <v>2</v>
      </c>
      <c r="BZ271" s="141">
        <v>0</v>
      </c>
      <c r="CA271" s="141">
        <v>24198</v>
      </c>
      <c r="CB271" s="141">
        <v>14595</v>
      </c>
      <c r="CC271" s="141">
        <v>151182</v>
      </c>
      <c r="CD271" s="141">
        <v>235727</v>
      </c>
      <c r="CE271" s="141">
        <v>24826</v>
      </c>
      <c r="CF271" s="141">
        <v>46291</v>
      </c>
      <c r="CG271" s="141">
        <v>0</v>
      </c>
      <c r="CH271" s="141">
        <v>1</v>
      </c>
      <c r="CI271" s="141">
        <v>6</v>
      </c>
      <c r="CJ271" s="141">
        <v>17</v>
      </c>
      <c r="CK271" s="141"/>
      <c r="CL271" s="141"/>
      <c r="CM271" s="141"/>
      <c r="CN271" s="141"/>
      <c r="CO271" s="141"/>
      <c r="CP271" s="141"/>
      <c r="CQ271" s="141"/>
      <c r="CR271" s="141"/>
      <c r="CS271" s="141"/>
      <c r="CT271" s="141"/>
      <c r="CU271" s="141"/>
      <c r="CV271" s="141"/>
      <c r="CW271" s="141"/>
      <c r="CX271" s="141"/>
      <c r="CY271" s="141">
        <v>0</v>
      </c>
      <c r="CZ271" s="141">
        <v>0</v>
      </c>
      <c r="DA271" s="141">
        <v>0</v>
      </c>
      <c r="DB271" s="141">
        <v>22</v>
      </c>
      <c r="DC271" s="141">
        <v>0</v>
      </c>
      <c r="DD271" s="141">
        <v>52</v>
      </c>
      <c r="DE271">
        <f t="shared" si="77"/>
        <v>905453</v>
      </c>
      <c r="DG271" s="1">
        <f t="shared" si="90"/>
        <v>602977</v>
      </c>
      <c r="DH271" s="1">
        <f t="shared" si="78"/>
        <v>250048</v>
      </c>
      <c r="DI271" s="1">
        <f t="shared" si="76"/>
        <v>853025</v>
      </c>
      <c r="DK271" s="1">
        <f t="shared" si="79"/>
        <v>59492</v>
      </c>
      <c r="DL271" s="1">
        <f t="shared" si="80"/>
        <v>137007</v>
      </c>
      <c r="DM271" s="1">
        <f t="shared" si="81"/>
        <v>11130</v>
      </c>
      <c r="DN271" s="1">
        <f t="shared" si="82"/>
        <v>41983</v>
      </c>
      <c r="DO271" s="1">
        <f t="shared" si="83"/>
        <v>438772</v>
      </c>
      <c r="DP271" s="1">
        <f t="shared" si="84"/>
        <v>84146</v>
      </c>
      <c r="DQ271" s="1">
        <f t="shared" si="91"/>
        <v>0</v>
      </c>
      <c r="DR271" s="1">
        <f t="shared" si="85"/>
        <v>14405</v>
      </c>
      <c r="DS271" s="1">
        <f t="shared" si="86"/>
        <v>5850</v>
      </c>
      <c r="DT271" s="1">
        <f t="shared" si="87"/>
        <v>12214</v>
      </c>
      <c r="DU271" s="1"/>
      <c r="DV271" s="1"/>
      <c r="DW271" s="1"/>
      <c r="DX271" s="1">
        <f t="shared" si="92"/>
        <v>804999</v>
      </c>
      <c r="DZ271" s="1">
        <f t="shared" si="93"/>
        <v>46291</v>
      </c>
      <c r="EA271" s="1">
        <f t="shared" si="95"/>
        <v>56489</v>
      </c>
      <c r="EC271" s="1">
        <f t="shared" si="94"/>
        <v>907779</v>
      </c>
      <c r="ED271" s="1">
        <f t="shared" si="89"/>
        <v>2326</v>
      </c>
      <c r="EE271" s="1"/>
    </row>
    <row r="272" spans="1:135" x14ac:dyDescent="0.25">
      <c r="A272" s="140">
        <v>40483</v>
      </c>
      <c r="B272" s="141">
        <v>0</v>
      </c>
      <c r="C272" s="141">
        <v>0</v>
      </c>
      <c r="D272" s="141">
        <v>0</v>
      </c>
      <c r="E272" s="141">
        <v>0</v>
      </c>
      <c r="F272" s="141">
        <v>1289</v>
      </c>
      <c r="G272" s="141">
        <v>15093</v>
      </c>
      <c r="H272" s="141">
        <v>28414</v>
      </c>
      <c r="I272" s="141">
        <v>4547</v>
      </c>
      <c r="J272" s="141">
        <v>8378</v>
      </c>
      <c r="K272" s="141"/>
      <c r="L272" s="141">
        <v>27137</v>
      </c>
      <c r="M272" s="141">
        <v>1852</v>
      </c>
      <c r="N272" s="141"/>
      <c r="O272" s="141">
        <v>1654</v>
      </c>
      <c r="P272" s="141">
        <v>11489</v>
      </c>
      <c r="Q272" s="141">
        <v>356</v>
      </c>
      <c r="R272" s="141">
        <v>8619</v>
      </c>
      <c r="S272" s="141">
        <v>11130</v>
      </c>
      <c r="T272" s="141"/>
      <c r="U272" s="141"/>
      <c r="V272" s="141">
        <v>483</v>
      </c>
      <c r="W272" s="141">
        <v>7902</v>
      </c>
      <c r="X272" s="141">
        <v>341</v>
      </c>
      <c r="Y272" s="141">
        <v>5</v>
      </c>
      <c r="Z272" s="142"/>
      <c r="AA272" s="141">
        <v>4</v>
      </c>
      <c r="AB272" s="141">
        <v>174</v>
      </c>
      <c r="AC272" s="141">
        <v>27</v>
      </c>
      <c r="AD272" s="141">
        <v>33</v>
      </c>
      <c r="AE272" s="141">
        <v>40</v>
      </c>
      <c r="AF272" s="141">
        <v>87</v>
      </c>
      <c r="AG272" s="141"/>
      <c r="AH272" s="141"/>
      <c r="AI272" s="141">
        <v>6</v>
      </c>
      <c r="AJ272" s="141">
        <v>10215</v>
      </c>
      <c r="AK272" s="141">
        <v>106756</v>
      </c>
      <c r="AL272" s="141">
        <v>3119</v>
      </c>
      <c r="AM272" s="141">
        <v>19039</v>
      </c>
      <c r="AN272" s="141">
        <v>24</v>
      </c>
      <c r="AO272" s="141">
        <v>2</v>
      </c>
      <c r="AP272" s="141">
        <v>9049</v>
      </c>
      <c r="AQ272" s="141">
        <v>0</v>
      </c>
      <c r="AR272" s="141">
        <v>2843</v>
      </c>
      <c r="AS272" s="141">
        <v>32</v>
      </c>
      <c r="AT272" s="141">
        <v>6093</v>
      </c>
      <c r="AU272" s="141">
        <v>2322</v>
      </c>
      <c r="AV272" s="141">
        <v>4370</v>
      </c>
      <c r="AW272" s="141">
        <v>13806</v>
      </c>
      <c r="AX272" s="142"/>
      <c r="AY272" s="142"/>
      <c r="AZ272" s="142">
        <v>692</v>
      </c>
      <c r="BA272" s="142"/>
      <c r="BB272" s="141">
        <v>347</v>
      </c>
      <c r="BC272" s="141"/>
      <c r="BD272" s="141">
        <v>0</v>
      </c>
      <c r="BE272" s="141">
        <v>0</v>
      </c>
      <c r="BF272" s="141">
        <v>1185</v>
      </c>
      <c r="BG272" s="141">
        <v>0</v>
      </c>
      <c r="BH272" s="141">
        <v>0</v>
      </c>
      <c r="BI272" s="141">
        <v>8155</v>
      </c>
      <c r="BJ272" s="141">
        <v>26</v>
      </c>
      <c r="BK272" s="141">
        <v>2827</v>
      </c>
      <c r="BL272" s="141"/>
      <c r="BM272" s="141">
        <v>472</v>
      </c>
      <c r="BN272" s="141">
        <v>55</v>
      </c>
      <c r="BO272" s="141">
        <v>5850</v>
      </c>
      <c r="BP272" s="141">
        <v>76927</v>
      </c>
      <c r="BQ272" s="141">
        <v>505</v>
      </c>
      <c r="BR272" s="141">
        <v>136</v>
      </c>
      <c r="BS272" s="141">
        <v>7267</v>
      </c>
      <c r="BT272" s="141">
        <v>92</v>
      </c>
      <c r="BU272" s="141"/>
      <c r="BV272" s="141">
        <v>0</v>
      </c>
      <c r="BW272" s="141">
        <v>47</v>
      </c>
      <c r="BX272" s="141"/>
      <c r="BY272" s="141">
        <v>4</v>
      </c>
      <c r="BZ272" s="141">
        <v>0</v>
      </c>
      <c r="CA272" s="141">
        <v>24337</v>
      </c>
      <c r="CB272" s="141">
        <v>14404</v>
      </c>
      <c r="CC272" s="141">
        <v>151671</v>
      </c>
      <c r="CD272" s="141">
        <v>237044</v>
      </c>
      <c r="CE272" s="141">
        <v>24879</v>
      </c>
      <c r="CF272" s="141">
        <v>47070</v>
      </c>
      <c r="CG272" s="141">
        <v>0</v>
      </c>
      <c r="CH272" s="141">
        <v>1</v>
      </c>
      <c r="CI272" s="141">
        <v>6</v>
      </c>
      <c r="CJ272" s="141">
        <v>17</v>
      </c>
      <c r="CK272" s="141"/>
      <c r="CL272" s="141"/>
      <c r="CM272" s="141"/>
      <c r="CN272" s="141"/>
      <c r="CO272" s="141"/>
      <c r="CP272" s="141"/>
      <c r="CQ272" s="141"/>
      <c r="CR272" s="141"/>
      <c r="CS272" s="141"/>
      <c r="CT272" s="141"/>
      <c r="CU272" s="141"/>
      <c r="CV272" s="141"/>
      <c r="CW272" s="141"/>
      <c r="CX272" s="141"/>
      <c r="CY272" s="141">
        <v>0</v>
      </c>
      <c r="CZ272" s="141">
        <v>0</v>
      </c>
      <c r="DA272" s="141">
        <v>0</v>
      </c>
      <c r="DB272" s="141">
        <v>22</v>
      </c>
      <c r="DC272" s="141">
        <v>0</v>
      </c>
      <c r="DD272" s="141">
        <v>52</v>
      </c>
      <c r="DE272">
        <f t="shared" si="77"/>
        <v>910746</v>
      </c>
      <c r="DG272" s="1">
        <f t="shared" si="90"/>
        <v>604492</v>
      </c>
      <c r="DH272" s="1">
        <f t="shared" si="78"/>
        <v>251103</v>
      </c>
      <c r="DI272" s="1">
        <f t="shared" si="76"/>
        <v>855595</v>
      </c>
      <c r="DK272" s="1">
        <f t="shared" si="79"/>
        <v>59513</v>
      </c>
      <c r="DL272" s="1">
        <f t="shared" si="80"/>
        <v>137443</v>
      </c>
      <c r="DM272" s="1">
        <f t="shared" si="81"/>
        <v>11158</v>
      </c>
      <c r="DN272" s="1">
        <f t="shared" si="82"/>
        <v>42415</v>
      </c>
      <c r="DO272" s="1">
        <f t="shared" si="83"/>
        <v>440120</v>
      </c>
      <c r="DP272" s="1">
        <f t="shared" si="84"/>
        <v>84666</v>
      </c>
      <c r="DQ272" s="1">
        <f t="shared" si="91"/>
        <v>0</v>
      </c>
      <c r="DR272" s="1">
        <f t="shared" si="85"/>
        <v>14150</v>
      </c>
      <c r="DS272" s="1">
        <f t="shared" si="86"/>
        <v>5984</v>
      </c>
      <c r="DT272" s="1">
        <f t="shared" si="87"/>
        <v>12183</v>
      </c>
      <c r="DU272" s="1"/>
      <c r="DV272" s="1"/>
      <c r="DW272" s="1"/>
      <c r="DX272" s="1">
        <f t="shared" si="92"/>
        <v>807632</v>
      </c>
      <c r="DZ272" s="1">
        <f t="shared" si="93"/>
        <v>47070</v>
      </c>
      <c r="EA272" s="1">
        <f t="shared" si="95"/>
        <v>57721</v>
      </c>
      <c r="EC272" s="1">
        <f t="shared" si="94"/>
        <v>912423</v>
      </c>
      <c r="ED272" s="1">
        <f t="shared" si="89"/>
        <v>1677</v>
      </c>
      <c r="EE272" s="1"/>
    </row>
    <row r="273" spans="1:135" x14ac:dyDescent="0.25">
      <c r="A273" s="140">
        <v>40513</v>
      </c>
      <c r="B273" s="141">
        <v>0</v>
      </c>
      <c r="C273" s="141">
        <v>0</v>
      </c>
      <c r="D273" s="141">
        <v>0</v>
      </c>
      <c r="E273" s="141">
        <v>0</v>
      </c>
      <c r="F273" s="141">
        <v>1292</v>
      </c>
      <c r="G273" s="141">
        <v>15308</v>
      </c>
      <c r="H273" s="141">
        <v>28878</v>
      </c>
      <c r="I273" s="141">
        <v>4622</v>
      </c>
      <c r="J273" s="141">
        <v>8500</v>
      </c>
      <c r="K273" s="141"/>
      <c r="L273" s="141">
        <v>27068</v>
      </c>
      <c r="M273" s="141">
        <v>1827</v>
      </c>
      <c r="N273" s="141"/>
      <c r="O273" s="141">
        <v>1644</v>
      </c>
      <c r="P273" s="141">
        <v>11562</v>
      </c>
      <c r="Q273" s="141">
        <v>354</v>
      </c>
      <c r="R273" s="141">
        <v>8611</v>
      </c>
      <c r="S273" s="141">
        <v>11158</v>
      </c>
      <c r="T273" s="141"/>
      <c r="U273" s="141"/>
      <c r="V273" s="141">
        <v>495</v>
      </c>
      <c r="W273" s="141">
        <v>7952</v>
      </c>
      <c r="X273" s="141">
        <v>337</v>
      </c>
      <c r="Y273" s="141">
        <v>6</v>
      </c>
      <c r="Z273" s="142"/>
      <c r="AA273" s="141">
        <v>4</v>
      </c>
      <c r="AB273" s="141">
        <v>181</v>
      </c>
      <c r="AC273" s="141">
        <v>26</v>
      </c>
      <c r="AD273" s="141">
        <v>33</v>
      </c>
      <c r="AE273" s="141">
        <v>39</v>
      </c>
      <c r="AF273" s="141">
        <v>91</v>
      </c>
      <c r="AG273" s="141"/>
      <c r="AH273" s="141"/>
      <c r="AI273" s="141">
        <v>7</v>
      </c>
      <c r="AJ273" s="141">
        <v>10246</v>
      </c>
      <c r="AK273" s="141">
        <v>107220</v>
      </c>
      <c r="AL273" s="141">
        <v>3111</v>
      </c>
      <c r="AM273" s="141">
        <v>19233</v>
      </c>
      <c r="AN273" s="141">
        <v>24</v>
      </c>
      <c r="AO273" s="141">
        <v>3</v>
      </c>
      <c r="AP273" s="141">
        <v>9213</v>
      </c>
      <c r="AQ273" s="141">
        <v>0</v>
      </c>
      <c r="AR273" s="141">
        <v>2826</v>
      </c>
      <c r="AS273" s="141">
        <v>33</v>
      </c>
      <c r="AT273" s="141">
        <v>6169</v>
      </c>
      <c r="AU273" s="141">
        <v>2329</v>
      </c>
      <c r="AV273" s="141">
        <v>4368</v>
      </c>
      <c r="AW273" s="141">
        <v>13875</v>
      </c>
      <c r="AX273" s="142"/>
      <c r="AY273" s="142"/>
      <c r="AZ273" s="142">
        <v>720</v>
      </c>
      <c r="BA273" s="142"/>
      <c r="BB273" s="141">
        <v>338</v>
      </c>
      <c r="BC273" s="141"/>
      <c r="BD273" s="141">
        <v>0</v>
      </c>
      <c r="BE273" s="141">
        <v>0</v>
      </c>
      <c r="BF273" s="141">
        <v>1186</v>
      </c>
      <c r="BG273" s="141">
        <v>0</v>
      </c>
      <c r="BH273" s="141">
        <v>0</v>
      </c>
      <c r="BI273" s="141">
        <v>8161</v>
      </c>
      <c r="BJ273" s="141">
        <v>21</v>
      </c>
      <c r="BK273" s="141">
        <v>2785</v>
      </c>
      <c r="BL273" s="141"/>
      <c r="BM273" s="141">
        <v>500</v>
      </c>
      <c r="BN273" s="141">
        <v>48</v>
      </c>
      <c r="BO273" s="141">
        <v>5984</v>
      </c>
      <c r="BP273" s="141">
        <v>76897</v>
      </c>
      <c r="BQ273" s="141">
        <v>534</v>
      </c>
      <c r="BR273" s="141">
        <v>130</v>
      </c>
      <c r="BS273" s="141">
        <v>7267</v>
      </c>
      <c r="BT273" s="141">
        <v>92</v>
      </c>
      <c r="BU273" s="141"/>
      <c r="BV273" s="141">
        <v>0</v>
      </c>
      <c r="BW273" s="141">
        <v>51</v>
      </c>
      <c r="BX273" s="141"/>
      <c r="BY273" s="141">
        <v>3</v>
      </c>
      <c r="BZ273" s="141">
        <v>0</v>
      </c>
      <c r="CA273" s="141">
        <v>24471</v>
      </c>
      <c r="CB273" s="141">
        <v>14149</v>
      </c>
      <c r="CC273" s="141">
        <v>151925</v>
      </c>
      <c r="CD273" s="141">
        <v>238194</v>
      </c>
      <c r="CE273" s="141">
        <v>24677</v>
      </c>
      <c r="CF273" s="141">
        <v>47391</v>
      </c>
      <c r="CG273" s="141">
        <v>0</v>
      </c>
      <c r="CH273" s="141">
        <v>1</v>
      </c>
      <c r="CI273" s="141">
        <v>7</v>
      </c>
      <c r="CJ273" s="141">
        <v>18</v>
      </c>
      <c r="CK273" s="141"/>
      <c r="CL273" s="141"/>
      <c r="CM273" s="141"/>
      <c r="CN273" s="141"/>
      <c r="CO273" s="141"/>
      <c r="CP273" s="141"/>
      <c r="CQ273" s="141"/>
      <c r="CR273" s="141"/>
      <c r="CS273" s="141"/>
      <c r="CT273" s="141"/>
      <c r="CU273" s="141"/>
      <c r="CV273" s="141"/>
      <c r="CW273" s="141"/>
      <c r="CX273" s="141"/>
      <c r="CY273" s="141">
        <v>0</v>
      </c>
      <c r="CZ273" s="141">
        <v>0</v>
      </c>
      <c r="DA273" s="141">
        <v>0</v>
      </c>
      <c r="DB273" s="141">
        <v>22</v>
      </c>
      <c r="DC273" s="141">
        <v>0</v>
      </c>
      <c r="DD273" s="141">
        <v>52</v>
      </c>
      <c r="DE273">
        <f t="shared" si="77"/>
        <v>914195</v>
      </c>
      <c r="DG273" s="1">
        <f t="shared" si="90"/>
        <v>601359</v>
      </c>
      <c r="DH273" s="1">
        <f t="shared" si="78"/>
        <v>241989</v>
      </c>
      <c r="DI273" s="1">
        <f t="shared" si="76"/>
        <v>843348</v>
      </c>
      <c r="DK273" s="1">
        <f t="shared" si="79"/>
        <v>59297</v>
      </c>
      <c r="DL273" s="1">
        <f t="shared" si="80"/>
        <v>138017</v>
      </c>
      <c r="DM273" s="1">
        <f t="shared" si="81"/>
        <v>11133</v>
      </c>
      <c r="DN273" s="1">
        <f t="shared" si="82"/>
        <v>33193</v>
      </c>
      <c r="DO273" s="1">
        <f t="shared" si="83"/>
        <v>437685</v>
      </c>
      <c r="DP273" s="1">
        <f t="shared" si="84"/>
        <v>84664</v>
      </c>
      <c r="DQ273" s="1">
        <f t="shared" si="91"/>
        <v>0</v>
      </c>
      <c r="DR273" s="1">
        <f t="shared" si="85"/>
        <v>13932</v>
      </c>
      <c r="DS273" s="1">
        <f t="shared" si="86"/>
        <v>6066</v>
      </c>
      <c r="DT273" s="1">
        <f t="shared" si="87"/>
        <v>12116</v>
      </c>
      <c r="DU273" s="1"/>
      <c r="DV273" s="1"/>
      <c r="DW273" s="1"/>
      <c r="DX273" s="1">
        <f t="shared" si="92"/>
        <v>796103</v>
      </c>
      <c r="DZ273" s="1">
        <f t="shared" si="93"/>
        <v>47391</v>
      </c>
      <c r="EA273" s="1">
        <f t="shared" si="95"/>
        <v>58600</v>
      </c>
      <c r="EC273" s="1">
        <f t="shared" si="94"/>
        <v>902094</v>
      </c>
      <c r="ED273" s="1">
        <f t="shared" si="89"/>
        <v>-12101</v>
      </c>
      <c r="EE273" s="1"/>
    </row>
    <row r="274" spans="1:135" x14ac:dyDescent="0.25">
      <c r="A274" s="140">
        <v>40544</v>
      </c>
      <c r="B274" s="141">
        <v>0</v>
      </c>
      <c r="C274" s="141">
        <v>0</v>
      </c>
      <c r="D274" s="141">
        <v>0</v>
      </c>
      <c r="E274" s="141">
        <v>0</v>
      </c>
      <c r="F274" s="141">
        <v>1267</v>
      </c>
      <c r="G274" s="141">
        <v>15448</v>
      </c>
      <c r="H274" s="141">
        <v>28856</v>
      </c>
      <c r="I274" s="141">
        <v>4704</v>
      </c>
      <c r="J274" s="141">
        <v>8546</v>
      </c>
      <c r="K274" s="141"/>
      <c r="L274" s="141">
        <v>26921</v>
      </c>
      <c r="M274" s="141">
        <v>1821</v>
      </c>
      <c r="N274" s="141"/>
      <c r="O274" s="141">
        <v>1649</v>
      </c>
      <c r="P274" s="141">
        <v>11560</v>
      </c>
      <c r="Q274" s="141">
        <v>348</v>
      </c>
      <c r="R274" s="141">
        <v>8548</v>
      </c>
      <c r="S274" s="141">
        <v>11133</v>
      </c>
      <c r="T274" s="141"/>
      <c r="U274" s="141"/>
      <c r="V274" s="141">
        <v>490</v>
      </c>
      <c r="W274" s="141">
        <v>7960</v>
      </c>
      <c r="X274" s="141">
        <v>342</v>
      </c>
      <c r="Y274" s="141">
        <v>6</v>
      </c>
      <c r="Z274" s="142"/>
      <c r="AA274" s="141">
        <v>5</v>
      </c>
      <c r="AB274" s="141">
        <v>184</v>
      </c>
      <c r="AC274" s="141">
        <v>27</v>
      </c>
      <c r="AD274" s="141">
        <v>33</v>
      </c>
      <c r="AE274" s="141">
        <v>39</v>
      </c>
      <c r="AF274" s="141">
        <v>88</v>
      </c>
      <c r="AG274" s="141"/>
      <c r="AH274" s="141"/>
      <c r="AI274" s="141">
        <v>8</v>
      </c>
      <c r="AJ274" s="141">
        <v>10258</v>
      </c>
      <c r="AK274" s="141">
        <v>107505</v>
      </c>
      <c r="AL274" s="141">
        <v>3130</v>
      </c>
      <c r="AM274" s="141">
        <v>19218</v>
      </c>
      <c r="AN274" s="141">
        <v>30</v>
      </c>
      <c r="AO274" s="141">
        <v>3</v>
      </c>
      <c r="AP274" s="141">
        <v>0</v>
      </c>
      <c r="AQ274" s="141">
        <v>0</v>
      </c>
      <c r="AR274" s="141">
        <v>2779</v>
      </c>
      <c r="AS274" s="141">
        <v>34</v>
      </c>
      <c r="AT274" s="141">
        <v>6196</v>
      </c>
      <c r="AU274" s="141">
        <v>2349</v>
      </c>
      <c r="AV274" s="141">
        <v>4394</v>
      </c>
      <c r="AW274" s="141">
        <v>13884</v>
      </c>
      <c r="AX274" s="142"/>
      <c r="AY274" s="142"/>
      <c r="AZ274" s="142">
        <v>721</v>
      </c>
      <c r="BA274" s="142"/>
      <c r="BB274" s="141">
        <v>326</v>
      </c>
      <c r="BC274" s="141"/>
      <c r="BD274" s="141">
        <v>0</v>
      </c>
      <c r="BE274" s="141">
        <v>0</v>
      </c>
      <c r="BF274" s="141">
        <v>1179</v>
      </c>
      <c r="BG274" s="141">
        <v>0</v>
      </c>
      <c r="BH274" s="141">
        <v>0</v>
      </c>
      <c r="BI274" s="141">
        <v>8138</v>
      </c>
      <c r="BJ274" s="141">
        <v>22</v>
      </c>
      <c r="BK274" s="141">
        <v>2748</v>
      </c>
      <c r="BL274" s="141"/>
      <c r="BM274" s="141">
        <v>492</v>
      </c>
      <c r="BN274" s="141">
        <v>50</v>
      </c>
      <c r="BO274" s="141">
        <v>6066</v>
      </c>
      <c r="BP274" s="141">
        <v>76364</v>
      </c>
      <c r="BQ274" s="141">
        <v>522</v>
      </c>
      <c r="BR274" s="141">
        <v>127</v>
      </c>
      <c r="BS274" s="141">
        <v>7313</v>
      </c>
      <c r="BT274" s="141">
        <v>77</v>
      </c>
      <c r="BU274" s="141"/>
      <c r="BV274" s="141">
        <v>0</v>
      </c>
      <c r="BW274" s="141">
        <v>51</v>
      </c>
      <c r="BX274" s="141"/>
      <c r="BY274" s="141">
        <v>5</v>
      </c>
      <c r="BZ274" s="141">
        <v>0</v>
      </c>
      <c r="CA274" s="141">
        <v>24214</v>
      </c>
      <c r="CB274" s="141">
        <v>13932</v>
      </c>
      <c r="CC274" s="141">
        <v>150953</v>
      </c>
      <c r="CD274" s="141">
        <v>237224</v>
      </c>
      <c r="CE274" s="141">
        <v>24467</v>
      </c>
      <c r="CF274" s="141">
        <v>47391</v>
      </c>
      <c r="CG274" s="141">
        <v>0</v>
      </c>
      <c r="CH274" s="141">
        <v>0</v>
      </c>
      <c r="CI274" s="141">
        <v>7</v>
      </c>
      <c r="CJ274" s="141">
        <v>17</v>
      </c>
      <c r="CK274" s="141"/>
      <c r="CL274" s="141"/>
      <c r="CM274" s="141"/>
      <c r="CN274" s="141"/>
      <c r="CO274" s="141"/>
      <c r="CP274" s="141"/>
      <c r="CQ274" s="141"/>
      <c r="CR274" s="141"/>
      <c r="CS274" s="141"/>
      <c r="CT274" s="141"/>
      <c r="CU274" s="141"/>
      <c r="CV274" s="141"/>
      <c r="CW274" s="141"/>
      <c r="CX274" s="141"/>
      <c r="CY274" s="141">
        <v>0</v>
      </c>
      <c r="CZ274" s="141">
        <v>0</v>
      </c>
      <c r="DA274" s="141">
        <v>0</v>
      </c>
      <c r="DB274" s="141">
        <v>22</v>
      </c>
      <c r="DC274" s="141">
        <v>0</v>
      </c>
      <c r="DD274" s="141">
        <v>51</v>
      </c>
      <c r="DE274">
        <f t="shared" si="77"/>
        <v>902169</v>
      </c>
      <c r="DG274" s="1">
        <f t="shared" si="90"/>
        <v>604655</v>
      </c>
      <c r="DH274" s="1">
        <f t="shared" si="78"/>
        <v>249366</v>
      </c>
      <c r="DI274" s="1">
        <f t="shared" si="76"/>
        <v>854021</v>
      </c>
      <c r="DK274" s="1">
        <f t="shared" si="79"/>
        <v>59177</v>
      </c>
      <c r="DL274" s="1">
        <f t="shared" si="80"/>
        <v>138366</v>
      </c>
      <c r="DM274" s="1">
        <f t="shared" si="81"/>
        <v>11170</v>
      </c>
      <c r="DN274" s="1">
        <f t="shared" si="82"/>
        <v>40008</v>
      </c>
      <c r="DO274" s="1">
        <f t="shared" si="83"/>
        <v>439962</v>
      </c>
      <c r="DP274" s="1">
        <f t="shared" si="84"/>
        <v>84169</v>
      </c>
      <c r="DQ274" s="1">
        <f t="shared" si="91"/>
        <v>0</v>
      </c>
      <c r="DR274" s="1">
        <f t="shared" si="85"/>
        <v>14071</v>
      </c>
      <c r="DS274" s="1">
        <f t="shared" si="86"/>
        <v>6151</v>
      </c>
      <c r="DT274" s="1">
        <f t="shared" si="87"/>
        <v>12111</v>
      </c>
      <c r="DU274" s="1"/>
      <c r="DV274" s="1"/>
      <c r="DW274" s="1"/>
      <c r="DX274" s="1">
        <f t="shared" si="92"/>
        <v>805185</v>
      </c>
      <c r="DZ274" s="1">
        <f t="shared" si="93"/>
        <v>47391</v>
      </c>
      <c r="EA274" s="1">
        <f t="shared" si="95"/>
        <v>58821</v>
      </c>
      <c r="EC274" s="1">
        <f t="shared" si="94"/>
        <v>911397</v>
      </c>
      <c r="ED274" s="1">
        <f t="shared" si="89"/>
        <v>9228</v>
      </c>
      <c r="EE274" s="1"/>
    </row>
    <row r="275" spans="1:135" x14ac:dyDescent="0.25">
      <c r="A275" s="140">
        <v>40575</v>
      </c>
      <c r="B275" s="141">
        <v>0</v>
      </c>
      <c r="C275" s="141">
        <v>0</v>
      </c>
      <c r="D275" s="141">
        <v>0</v>
      </c>
      <c r="E275" s="141">
        <v>0</v>
      </c>
      <c r="F275" s="141">
        <v>1249</v>
      </c>
      <c r="G275" s="141">
        <v>15595</v>
      </c>
      <c r="H275" s="141">
        <v>28978</v>
      </c>
      <c r="I275" s="141">
        <v>4803</v>
      </c>
      <c r="J275" s="141">
        <v>8618</v>
      </c>
      <c r="K275" s="141"/>
      <c r="L275" s="141">
        <v>26834</v>
      </c>
      <c r="M275" s="141">
        <v>1790</v>
      </c>
      <c r="N275" s="141"/>
      <c r="O275" s="141">
        <v>1646</v>
      </c>
      <c r="P275" s="141">
        <v>11587</v>
      </c>
      <c r="Q275" s="141">
        <v>346</v>
      </c>
      <c r="R275" s="141">
        <v>8491</v>
      </c>
      <c r="S275" s="141">
        <v>11170</v>
      </c>
      <c r="T275" s="141"/>
      <c r="U275" s="141"/>
      <c r="V275" s="141">
        <v>492</v>
      </c>
      <c r="W275" s="141">
        <v>7991</v>
      </c>
      <c r="X275" s="141">
        <v>340</v>
      </c>
      <c r="Y275" s="141">
        <v>6</v>
      </c>
      <c r="Z275" s="142"/>
      <c r="AA275" s="141">
        <v>5</v>
      </c>
      <c r="AB275" s="141">
        <v>178</v>
      </c>
      <c r="AC275" s="141">
        <v>28</v>
      </c>
      <c r="AD275" s="141">
        <v>33</v>
      </c>
      <c r="AE275" s="141">
        <v>39</v>
      </c>
      <c r="AF275" s="141">
        <v>85</v>
      </c>
      <c r="AG275" s="141"/>
      <c r="AH275" s="141"/>
      <c r="AI275" s="141">
        <v>8</v>
      </c>
      <c r="AJ275" s="141">
        <v>10331</v>
      </c>
      <c r="AK275" s="141">
        <v>107973</v>
      </c>
      <c r="AL275" s="141">
        <v>3134</v>
      </c>
      <c r="AM275" s="141">
        <v>19402</v>
      </c>
      <c r="AN275" s="141">
        <v>31</v>
      </c>
      <c r="AO275" s="141">
        <v>5</v>
      </c>
      <c r="AP275" s="141">
        <v>6471</v>
      </c>
      <c r="AQ275" s="141">
        <v>0</v>
      </c>
      <c r="AR275" s="141">
        <v>2772</v>
      </c>
      <c r="AS275" s="141">
        <v>34</v>
      </c>
      <c r="AT275" s="141">
        <v>6252</v>
      </c>
      <c r="AU275" s="141">
        <v>2359</v>
      </c>
      <c r="AV275" s="141">
        <v>4426</v>
      </c>
      <c r="AW275" s="141">
        <v>14045</v>
      </c>
      <c r="AX275" s="142"/>
      <c r="AY275" s="142"/>
      <c r="AZ275" s="142">
        <v>732</v>
      </c>
      <c r="BA275" s="142"/>
      <c r="BB275" s="141">
        <v>330</v>
      </c>
      <c r="BC275" s="141"/>
      <c r="BD275" s="141">
        <v>0</v>
      </c>
      <c r="BE275" s="141">
        <v>0</v>
      </c>
      <c r="BF275" s="141">
        <v>1193</v>
      </c>
      <c r="BG275" s="141">
        <v>0</v>
      </c>
      <c r="BH275" s="141">
        <v>0</v>
      </c>
      <c r="BI275" s="141">
        <v>8135</v>
      </c>
      <c r="BJ275" s="141">
        <v>21</v>
      </c>
      <c r="BK275" s="141">
        <v>2732</v>
      </c>
      <c r="BL275" s="141"/>
      <c r="BM275" s="141">
        <v>454</v>
      </c>
      <c r="BN275" s="141">
        <v>50</v>
      </c>
      <c r="BO275" s="141">
        <v>6151</v>
      </c>
      <c r="BP275" s="141">
        <v>77206</v>
      </c>
      <c r="BQ275" s="141">
        <v>499</v>
      </c>
      <c r="BR275" s="141">
        <v>134</v>
      </c>
      <c r="BS275" s="141">
        <v>7394</v>
      </c>
      <c r="BT275" s="141">
        <v>67</v>
      </c>
      <c r="BU275" s="141"/>
      <c r="BV275" s="141">
        <v>0</v>
      </c>
      <c r="BW275" s="141">
        <v>51</v>
      </c>
      <c r="BX275" s="141"/>
      <c r="BY275" s="141">
        <v>4</v>
      </c>
      <c r="BZ275" s="141">
        <v>0</v>
      </c>
      <c r="CA275" s="141">
        <v>24059</v>
      </c>
      <c r="CB275" s="141">
        <v>14070</v>
      </c>
      <c r="CC275" s="141">
        <v>151972</v>
      </c>
      <c r="CD275" s="141">
        <v>238546</v>
      </c>
      <c r="CE275" s="141">
        <v>24584</v>
      </c>
      <c r="CF275" s="141">
        <v>47306</v>
      </c>
      <c r="CG275" s="141">
        <v>0</v>
      </c>
      <c r="CH275" s="141">
        <v>1</v>
      </c>
      <c r="CI275" s="141">
        <v>5</v>
      </c>
      <c r="CJ275" s="141">
        <v>21</v>
      </c>
      <c r="CK275" s="141"/>
      <c r="CL275" s="141"/>
      <c r="CM275" s="141"/>
      <c r="CN275" s="141"/>
      <c r="CO275" s="141"/>
      <c r="CP275" s="141"/>
      <c r="CQ275" s="141"/>
      <c r="CR275" s="141"/>
      <c r="CS275" s="141"/>
      <c r="CT275" s="141"/>
      <c r="CU275" s="141"/>
      <c r="CV275" s="141"/>
      <c r="CW275" s="141"/>
      <c r="CX275" s="141"/>
      <c r="CY275" s="141">
        <v>0</v>
      </c>
      <c r="CZ275" s="141">
        <v>0</v>
      </c>
      <c r="DA275" s="141">
        <v>0</v>
      </c>
      <c r="DB275" s="141">
        <v>19</v>
      </c>
      <c r="DC275" s="141">
        <v>0</v>
      </c>
      <c r="DD275" s="141">
        <v>34</v>
      </c>
      <c r="DE275">
        <f t="shared" si="77"/>
        <v>913264</v>
      </c>
      <c r="DG275" s="1">
        <f t="shared" si="90"/>
        <v>601481</v>
      </c>
      <c r="DH275" s="1">
        <f t="shared" si="78"/>
        <v>250727</v>
      </c>
      <c r="DI275" s="1">
        <f t="shared" si="76"/>
        <v>852208</v>
      </c>
      <c r="DK275" s="1">
        <f t="shared" si="79"/>
        <v>58794</v>
      </c>
      <c r="DL275" s="1">
        <f t="shared" si="80"/>
        <v>139011</v>
      </c>
      <c r="DM275" s="1">
        <f t="shared" si="81"/>
        <v>11187</v>
      </c>
      <c r="DN275" s="1">
        <f t="shared" si="82"/>
        <v>41658</v>
      </c>
      <c r="DO275" s="1">
        <f t="shared" si="83"/>
        <v>438238</v>
      </c>
      <c r="DP275" s="1">
        <f t="shared" si="84"/>
        <v>85054</v>
      </c>
      <c r="DQ275" s="1">
        <f t="shared" si="91"/>
        <v>0</v>
      </c>
      <c r="DR275" s="1">
        <f t="shared" si="85"/>
        <v>14074</v>
      </c>
      <c r="DS275" s="1">
        <f t="shared" si="86"/>
        <v>6307</v>
      </c>
      <c r="DT275" s="1">
        <f t="shared" si="87"/>
        <v>12027</v>
      </c>
      <c r="DU275" s="1"/>
      <c r="DV275" s="1"/>
      <c r="DW275" s="1"/>
      <c r="DX275" s="1">
        <f t="shared" si="92"/>
        <v>806350</v>
      </c>
      <c r="DZ275" s="1">
        <f t="shared" si="93"/>
        <v>47306</v>
      </c>
      <c r="EA275" s="1">
        <f t="shared" si="95"/>
        <v>59243</v>
      </c>
      <c r="EC275" s="1">
        <f t="shared" si="94"/>
        <v>912899</v>
      </c>
      <c r="ED275" s="1">
        <f t="shared" si="89"/>
        <v>-365</v>
      </c>
      <c r="EE275" s="1"/>
    </row>
    <row r="276" spans="1:135" x14ac:dyDescent="0.25">
      <c r="A276" s="140">
        <v>40603</v>
      </c>
      <c r="B276" s="141">
        <v>0</v>
      </c>
      <c r="C276" s="141">
        <v>0</v>
      </c>
      <c r="D276" s="141">
        <v>0</v>
      </c>
      <c r="E276" s="141">
        <v>0</v>
      </c>
      <c r="F276" s="141">
        <v>1259</v>
      </c>
      <c r="G276" s="141">
        <v>15741</v>
      </c>
      <c r="H276" s="141">
        <v>29164</v>
      </c>
      <c r="I276" s="141">
        <v>4825</v>
      </c>
      <c r="J276" s="141">
        <v>8552</v>
      </c>
      <c r="K276" s="141"/>
      <c r="L276" s="141">
        <v>26669</v>
      </c>
      <c r="M276" s="141">
        <v>1785</v>
      </c>
      <c r="N276" s="141"/>
      <c r="O276" s="141">
        <v>1614</v>
      </c>
      <c r="P276" s="141">
        <v>11449</v>
      </c>
      <c r="Q276" s="141">
        <v>339</v>
      </c>
      <c r="R276" s="141">
        <v>8426</v>
      </c>
      <c r="S276" s="141">
        <v>11187</v>
      </c>
      <c r="T276" s="141"/>
      <c r="U276" s="141"/>
      <c r="V276" s="141">
        <v>495</v>
      </c>
      <c r="W276" s="141">
        <v>8017</v>
      </c>
      <c r="X276" s="141">
        <v>335</v>
      </c>
      <c r="Y276" s="141">
        <v>6</v>
      </c>
      <c r="Z276" s="142"/>
      <c r="AA276" s="141">
        <v>5</v>
      </c>
      <c r="AB276" s="141">
        <v>179</v>
      </c>
      <c r="AC276" s="141">
        <v>27</v>
      </c>
      <c r="AD276" s="141">
        <v>32</v>
      </c>
      <c r="AE276" s="141">
        <v>36</v>
      </c>
      <c r="AF276" s="141">
        <v>83</v>
      </c>
      <c r="AG276" s="141"/>
      <c r="AH276" s="141"/>
      <c r="AI276" s="141">
        <v>7</v>
      </c>
      <c r="AJ276" s="141">
        <v>10398</v>
      </c>
      <c r="AK276" s="141">
        <v>108065</v>
      </c>
      <c r="AL276" s="141">
        <v>3112</v>
      </c>
      <c r="AM276" s="141">
        <v>19596</v>
      </c>
      <c r="AN276" s="141">
        <v>32</v>
      </c>
      <c r="AO276" s="141">
        <v>3</v>
      </c>
      <c r="AP276" s="141">
        <v>7826</v>
      </c>
      <c r="AQ276" s="141">
        <v>0</v>
      </c>
      <c r="AR276" s="141">
        <v>2735</v>
      </c>
      <c r="AS276" s="141">
        <v>36</v>
      </c>
      <c r="AT276" s="141">
        <v>6231</v>
      </c>
      <c r="AU276" s="141">
        <v>2359</v>
      </c>
      <c r="AV276" s="141">
        <v>4442</v>
      </c>
      <c r="AW276" s="141">
        <v>14150</v>
      </c>
      <c r="AX276" s="142"/>
      <c r="AY276" s="142"/>
      <c r="AZ276" s="142">
        <v>737</v>
      </c>
      <c r="BA276" s="142"/>
      <c r="BB276" s="141">
        <v>314</v>
      </c>
      <c r="BC276" s="141"/>
      <c r="BD276" s="141">
        <v>0</v>
      </c>
      <c r="BE276" s="141">
        <v>0</v>
      </c>
      <c r="BF276" s="141">
        <v>1197</v>
      </c>
      <c r="BG276" s="141">
        <v>0</v>
      </c>
      <c r="BH276" s="141">
        <v>0</v>
      </c>
      <c r="BI276" s="141">
        <v>8089</v>
      </c>
      <c r="BJ276" s="141">
        <v>18</v>
      </c>
      <c r="BK276" s="141">
        <v>2688</v>
      </c>
      <c r="BL276" s="141"/>
      <c r="BM276" s="141">
        <v>457</v>
      </c>
      <c r="BN276" s="141">
        <v>50</v>
      </c>
      <c r="BO276" s="141">
        <v>6307</v>
      </c>
      <c r="BP276" s="141">
        <v>76655</v>
      </c>
      <c r="BQ276" s="141">
        <v>468</v>
      </c>
      <c r="BR276" s="141">
        <v>141</v>
      </c>
      <c r="BS276" s="141">
        <v>7203</v>
      </c>
      <c r="BT276" s="141">
        <v>64</v>
      </c>
      <c r="BU276" s="141"/>
      <c r="BV276" s="141">
        <v>0</v>
      </c>
      <c r="BW276" s="141">
        <v>53</v>
      </c>
      <c r="BX276" s="141"/>
      <c r="BY276" s="141">
        <v>4</v>
      </c>
      <c r="BZ276" s="141">
        <v>0</v>
      </c>
      <c r="CA276" s="141">
        <v>23641</v>
      </c>
      <c r="CB276" s="141">
        <v>14074</v>
      </c>
      <c r="CC276" s="141">
        <v>151532</v>
      </c>
      <c r="CD276" s="141">
        <v>237809</v>
      </c>
      <c r="CE276" s="141">
        <v>24481</v>
      </c>
      <c r="CF276" s="141">
        <v>46520</v>
      </c>
      <c r="CG276" s="141">
        <v>0</v>
      </c>
      <c r="CH276" s="141">
        <v>0</v>
      </c>
      <c r="CI276" s="141">
        <v>5</v>
      </c>
      <c r="CJ276" s="141">
        <v>25</v>
      </c>
      <c r="CK276" s="141"/>
      <c r="CL276" s="141"/>
      <c r="CM276" s="141"/>
      <c r="CN276" s="141"/>
      <c r="CO276" s="141"/>
      <c r="CP276" s="141"/>
      <c r="CQ276" s="141"/>
      <c r="CR276" s="141"/>
      <c r="CS276" s="141"/>
      <c r="CT276" s="141"/>
      <c r="CU276" s="141"/>
      <c r="CV276" s="141"/>
      <c r="CW276" s="141"/>
      <c r="CX276" s="141"/>
      <c r="CY276" s="141">
        <v>0</v>
      </c>
      <c r="CZ276" s="141">
        <v>0</v>
      </c>
      <c r="DA276" s="141">
        <v>0</v>
      </c>
      <c r="DB276" s="141">
        <v>19</v>
      </c>
      <c r="DC276" s="141">
        <v>0</v>
      </c>
      <c r="DD276" s="141">
        <v>33</v>
      </c>
      <c r="DE276">
        <f t="shared" si="77"/>
        <v>911749</v>
      </c>
      <c r="DG276" s="1">
        <f t="shared" si="90"/>
        <v>606841</v>
      </c>
      <c r="DH276" s="1">
        <f t="shared" si="78"/>
        <v>253023</v>
      </c>
      <c r="DI276" s="1">
        <f t="shared" si="76"/>
        <v>859864</v>
      </c>
      <c r="DK276" s="1">
        <f t="shared" si="79"/>
        <v>58655</v>
      </c>
      <c r="DL276" s="1">
        <f t="shared" si="80"/>
        <v>139088</v>
      </c>
      <c r="DM276" s="1">
        <f t="shared" si="81"/>
        <v>11212</v>
      </c>
      <c r="DN276" s="1">
        <f t="shared" si="82"/>
        <v>43008</v>
      </c>
      <c r="DO276" s="1">
        <f t="shared" si="83"/>
        <v>441891</v>
      </c>
      <c r="DP276" s="1">
        <f t="shared" si="84"/>
        <v>84315</v>
      </c>
      <c r="DQ276" s="1">
        <f t="shared" si="91"/>
        <v>0</v>
      </c>
      <c r="DR276" s="1">
        <f t="shared" si="85"/>
        <v>14697</v>
      </c>
      <c r="DS276" s="1">
        <f t="shared" si="86"/>
        <v>6906</v>
      </c>
      <c r="DT276" s="1">
        <f t="shared" si="87"/>
        <v>12092</v>
      </c>
      <c r="DU276" s="1"/>
      <c r="DV276" s="1"/>
      <c r="DW276" s="1"/>
      <c r="DX276" s="1">
        <f t="shared" si="92"/>
        <v>811864</v>
      </c>
      <c r="DZ276" s="1">
        <f t="shared" si="93"/>
        <v>46520</v>
      </c>
      <c r="EA276" s="1">
        <f t="shared" si="95"/>
        <v>59541</v>
      </c>
      <c r="EC276" s="1">
        <f t="shared" si="94"/>
        <v>917925</v>
      </c>
      <c r="ED276" s="1">
        <f t="shared" si="89"/>
        <v>6176</v>
      </c>
      <c r="EE276" s="1"/>
    </row>
    <row r="277" spans="1:135" x14ac:dyDescent="0.25">
      <c r="A277" s="140">
        <v>40634</v>
      </c>
      <c r="B277" s="141">
        <v>0</v>
      </c>
      <c r="C277" s="141">
        <v>0</v>
      </c>
      <c r="D277" s="141">
        <v>0</v>
      </c>
      <c r="E277" s="141">
        <v>0</v>
      </c>
      <c r="F277" s="141">
        <v>1240</v>
      </c>
      <c r="G277" s="141">
        <v>16265</v>
      </c>
      <c r="H277" s="141">
        <v>30068</v>
      </c>
      <c r="I277" s="141">
        <v>5028</v>
      </c>
      <c r="J277" s="141">
        <v>8792</v>
      </c>
      <c r="K277" s="141"/>
      <c r="L277" s="141">
        <v>26556</v>
      </c>
      <c r="M277" s="141">
        <v>1764</v>
      </c>
      <c r="N277" s="141"/>
      <c r="O277" s="141">
        <v>1581</v>
      </c>
      <c r="P277" s="141">
        <v>11597</v>
      </c>
      <c r="Q277" s="141">
        <v>328</v>
      </c>
      <c r="R277" s="141">
        <v>8470</v>
      </c>
      <c r="S277" s="141">
        <v>11212</v>
      </c>
      <c r="T277" s="141"/>
      <c r="U277" s="141"/>
      <c r="V277" s="141">
        <v>447</v>
      </c>
      <c r="W277" s="141">
        <v>7912</v>
      </c>
      <c r="X277" s="141">
        <v>331</v>
      </c>
      <c r="Y277" s="141">
        <v>11</v>
      </c>
      <c r="Z277" s="142"/>
      <c r="AA277" s="141">
        <v>7</v>
      </c>
      <c r="AB277" s="141">
        <v>188</v>
      </c>
      <c r="AC277" s="141">
        <v>29</v>
      </c>
      <c r="AD277" s="141">
        <v>33</v>
      </c>
      <c r="AE277" s="141">
        <v>37</v>
      </c>
      <c r="AF277" s="141">
        <v>80</v>
      </c>
      <c r="AG277" s="141"/>
      <c r="AH277" s="141"/>
      <c r="AI277" s="141">
        <v>10</v>
      </c>
      <c r="AJ277" s="141">
        <v>10486</v>
      </c>
      <c r="AK277" s="141">
        <v>108671</v>
      </c>
      <c r="AL277" s="141">
        <v>3137</v>
      </c>
      <c r="AM277" s="141">
        <v>19644</v>
      </c>
      <c r="AN277" s="141">
        <v>25</v>
      </c>
      <c r="AO277" s="141">
        <v>7</v>
      </c>
      <c r="AP277" s="141">
        <v>8903</v>
      </c>
      <c r="AQ277" s="141">
        <v>0</v>
      </c>
      <c r="AR277" s="141">
        <v>2877</v>
      </c>
      <c r="AS277" s="141">
        <v>43</v>
      </c>
      <c r="AT277" s="141">
        <v>6367</v>
      </c>
      <c r="AU277" s="141">
        <v>2343</v>
      </c>
      <c r="AV277" s="141">
        <v>4480</v>
      </c>
      <c r="AW277" s="141">
        <v>14374</v>
      </c>
      <c r="AX277" s="142"/>
      <c r="AY277" s="142"/>
      <c r="AZ277" s="142">
        <v>761</v>
      </c>
      <c r="BA277" s="142"/>
      <c r="BB277" s="141">
        <v>312</v>
      </c>
      <c r="BC277" s="141"/>
      <c r="BD277" s="141">
        <v>0</v>
      </c>
      <c r="BE277" s="141">
        <v>0</v>
      </c>
      <c r="BF277" s="141">
        <v>1233</v>
      </c>
      <c r="BG277" s="141">
        <v>0</v>
      </c>
      <c r="BH277" s="141">
        <v>0</v>
      </c>
      <c r="BI277" s="141">
        <v>8150</v>
      </c>
      <c r="BJ277" s="141">
        <v>17</v>
      </c>
      <c r="BK277" s="141">
        <v>2655</v>
      </c>
      <c r="BL277" s="141"/>
      <c r="BM277" s="141">
        <v>411</v>
      </c>
      <c r="BN277" s="141">
        <v>51</v>
      </c>
      <c r="BO277" s="141">
        <v>6906</v>
      </c>
      <c r="BP277" s="141">
        <v>77359</v>
      </c>
      <c r="BQ277" s="141">
        <v>444</v>
      </c>
      <c r="BR277" s="141">
        <v>132</v>
      </c>
      <c r="BS277" s="141">
        <v>7156</v>
      </c>
      <c r="BT277" s="141">
        <v>69</v>
      </c>
      <c r="BU277" s="141"/>
      <c r="BV277" s="141">
        <v>0</v>
      </c>
      <c r="BW277" s="141">
        <v>54</v>
      </c>
      <c r="BX277" s="141"/>
      <c r="BY277" s="141">
        <v>7</v>
      </c>
      <c r="BZ277" s="141">
        <v>0</v>
      </c>
      <c r="CA277" s="141">
        <v>23361</v>
      </c>
      <c r="CB277" s="141">
        <v>14696</v>
      </c>
      <c r="CC277" s="141">
        <v>153004</v>
      </c>
      <c r="CD277" s="141">
        <v>240293</v>
      </c>
      <c r="CE277" s="141">
        <v>24482</v>
      </c>
      <c r="CF277" s="141">
        <v>46329</v>
      </c>
      <c r="CG277" s="141">
        <v>0</v>
      </c>
      <c r="CH277" s="141">
        <v>1</v>
      </c>
      <c r="CI277" s="141">
        <v>4</v>
      </c>
      <c r="CJ277" s="141">
        <v>27</v>
      </c>
      <c r="CK277" s="141"/>
      <c r="CL277" s="141"/>
      <c r="CM277" s="141"/>
      <c r="CN277" s="141"/>
      <c r="CO277" s="141"/>
      <c r="CP277" s="141"/>
      <c r="CQ277" s="141"/>
      <c r="CR277" s="141"/>
      <c r="CS277" s="141"/>
      <c r="CT277" s="141"/>
      <c r="CU277" s="141"/>
      <c r="CV277" s="141"/>
      <c r="CW277" s="141"/>
      <c r="CX277" s="141"/>
      <c r="CY277" s="141">
        <v>0</v>
      </c>
      <c r="CZ277" s="141">
        <v>0</v>
      </c>
      <c r="DA277" s="141">
        <v>0</v>
      </c>
      <c r="DB277" s="141">
        <v>19</v>
      </c>
      <c r="DC277" s="141">
        <v>0</v>
      </c>
      <c r="DD277" s="141">
        <v>33</v>
      </c>
      <c r="DE277">
        <f t="shared" si="77"/>
        <v>921257</v>
      </c>
      <c r="DG277" s="1">
        <f t="shared" si="90"/>
        <v>606879</v>
      </c>
      <c r="DH277" s="1">
        <f t="shared" si="78"/>
        <v>252344</v>
      </c>
      <c r="DI277" s="1">
        <f t="shared" si="76"/>
        <v>859223</v>
      </c>
      <c r="DK277" s="1">
        <f t="shared" si="79"/>
        <v>58753</v>
      </c>
      <c r="DL277" s="1">
        <f t="shared" si="80"/>
        <v>140148</v>
      </c>
      <c r="DM277" s="1">
        <f t="shared" si="81"/>
        <v>11228</v>
      </c>
      <c r="DN277" s="1">
        <f t="shared" si="82"/>
        <v>42631</v>
      </c>
      <c r="DO277" s="1">
        <f t="shared" si="83"/>
        <v>441896</v>
      </c>
      <c r="DP277" s="1">
        <f t="shared" si="84"/>
        <v>84926</v>
      </c>
      <c r="DQ277" s="1">
        <f t="shared" si="91"/>
        <v>0</v>
      </c>
      <c r="DR277" s="1">
        <f t="shared" si="85"/>
        <v>14465</v>
      </c>
      <c r="DS277" s="1">
        <f t="shared" si="86"/>
        <v>6633</v>
      </c>
      <c r="DT277" s="1">
        <f t="shared" si="87"/>
        <v>12042</v>
      </c>
      <c r="DU277" s="1"/>
      <c r="DV277" s="1"/>
      <c r="DW277" s="1"/>
      <c r="DX277" s="1">
        <f t="shared" si="92"/>
        <v>812722</v>
      </c>
      <c r="DZ277" s="1">
        <f t="shared" si="93"/>
        <v>46329</v>
      </c>
      <c r="EA277" s="1">
        <f t="shared" si="95"/>
        <v>61393</v>
      </c>
      <c r="EC277" s="1">
        <f t="shared" si="94"/>
        <v>920444</v>
      </c>
      <c r="ED277" s="1">
        <f t="shared" si="89"/>
        <v>-813</v>
      </c>
      <c r="EE277" s="1"/>
    </row>
    <row r="278" spans="1:135" x14ac:dyDescent="0.25">
      <c r="A278" s="140">
        <v>40664</v>
      </c>
      <c r="B278" s="141">
        <v>0</v>
      </c>
      <c r="C278" s="141">
        <v>0</v>
      </c>
      <c r="D278" s="141">
        <v>0</v>
      </c>
      <c r="E278" s="141">
        <v>0</v>
      </c>
      <c r="F278" s="141">
        <v>1257</v>
      </c>
      <c r="G278" s="141">
        <v>16094</v>
      </c>
      <c r="H278" s="141">
        <v>29691</v>
      </c>
      <c r="I278" s="141">
        <v>4956</v>
      </c>
      <c r="J278" s="141">
        <v>8643</v>
      </c>
      <c r="K278" s="141"/>
      <c r="L278" s="141">
        <v>26607</v>
      </c>
      <c r="M278" s="141">
        <v>1785</v>
      </c>
      <c r="N278" s="141"/>
      <c r="O278" s="141">
        <v>1644</v>
      </c>
      <c r="P278" s="141">
        <v>11496</v>
      </c>
      <c r="Q278" s="141">
        <v>333</v>
      </c>
      <c r="R278" s="141">
        <v>8407</v>
      </c>
      <c r="S278" s="141">
        <v>11228</v>
      </c>
      <c r="T278" s="141"/>
      <c r="U278" s="141"/>
      <c r="V278" s="141">
        <v>487</v>
      </c>
      <c r="W278" s="141">
        <v>7994</v>
      </c>
      <c r="X278" s="141">
        <v>332</v>
      </c>
      <c r="Y278" s="141">
        <v>7</v>
      </c>
      <c r="Z278" s="142"/>
      <c r="AA278" s="141">
        <v>5</v>
      </c>
      <c r="AB278" s="141">
        <v>185</v>
      </c>
      <c r="AC278" s="141">
        <v>29</v>
      </c>
      <c r="AD278" s="141">
        <v>33</v>
      </c>
      <c r="AE278" s="141">
        <v>36</v>
      </c>
      <c r="AF278" s="141">
        <v>84</v>
      </c>
      <c r="AG278" s="141"/>
      <c r="AH278" s="141"/>
      <c r="AI278" s="141">
        <v>8</v>
      </c>
      <c r="AJ278" s="141">
        <v>10517</v>
      </c>
      <c r="AK278" s="141">
        <v>108356</v>
      </c>
      <c r="AL278" s="141">
        <v>3112</v>
      </c>
      <c r="AM278" s="141">
        <v>19717</v>
      </c>
      <c r="AN278" s="141">
        <v>28</v>
      </c>
      <c r="AO278" s="141">
        <v>3</v>
      </c>
      <c r="AP278" s="141">
        <v>8507</v>
      </c>
      <c r="AQ278" s="141">
        <v>0</v>
      </c>
      <c r="AR278" s="141">
        <v>2867</v>
      </c>
      <c r="AS278" s="141">
        <v>37</v>
      </c>
      <c r="AT278" s="141">
        <v>6280</v>
      </c>
      <c r="AU278" s="141">
        <v>2359</v>
      </c>
      <c r="AV278" s="141">
        <v>4470</v>
      </c>
      <c r="AW278" s="141">
        <v>14320</v>
      </c>
      <c r="AX278" s="142"/>
      <c r="AY278" s="142"/>
      <c r="AZ278" s="142">
        <v>746</v>
      </c>
      <c r="BA278" s="142"/>
      <c r="BB278" s="141">
        <v>325</v>
      </c>
      <c r="BC278" s="141"/>
      <c r="BD278" s="141">
        <v>0</v>
      </c>
      <c r="BE278" s="141">
        <v>0</v>
      </c>
      <c r="BF278" s="141">
        <v>1204</v>
      </c>
      <c r="BG278" s="141">
        <v>0</v>
      </c>
      <c r="BH278" s="141">
        <v>0</v>
      </c>
      <c r="BI278" s="141">
        <v>8124</v>
      </c>
      <c r="BJ278" s="141">
        <v>16</v>
      </c>
      <c r="BK278" s="141">
        <v>2660</v>
      </c>
      <c r="BL278" s="141"/>
      <c r="BM278" s="141">
        <v>491</v>
      </c>
      <c r="BN278" s="141">
        <v>51</v>
      </c>
      <c r="BO278" s="141">
        <v>6633</v>
      </c>
      <c r="BP278" s="141">
        <v>77534</v>
      </c>
      <c r="BQ278" s="141">
        <v>468</v>
      </c>
      <c r="BR278" s="141">
        <v>138</v>
      </c>
      <c r="BS278" s="141">
        <v>7251</v>
      </c>
      <c r="BT278" s="141">
        <v>69</v>
      </c>
      <c r="BU278" s="141"/>
      <c r="BV278" s="141">
        <v>0</v>
      </c>
      <c r="BW278" s="141">
        <v>54</v>
      </c>
      <c r="BX278" s="141"/>
      <c r="BY278" s="141">
        <v>7</v>
      </c>
      <c r="BZ278" s="141">
        <v>0</v>
      </c>
      <c r="CA278" s="141">
        <v>23730</v>
      </c>
      <c r="CB278" s="141">
        <v>14464</v>
      </c>
      <c r="CC278" s="141">
        <v>152755</v>
      </c>
      <c r="CD278" s="141">
        <v>239890</v>
      </c>
      <c r="CE278" s="141">
        <v>24739</v>
      </c>
      <c r="CF278" s="141">
        <v>46567</v>
      </c>
      <c r="CG278" s="141">
        <v>0</v>
      </c>
      <c r="CH278" s="141">
        <v>1</v>
      </c>
      <c r="CI278" s="141">
        <v>4</v>
      </c>
      <c r="CJ278" s="141">
        <v>29</v>
      </c>
      <c r="CK278" s="141"/>
      <c r="CL278" s="141"/>
      <c r="CM278" s="141"/>
      <c r="CN278" s="141"/>
      <c r="CO278" s="141"/>
      <c r="CP278" s="141"/>
      <c r="CQ278" s="141"/>
      <c r="CR278" s="141"/>
      <c r="CS278" s="141"/>
      <c r="CT278" s="141"/>
      <c r="CU278" s="141"/>
      <c r="CV278" s="141"/>
      <c r="CW278" s="141"/>
      <c r="CX278" s="141"/>
      <c r="CY278" s="141">
        <v>0</v>
      </c>
      <c r="CZ278" s="141">
        <v>0</v>
      </c>
      <c r="DA278" s="141">
        <v>0</v>
      </c>
      <c r="DB278" s="141">
        <v>19</v>
      </c>
      <c r="DC278" s="141">
        <v>0</v>
      </c>
      <c r="DD278" s="141">
        <v>33</v>
      </c>
      <c r="DE278">
        <f t="shared" si="77"/>
        <v>919864</v>
      </c>
      <c r="DG278" s="1">
        <f t="shared" si="90"/>
        <v>608273</v>
      </c>
      <c r="DH278" s="1">
        <f t="shared" si="78"/>
        <v>253943</v>
      </c>
      <c r="DI278" s="1">
        <f t="shared" si="76"/>
        <v>862216</v>
      </c>
      <c r="DK278" s="1">
        <f t="shared" si="79"/>
        <v>58576</v>
      </c>
      <c r="DL278" s="1">
        <f t="shared" si="80"/>
        <v>139732</v>
      </c>
      <c r="DM278" s="1">
        <f t="shared" si="81"/>
        <v>11219</v>
      </c>
      <c r="DN278" s="1">
        <f t="shared" si="82"/>
        <v>43574</v>
      </c>
      <c r="DO278" s="1">
        <f t="shared" si="83"/>
        <v>442459</v>
      </c>
      <c r="DP278" s="1">
        <f t="shared" si="84"/>
        <v>85276</v>
      </c>
      <c r="DQ278" s="1">
        <f t="shared" si="91"/>
        <v>0</v>
      </c>
      <c r="DR278" s="1">
        <f t="shared" si="85"/>
        <v>14829</v>
      </c>
      <c r="DS278" s="1">
        <f t="shared" si="86"/>
        <v>7221</v>
      </c>
      <c r="DT278" s="1">
        <f t="shared" si="87"/>
        <v>12111</v>
      </c>
      <c r="DU278" s="1"/>
      <c r="DV278" s="1"/>
      <c r="DW278" s="1"/>
      <c r="DX278" s="1">
        <f t="shared" si="92"/>
        <v>814997</v>
      </c>
      <c r="DZ278" s="1">
        <f t="shared" si="93"/>
        <v>46567</v>
      </c>
      <c r="EA278" s="1">
        <f t="shared" si="95"/>
        <v>60641</v>
      </c>
      <c r="EC278" s="1">
        <f t="shared" si="94"/>
        <v>922205</v>
      </c>
      <c r="ED278" s="1">
        <f t="shared" si="89"/>
        <v>2341</v>
      </c>
      <c r="EE278" s="1"/>
    </row>
    <row r="279" spans="1:135" x14ac:dyDescent="0.25">
      <c r="A279" s="140">
        <v>40695</v>
      </c>
      <c r="B279" s="141">
        <v>0</v>
      </c>
      <c r="C279" s="141">
        <v>0</v>
      </c>
      <c r="D279" s="141">
        <v>0</v>
      </c>
      <c r="E279" s="141">
        <v>0</v>
      </c>
      <c r="F279" s="141">
        <v>1247</v>
      </c>
      <c r="G279" s="141">
        <v>16363</v>
      </c>
      <c r="H279" s="141">
        <v>30284</v>
      </c>
      <c r="I279" s="141">
        <v>5078</v>
      </c>
      <c r="J279" s="141">
        <v>8855</v>
      </c>
      <c r="K279" s="141"/>
      <c r="L279" s="141">
        <v>26571</v>
      </c>
      <c r="M279" s="141">
        <v>1765</v>
      </c>
      <c r="N279" s="141"/>
      <c r="O279" s="141">
        <v>1562</v>
      </c>
      <c r="P279" s="141">
        <v>11622</v>
      </c>
      <c r="Q279" s="141">
        <v>324</v>
      </c>
      <c r="R279" s="141">
        <v>8406</v>
      </c>
      <c r="S279" s="141">
        <v>11219</v>
      </c>
      <c r="T279" s="141"/>
      <c r="U279" s="141"/>
      <c r="V279" s="141">
        <v>431</v>
      </c>
      <c r="W279" s="141">
        <v>7895</v>
      </c>
      <c r="X279" s="141">
        <v>329</v>
      </c>
      <c r="Y279" s="141">
        <v>9</v>
      </c>
      <c r="Z279" s="142"/>
      <c r="AA279" s="141">
        <v>9</v>
      </c>
      <c r="AB279" s="141">
        <v>195</v>
      </c>
      <c r="AC279" s="141">
        <v>28</v>
      </c>
      <c r="AD279" s="141">
        <v>33</v>
      </c>
      <c r="AE279" s="141">
        <v>35</v>
      </c>
      <c r="AF279" s="141">
        <v>82</v>
      </c>
      <c r="AG279" s="141"/>
      <c r="AH279" s="141"/>
      <c r="AI279" s="141">
        <v>12</v>
      </c>
      <c r="AJ279" s="141">
        <v>10508</v>
      </c>
      <c r="AK279" s="141">
        <v>109056</v>
      </c>
      <c r="AL279" s="141">
        <v>3124</v>
      </c>
      <c r="AM279" s="141">
        <v>19803</v>
      </c>
      <c r="AN279" s="141">
        <v>26</v>
      </c>
      <c r="AO279" s="141">
        <v>4</v>
      </c>
      <c r="AP279" s="141">
        <v>9197</v>
      </c>
      <c r="AQ279" s="141">
        <v>0</v>
      </c>
      <c r="AR279" s="141">
        <v>2890</v>
      </c>
      <c r="AS279" s="141">
        <v>42</v>
      </c>
      <c r="AT279" s="141">
        <v>6383</v>
      </c>
      <c r="AU279" s="141">
        <v>2323</v>
      </c>
      <c r="AV279" s="141">
        <v>4475</v>
      </c>
      <c r="AW279" s="141">
        <v>14488</v>
      </c>
      <c r="AX279" s="142"/>
      <c r="AY279" s="142"/>
      <c r="AZ279" s="142">
        <v>779</v>
      </c>
      <c r="BA279" s="142"/>
      <c r="BB279" s="141">
        <v>318</v>
      </c>
      <c r="BC279" s="141"/>
      <c r="BD279" s="141">
        <v>0</v>
      </c>
      <c r="BE279" s="141">
        <v>0</v>
      </c>
      <c r="BF279" s="141">
        <v>1243</v>
      </c>
      <c r="BG279" s="141">
        <v>0</v>
      </c>
      <c r="BH279" s="141">
        <v>0</v>
      </c>
      <c r="BI279" s="141">
        <v>8168</v>
      </c>
      <c r="BJ279" s="141">
        <v>22</v>
      </c>
      <c r="BK279" s="141">
        <v>2653</v>
      </c>
      <c r="BL279" s="141"/>
      <c r="BM279" s="141">
        <v>429</v>
      </c>
      <c r="BN279" s="141">
        <v>51</v>
      </c>
      <c r="BO279" s="141">
        <v>7221</v>
      </c>
      <c r="BP279" s="141">
        <v>77567</v>
      </c>
      <c r="BQ279" s="141">
        <v>427</v>
      </c>
      <c r="BR279" s="141">
        <v>124</v>
      </c>
      <c r="BS279" s="141">
        <v>7067</v>
      </c>
      <c r="BT279" s="141">
        <v>84</v>
      </c>
      <c r="BU279" s="141"/>
      <c r="BV279" s="141">
        <v>0</v>
      </c>
      <c r="BW279" s="141">
        <v>47</v>
      </c>
      <c r="BX279" s="141"/>
      <c r="BY279" s="141">
        <v>5</v>
      </c>
      <c r="BZ279" s="141">
        <v>0</v>
      </c>
      <c r="CA279" s="141">
        <v>23291</v>
      </c>
      <c r="CB279" s="141">
        <v>14829</v>
      </c>
      <c r="CC279" s="141">
        <v>153246</v>
      </c>
      <c r="CD279" s="141">
        <v>240984</v>
      </c>
      <c r="CE279" s="141">
        <v>24195</v>
      </c>
      <c r="CF279" s="141">
        <v>46590</v>
      </c>
      <c r="CG279" s="141">
        <v>0</v>
      </c>
      <c r="CH279" s="141">
        <v>0</v>
      </c>
      <c r="CI279" s="141">
        <v>4</v>
      </c>
      <c r="CJ279" s="141">
        <v>26</v>
      </c>
      <c r="CK279" s="141"/>
      <c r="CL279" s="141"/>
      <c r="CM279" s="141"/>
      <c r="CN279" s="141"/>
      <c r="CO279" s="141"/>
      <c r="CP279" s="141"/>
      <c r="CQ279" s="141"/>
      <c r="CR279" s="141"/>
      <c r="CS279" s="141"/>
      <c r="CT279" s="141"/>
      <c r="CU279" s="141"/>
      <c r="CV279" s="141"/>
      <c r="CW279" s="141"/>
      <c r="CX279" s="141"/>
      <c r="CY279" s="141">
        <v>0</v>
      </c>
      <c r="CZ279" s="141">
        <v>0</v>
      </c>
      <c r="DA279" s="141">
        <v>0</v>
      </c>
      <c r="DB279" s="141">
        <v>19</v>
      </c>
      <c r="DC279" s="141">
        <v>0</v>
      </c>
      <c r="DD279" s="141">
        <v>33</v>
      </c>
      <c r="DE279">
        <f t="shared" si="77"/>
        <v>924043</v>
      </c>
      <c r="DG279" s="1">
        <f t="shared" si="90"/>
        <v>610257</v>
      </c>
      <c r="DH279" s="1">
        <f t="shared" si="78"/>
        <v>254331</v>
      </c>
      <c r="DI279" s="1">
        <f t="shared" si="76"/>
        <v>864588</v>
      </c>
      <c r="DK279" s="1">
        <f t="shared" si="79"/>
        <v>58470</v>
      </c>
      <c r="DL279" s="1">
        <f t="shared" si="80"/>
        <v>140574</v>
      </c>
      <c r="DM279" s="1">
        <f t="shared" si="81"/>
        <v>11240</v>
      </c>
      <c r="DN279" s="1">
        <f t="shared" si="82"/>
        <v>43983</v>
      </c>
      <c r="DO279" s="1">
        <f t="shared" si="83"/>
        <v>443742</v>
      </c>
      <c r="DP279" s="1">
        <f t="shared" si="84"/>
        <v>85063</v>
      </c>
      <c r="DQ279" s="1">
        <f t="shared" si="91"/>
        <v>0</v>
      </c>
      <c r="DR279" s="1">
        <f t="shared" si="85"/>
        <v>15110</v>
      </c>
      <c r="DS279" s="1">
        <f t="shared" si="86"/>
        <v>7685</v>
      </c>
      <c r="DT279" s="1">
        <f t="shared" si="87"/>
        <v>12081</v>
      </c>
      <c r="DU279" s="1"/>
      <c r="DV279" s="1"/>
      <c r="DW279" s="1"/>
      <c r="DX279" s="1">
        <f t="shared" si="92"/>
        <v>817948</v>
      </c>
      <c r="DZ279" s="1">
        <f t="shared" si="93"/>
        <v>46590</v>
      </c>
      <c r="EA279" s="1">
        <f t="shared" si="95"/>
        <v>61827</v>
      </c>
      <c r="EC279" s="1">
        <f t="shared" si="94"/>
        <v>926365</v>
      </c>
      <c r="ED279" s="1">
        <f t="shared" si="89"/>
        <v>2322</v>
      </c>
      <c r="EE279" s="1"/>
    </row>
    <row r="280" spans="1:135" x14ac:dyDescent="0.25">
      <c r="A280" s="140">
        <v>40725</v>
      </c>
      <c r="B280" s="141">
        <v>0</v>
      </c>
      <c r="C280" s="141">
        <v>0</v>
      </c>
      <c r="D280" s="141">
        <v>0</v>
      </c>
      <c r="E280" s="141">
        <v>0</v>
      </c>
      <c r="F280" s="141">
        <v>1248</v>
      </c>
      <c r="G280" s="141">
        <v>16523</v>
      </c>
      <c r="H280" s="141">
        <v>30435</v>
      </c>
      <c r="I280" s="141">
        <v>5101</v>
      </c>
      <c r="J280" s="141">
        <v>8926</v>
      </c>
      <c r="K280" s="141"/>
      <c r="L280" s="141">
        <v>26436</v>
      </c>
      <c r="M280" s="141">
        <v>1760</v>
      </c>
      <c r="N280" s="141"/>
      <c r="O280" s="141">
        <v>1540</v>
      </c>
      <c r="P280" s="141">
        <v>11737</v>
      </c>
      <c r="Q280" s="141">
        <v>321</v>
      </c>
      <c r="R280" s="141">
        <v>8411</v>
      </c>
      <c r="S280" s="141">
        <v>11240</v>
      </c>
      <c r="T280" s="141"/>
      <c r="U280" s="141"/>
      <c r="V280" s="141">
        <v>393</v>
      </c>
      <c r="W280" s="141">
        <v>7872</v>
      </c>
      <c r="X280" s="141">
        <v>328</v>
      </c>
      <c r="Y280" s="141">
        <v>9</v>
      </c>
      <c r="Z280" s="142"/>
      <c r="AA280" s="141">
        <v>10</v>
      </c>
      <c r="AB280" s="141">
        <v>206</v>
      </c>
      <c r="AC280" s="141">
        <v>31</v>
      </c>
      <c r="AD280" s="141">
        <v>33</v>
      </c>
      <c r="AE280" s="141">
        <v>35</v>
      </c>
      <c r="AF280" s="141">
        <v>82</v>
      </c>
      <c r="AG280" s="141"/>
      <c r="AH280" s="141"/>
      <c r="AI280" s="141">
        <v>14</v>
      </c>
      <c r="AJ280" s="141">
        <v>10603</v>
      </c>
      <c r="AK280" s="141">
        <v>108944</v>
      </c>
      <c r="AL280" s="141">
        <v>3120</v>
      </c>
      <c r="AM280" s="141">
        <v>19912</v>
      </c>
      <c r="AN280" s="141">
        <v>24</v>
      </c>
      <c r="AO280" s="141">
        <v>4</v>
      </c>
      <c r="AP280" s="141">
        <v>9485</v>
      </c>
      <c r="AQ280" s="141">
        <v>0</v>
      </c>
      <c r="AR280" s="141">
        <v>2881</v>
      </c>
      <c r="AS280" s="141">
        <v>44</v>
      </c>
      <c r="AT280" s="141">
        <v>6441</v>
      </c>
      <c r="AU280" s="141">
        <v>2319</v>
      </c>
      <c r="AV280" s="141">
        <v>4511</v>
      </c>
      <c r="AW280" s="141">
        <v>14500</v>
      </c>
      <c r="AX280" s="142"/>
      <c r="AY280" s="142"/>
      <c r="AZ280" s="142">
        <v>776</v>
      </c>
      <c r="BA280" s="142"/>
      <c r="BB280" s="141">
        <v>309</v>
      </c>
      <c r="BC280" s="141"/>
      <c r="BD280" s="141">
        <v>0</v>
      </c>
      <c r="BE280" s="141">
        <v>0</v>
      </c>
      <c r="BF280" s="141">
        <v>1228</v>
      </c>
      <c r="BG280" s="141">
        <v>0</v>
      </c>
      <c r="BH280" s="141">
        <v>0</v>
      </c>
      <c r="BI280" s="141">
        <v>8145</v>
      </c>
      <c r="BJ280" s="141">
        <v>25</v>
      </c>
      <c r="BK280" s="141">
        <v>2656</v>
      </c>
      <c r="BL280" s="141"/>
      <c r="BM280" s="141">
        <v>373</v>
      </c>
      <c r="BN280" s="141">
        <v>49</v>
      </c>
      <c r="BO280" s="141">
        <v>7685</v>
      </c>
      <c r="BP280" s="141">
        <v>77745</v>
      </c>
      <c r="BQ280" s="141">
        <v>481</v>
      </c>
      <c r="BR280" s="141">
        <v>122</v>
      </c>
      <c r="BS280" s="141">
        <v>7049</v>
      </c>
      <c r="BT280" s="141">
        <v>104</v>
      </c>
      <c r="BU280" s="141"/>
      <c r="BV280" s="141">
        <v>0</v>
      </c>
      <c r="BW280" s="141">
        <v>52</v>
      </c>
      <c r="BX280" s="141"/>
      <c r="BY280" s="141">
        <v>5</v>
      </c>
      <c r="BZ280" s="141">
        <v>0</v>
      </c>
      <c r="CA280" s="141">
        <v>23380</v>
      </c>
      <c r="CB280" s="141">
        <v>15110</v>
      </c>
      <c r="CC280" s="141">
        <v>153513</v>
      </c>
      <c r="CD280" s="141">
        <v>241724</v>
      </c>
      <c r="CE280" s="141">
        <v>24304</v>
      </c>
      <c r="CF280" s="141">
        <v>46472</v>
      </c>
      <c r="CG280" s="141">
        <v>0</v>
      </c>
      <c r="CH280" s="141">
        <v>0</v>
      </c>
      <c r="CI280" s="141">
        <v>4</v>
      </c>
      <c r="CJ280" s="141">
        <v>31</v>
      </c>
      <c r="CK280" s="141"/>
      <c r="CL280" s="141"/>
      <c r="CM280" s="141"/>
      <c r="CN280" s="141"/>
      <c r="CO280" s="141"/>
      <c r="CP280" s="141"/>
      <c r="CQ280" s="141"/>
      <c r="CR280" s="141"/>
      <c r="CS280" s="141"/>
      <c r="CT280" s="141"/>
      <c r="CU280" s="141"/>
      <c r="CV280" s="141"/>
      <c r="CW280" s="141"/>
      <c r="CX280" s="141"/>
      <c r="CY280" s="141">
        <v>0</v>
      </c>
      <c r="CZ280" s="141">
        <v>0</v>
      </c>
      <c r="DA280" s="141">
        <v>0</v>
      </c>
      <c r="DB280" s="141">
        <v>19</v>
      </c>
      <c r="DC280" s="141">
        <v>0</v>
      </c>
      <c r="DD280" s="141">
        <v>33</v>
      </c>
      <c r="DE280">
        <f t="shared" si="77"/>
        <v>926821</v>
      </c>
      <c r="DG280" s="1">
        <f t="shared" si="90"/>
        <v>610395</v>
      </c>
      <c r="DH280" s="1">
        <f t="shared" si="78"/>
        <v>255424</v>
      </c>
      <c r="DI280" s="1">
        <f t="shared" si="76"/>
        <v>865819</v>
      </c>
      <c r="DK280" s="1">
        <f t="shared" si="79"/>
        <v>58587</v>
      </c>
      <c r="DL280" s="1">
        <f t="shared" si="80"/>
        <v>140638</v>
      </c>
      <c r="DM280" s="1">
        <f t="shared" si="81"/>
        <v>11286</v>
      </c>
      <c r="DN280" s="1">
        <f t="shared" si="82"/>
        <v>44381</v>
      </c>
      <c r="DO280" s="1">
        <f t="shared" si="83"/>
        <v>443679</v>
      </c>
      <c r="DP280" s="1">
        <f t="shared" si="84"/>
        <v>85167</v>
      </c>
      <c r="DQ280" s="1">
        <f t="shared" si="91"/>
        <v>0</v>
      </c>
      <c r="DR280" s="1">
        <f t="shared" si="85"/>
        <v>15042</v>
      </c>
      <c r="DS280" s="1">
        <f t="shared" si="86"/>
        <v>7976</v>
      </c>
      <c r="DT280" s="1">
        <f t="shared" si="87"/>
        <v>11981</v>
      </c>
      <c r="DU280" s="1"/>
      <c r="DV280" s="1"/>
      <c r="DW280" s="1"/>
      <c r="DX280" s="1">
        <f t="shared" si="92"/>
        <v>818737</v>
      </c>
      <c r="DZ280" s="1">
        <f t="shared" si="93"/>
        <v>46472</v>
      </c>
      <c r="EA280" s="1">
        <f t="shared" si="95"/>
        <v>62233</v>
      </c>
      <c r="EC280" s="1">
        <f t="shared" si="94"/>
        <v>927442</v>
      </c>
      <c r="ED280" s="1">
        <f t="shared" si="89"/>
        <v>621</v>
      </c>
      <c r="EE280" s="1"/>
    </row>
    <row r="281" spans="1:135" x14ac:dyDescent="0.25">
      <c r="A281" s="140">
        <v>40756</v>
      </c>
      <c r="B281" s="141">
        <v>0</v>
      </c>
      <c r="C281" s="141">
        <v>0</v>
      </c>
      <c r="D281" s="141">
        <v>0</v>
      </c>
      <c r="E281" s="141">
        <v>0</v>
      </c>
      <c r="F281" s="141">
        <v>1228</v>
      </c>
      <c r="G281" s="141">
        <v>16627</v>
      </c>
      <c r="H281" s="141">
        <v>30541</v>
      </c>
      <c r="I281" s="141">
        <v>5069</v>
      </c>
      <c r="J281" s="141">
        <v>8930</v>
      </c>
      <c r="K281" s="141"/>
      <c r="L281" s="141">
        <v>26448</v>
      </c>
      <c r="M281" s="141">
        <v>1751</v>
      </c>
      <c r="N281" s="141"/>
      <c r="O281" s="141">
        <v>1542</v>
      </c>
      <c r="P281" s="141">
        <v>11787</v>
      </c>
      <c r="Q281" s="141">
        <v>314</v>
      </c>
      <c r="R281" s="141">
        <v>8431</v>
      </c>
      <c r="S281" s="141">
        <v>11286</v>
      </c>
      <c r="T281" s="141"/>
      <c r="U281" s="141"/>
      <c r="V281" s="141">
        <v>405</v>
      </c>
      <c r="W281" s="141">
        <v>7909</v>
      </c>
      <c r="X281" s="141">
        <v>331</v>
      </c>
      <c r="Y281" s="141">
        <v>9</v>
      </c>
      <c r="Z281" s="142"/>
      <c r="AA281" s="141">
        <v>6</v>
      </c>
      <c r="AB281" s="141">
        <v>220</v>
      </c>
      <c r="AC281" s="141">
        <v>29</v>
      </c>
      <c r="AD281" s="141">
        <v>32</v>
      </c>
      <c r="AE281" s="141">
        <v>34</v>
      </c>
      <c r="AF281" s="141">
        <v>79</v>
      </c>
      <c r="AG281" s="141"/>
      <c r="AH281" s="141"/>
      <c r="AI281" s="141">
        <v>13</v>
      </c>
      <c r="AJ281" s="141">
        <v>10612</v>
      </c>
      <c r="AK281" s="141">
        <v>109431</v>
      </c>
      <c r="AL281" s="141">
        <v>3126</v>
      </c>
      <c r="AM281" s="141">
        <v>19985</v>
      </c>
      <c r="AN281" s="141">
        <v>26</v>
      </c>
      <c r="AO281" s="141">
        <v>5</v>
      </c>
      <c r="AP281" s="141">
        <v>9738</v>
      </c>
      <c r="AQ281" s="141">
        <v>0</v>
      </c>
      <c r="AR281" s="141">
        <v>2840</v>
      </c>
      <c r="AS281" s="141">
        <v>46</v>
      </c>
      <c r="AT281" s="141">
        <v>6450</v>
      </c>
      <c r="AU281" s="141">
        <v>2327</v>
      </c>
      <c r="AV281" s="141">
        <v>4521</v>
      </c>
      <c r="AW281" s="141">
        <v>14574</v>
      </c>
      <c r="AX281" s="142"/>
      <c r="AY281" s="142"/>
      <c r="AZ281" s="142">
        <v>779</v>
      </c>
      <c r="BA281" s="142"/>
      <c r="BB281" s="141">
        <v>338</v>
      </c>
      <c r="BC281" s="141"/>
      <c r="BD281" s="141">
        <v>0</v>
      </c>
      <c r="BE281" s="141">
        <v>0</v>
      </c>
      <c r="BF281" s="141">
        <v>1225</v>
      </c>
      <c r="BG281" s="141">
        <v>0</v>
      </c>
      <c r="BH281" s="141">
        <v>0</v>
      </c>
      <c r="BI281" s="141">
        <v>8092</v>
      </c>
      <c r="BJ281" s="141">
        <v>22</v>
      </c>
      <c r="BK281" s="141">
        <v>2610</v>
      </c>
      <c r="BL281" s="141"/>
      <c r="BM281" s="141">
        <v>380</v>
      </c>
      <c r="BN281" s="141">
        <v>38</v>
      </c>
      <c r="BO281" s="141">
        <v>7976</v>
      </c>
      <c r="BP281" s="141">
        <v>77994</v>
      </c>
      <c r="BQ281" s="141">
        <v>501</v>
      </c>
      <c r="BR281" s="141">
        <v>124</v>
      </c>
      <c r="BS281" s="141">
        <v>6942</v>
      </c>
      <c r="BT281" s="141">
        <v>106</v>
      </c>
      <c r="BU281" s="141"/>
      <c r="BV281" s="141">
        <v>1</v>
      </c>
      <c r="BW281" s="141">
        <v>54</v>
      </c>
      <c r="BX281" s="141"/>
      <c r="BY281" s="141">
        <v>7</v>
      </c>
      <c r="BZ281" s="141">
        <v>0</v>
      </c>
      <c r="CA281" s="141">
        <v>23306</v>
      </c>
      <c r="CB281" s="141">
        <v>15041</v>
      </c>
      <c r="CC281" s="141">
        <v>153209</v>
      </c>
      <c r="CD281" s="141">
        <v>242200</v>
      </c>
      <c r="CE281" s="141">
        <v>24132</v>
      </c>
      <c r="CF281" s="141">
        <v>46401</v>
      </c>
      <c r="CG281" s="141">
        <v>0</v>
      </c>
      <c r="CH281" s="141">
        <v>1</v>
      </c>
      <c r="CI281" s="141">
        <v>4</v>
      </c>
      <c r="CJ281" s="141">
        <v>29</v>
      </c>
      <c r="CK281" s="141"/>
      <c r="CL281" s="141"/>
      <c r="CM281" s="141"/>
      <c r="CN281" s="141"/>
      <c r="CO281" s="141"/>
      <c r="CP281" s="141"/>
      <c r="CQ281" s="141"/>
      <c r="CR281" s="141"/>
      <c r="CS281" s="141"/>
      <c r="CT281" s="141"/>
      <c r="CU281" s="141"/>
      <c r="CV281" s="141"/>
      <c r="CW281" s="141"/>
      <c r="CX281" s="141"/>
      <c r="CY281" s="141">
        <v>0</v>
      </c>
      <c r="CZ281" s="141">
        <v>0</v>
      </c>
      <c r="DA281" s="141">
        <v>0</v>
      </c>
      <c r="DB281" s="141">
        <v>19</v>
      </c>
      <c r="DC281" s="141">
        <v>0</v>
      </c>
      <c r="DD281" s="141">
        <v>33</v>
      </c>
      <c r="DE281">
        <f t="shared" si="77"/>
        <v>928214</v>
      </c>
      <c r="DG281" s="1">
        <f t="shared" si="90"/>
        <v>612713</v>
      </c>
      <c r="DH281" s="1">
        <f t="shared" si="78"/>
        <v>256616</v>
      </c>
      <c r="DI281" s="1">
        <f t="shared" si="76"/>
        <v>869329</v>
      </c>
      <c r="DK281" s="1">
        <f t="shared" si="79"/>
        <v>58654</v>
      </c>
      <c r="DL281" s="1">
        <f t="shared" si="80"/>
        <v>141170</v>
      </c>
      <c r="DM281" s="1">
        <f t="shared" si="81"/>
        <v>11312</v>
      </c>
      <c r="DN281" s="1">
        <f t="shared" si="82"/>
        <v>44852</v>
      </c>
      <c r="DO281" s="1">
        <f t="shared" si="83"/>
        <v>444907</v>
      </c>
      <c r="DP281" s="1">
        <f t="shared" si="84"/>
        <v>85316</v>
      </c>
      <c r="DQ281" s="1">
        <f t="shared" si="91"/>
        <v>0</v>
      </c>
      <c r="DR281" s="1">
        <f t="shared" si="85"/>
        <v>14991</v>
      </c>
      <c r="DS281" s="1">
        <f t="shared" si="86"/>
        <v>8296</v>
      </c>
      <c r="DT281" s="1">
        <f t="shared" si="87"/>
        <v>11943</v>
      </c>
      <c r="DU281" s="1"/>
      <c r="DV281" s="1"/>
      <c r="DW281" s="1"/>
      <c r="DX281" s="1">
        <f t="shared" si="92"/>
        <v>821441</v>
      </c>
      <c r="DZ281" s="1">
        <f t="shared" si="93"/>
        <v>46401</v>
      </c>
      <c r="EA281" s="1">
        <f t="shared" si="95"/>
        <v>62395</v>
      </c>
      <c r="EC281" s="1">
        <f t="shared" si="94"/>
        <v>930237</v>
      </c>
      <c r="ED281" s="1">
        <f t="shared" si="89"/>
        <v>2023</v>
      </c>
      <c r="EE281" s="1"/>
    </row>
    <row r="282" spans="1:135" x14ac:dyDescent="0.25">
      <c r="A282" s="140">
        <v>40787</v>
      </c>
      <c r="B282" s="141">
        <v>0</v>
      </c>
      <c r="C282" s="141">
        <v>0</v>
      </c>
      <c r="D282" s="141">
        <v>0</v>
      </c>
      <c r="E282" s="141">
        <v>0</v>
      </c>
      <c r="F282" s="141">
        <v>1254</v>
      </c>
      <c r="G282" s="141">
        <v>16599</v>
      </c>
      <c r="H282" s="141">
        <v>30279</v>
      </c>
      <c r="I282" s="141">
        <v>5016</v>
      </c>
      <c r="J282" s="141">
        <v>8880</v>
      </c>
      <c r="K282" s="141"/>
      <c r="L282" s="141">
        <v>26399</v>
      </c>
      <c r="M282" s="141">
        <v>1754</v>
      </c>
      <c r="N282" s="141"/>
      <c r="O282" s="141">
        <v>1543</v>
      </c>
      <c r="P282" s="141">
        <v>11816</v>
      </c>
      <c r="Q282" s="141">
        <v>311</v>
      </c>
      <c r="R282" s="141">
        <v>8477</v>
      </c>
      <c r="S282" s="141">
        <v>11312</v>
      </c>
      <c r="T282" s="141"/>
      <c r="U282" s="141"/>
      <c r="V282" s="141">
        <v>403</v>
      </c>
      <c r="W282" s="141">
        <v>7951</v>
      </c>
      <c r="X282" s="141">
        <v>331</v>
      </c>
      <c r="Y282" s="141">
        <v>8</v>
      </c>
      <c r="Z282" s="142"/>
      <c r="AA282" s="141">
        <v>6</v>
      </c>
      <c r="AB282" s="141">
        <v>224</v>
      </c>
      <c r="AC282" s="141">
        <v>31</v>
      </c>
      <c r="AD282" s="141">
        <v>33</v>
      </c>
      <c r="AE282" s="141">
        <v>39</v>
      </c>
      <c r="AF282" s="141">
        <v>86</v>
      </c>
      <c r="AG282" s="141"/>
      <c r="AH282" s="141"/>
      <c r="AI282" s="141">
        <v>12</v>
      </c>
      <c r="AJ282" s="141">
        <v>10715</v>
      </c>
      <c r="AK282" s="141">
        <v>109867</v>
      </c>
      <c r="AL282" s="141">
        <v>3124</v>
      </c>
      <c r="AM282" s="141">
        <v>20062</v>
      </c>
      <c r="AN282" s="141">
        <v>20</v>
      </c>
      <c r="AO282" s="141">
        <v>0</v>
      </c>
      <c r="AP282" s="141">
        <v>10000</v>
      </c>
      <c r="AQ282" s="141">
        <v>0</v>
      </c>
      <c r="AR282" s="141">
        <v>2830</v>
      </c>
      <c r="AS282" s="141">
        <v>43</v>
      </c>
      <c r="AT282" s="141">
        <v>6512</v>
      </c>
      <c r="AU282" s="141">
        <v>2320</v>
      </c>
      <c r="AV282" s="141">
        <v>4558</v>
      </c>
      <c r="AW282" s="141">
        <v>14704</v>
      </c>
      <c r="AX282" s="142"/>
      <c r="AY282" s="142"/>
      <c r="AZ282" s="142">
        <v>781</v>
      </c>
      <c r="BA282" s="142"/>
      <c r="BB282" s="141">
        <v>344</v>
      </c>
      <c r="BC282" s="141"/>
      <c r="BD282" s="141">
        <v>0</v>
      </c>
      <c r="BE282" s="141">
        <v>0</v>
      </c>
      <c r="BF282" s="141">
        <v>1212</v>
      </c>
      <c r="BG282" s="141">
        <v>0</v>
      </c>
      <c r="BH282" s="141">
        <v>0</v>
      </c>
      <c r="BI282" s="141">
        <v>8067</v>
      </c>
      <c r="BJ282" s="141">
        <v>21</v>
      </c>
      <c r="BK282" s="141">
        <v>2610</v>
      </c>
      <c r="BL282" s="141"/>
      <c r="BM282" s="141">
        <v>376</v>
      </c>
      <c r="BN282" s="141">
        <v>37</v>
      </c>
      <c r="BO282" s="141">
        <v>8296</v>
      </c>
      <c r="BP282" s="141">
        <v>78411</v>
      </c>
      <c r="BQ282" s="141">
        <v>523</v>
      </c>
      <c r="BR282" s="141">
        <v>123</v>
      </c>
      <c r="BS282" s="141">
        <v>6979</v>
      </c>
      <c r="BT282" s="141">
        <v>109</v>
      </c>
      <c r="BU282" s="141"/>
      <c r="BV282" s="141">
        <v>0</v>
      </c>
      <c r="BW282" s="141">
        <v>54</v>
      </c>
      <c r="BX282" s="141"/>
      <c r="BY282" s="141">
        <v>6</v>
      </c>
      <c r="BZ282" s="141">
        <v>0</v>
      </c>
      <c r="CA282" s="141">
        <v>23501</v>
      </c>
      <c r="CB282" s="141">
        <v>14991</v>
      </c>
      <c r="CC282" s="141">
        <v>153330</v>
      </c>
      <c r="CD282" s="141">
        <v>242894</v>
      </c>
      <c r="CE282" s="141">
        <v>24331</v>
      </c>
      <c r="CF282" s="141">
        <v>46810</v>
      </c>
      <c r="CG282" s="141">
        <v>0</v>
      </c>
      <c r="CH282" s="141">
        <v>0</v>
      </c>
      <c r="CI282" s="141">
        <v>4</v>
      </c>
      <c r="CJ282" s="141">
        <v>28</v>
      </c>
      <c r="CK282" s="141"/>
      <c r="CL282" s="141"/>
      <c r="CM282" s="141"/>
      <c r="CN282" s="141"/>
      <c r="CO282" s="141"/>
      <c r="CP282" s="141"/>
      <c r="CQ282" s="141"/>
      <c r="CR282" s="141"/>
      <c r="CS282" s="141"/>
      <c r="CT282" s="141"/>
      <c r="CU282" s="141"/>
      <c r="CV282" s="141"/>
      <c r="CW282" s="141"/>
      <c r="CX282" s="141"/>
      <c r="CY282" s="141">
        <v>0</v>
      </c>
      <c r="CZ282" s="141">
        <v>0</v>
      </c>
      <c r="DA282" s="141">
        <v>0</v>
      </c>
      <c r="DB282" s="141">
        <v>19</v>
      </c>
      <c r="DC282" s="141">
        <v>0</v>
      </c>
      <c r="DD282" s="141">
        <v>33</v>
      </c>
      <c r="DE282">
        <f t="shared" si="77"/>
        <v>931357</v>
      </c>
      <c r="DG282" s="1">
        <f t="shared" si="90"/>
        <v>613760</v>
      </c>
      <c r="DH282" s="1">
        <f t="shared" si="78"/>
        <v>257371</v>
      </c>
      <c r="DI282" s="1">
        <f t="shared" si="76"/>
        <v>871131</v>
      </c>
      <c r="DK282" s="1">
        <f t="shared" si="79"/>
        <v>58771</v>
      </c>
      <c r="DL282" s="1">
        <f t="shared" si="80"/>
        <v>141798</v>
      </c>
      <c r="DM282" s="1">
        <f t="shared" si="81"/>
        <v>11327</v>
      </c>
      <c r="DN282" s="1">
        <f t="shared" si="82"/>
        <v>45201</v>
      </c>
      <c r="DO282" s="1">
        <f t="shared" si="83"/>
        <v>445503</v>
      </c>
      <c r="DP282" s="1">
        <f t="shared" si="84"/>
        <v>85766</v>
      </c>
      <c r="DQ282" s="1">
        <f t="shared" si="91"/>
        <v>0</v>
      </c>
      <c r="DR282" s="1">
        <f t="shared" si="85"/>
        <v>14651</v>
      </c>
      <c r="DS282" s="1">
        <f t="shared" si="86"/>
        <v>8590</v>
      </c>
      <c r="DT282" s="1">
        <f t="shared" si="87"/>
        <v>11923</v>
      </c>
      <c r="DU282" s="1"/>
      <c r="DV282" s="1"/>
      <c r="DW282" s="1"/>
      <c r="DX282" s="1">
        <f t="shared" si="92"/>
        <v>823530</v>
      </c>
      <c r="DZ282" s="1">
        <f t="shared" si="93"/>
        <v>46810</v>
      </c>
      <c r="EA282" s="1">
        <f t="shared" ref="EA282:EA288" si="96">SUM(F282:K282,N282,CS282:CT282)</f>
        <v>62028</v>
      </c>
      <c r="EC282" s="1">
        <f t="shared" si="94"/>
        <v>932368</v>
      </c>
      <c r="ED282" s="1">
        <f t="shared" si="89"/>
        <v>1011</v>
      </c>
      <c r="EE282" s="1"/>
    </row>
    <row r="283" spans="1:135" x14ac:dyDescent="0.25">
      <c r="A283" s="140">
        <v>40817</v>
      </c>
      <c r="B283" s="141">
        <v>0</v>
      </c>
      <c r="C283" s="141">
        <v>0</v>
      </c>
      <c r="D283" s="141">
        <v>0</v>
      </c>
      <c r="E283" s="141">
        <v>0</v>
      </c>
      <c r="F283" s="141">
        <v>1250</v>
      </c>
      <c r="G283" s="141">
        <v>16470</v>
      </c>
      <c r="H283" s="141">
        <v>30030</v>
      </c>
      <c r="I283" s="141">
        <v>5012</v>
      </c>
      <c r="J283" s="141">
        <v>8754</v>
      </c>
      <c r="K283" s="141"/>
      <c r="L283" s="141">
        <v>26400</v>
      </c>
      <c r="M283" s="141">
        <v>1755</v>
      </c>
      <c r="N283" s="141"/>
      <c r="O283" s="141">
        <v>1554</v>
      </c>
      <c r="P283" s="141">
        <v>11878</v>
      </c>
      <c r="Q283" s="141">
        <v>309</v>
      </c>
      <c r="R283" s="141">
        <v>8496</v>
      </c>
      <c r="S283" s="141">
        <v>11327</v>
      </c>
      <c r="T283" s="141"/>
      <c r="U283" s="141"/>
      <c r="V283" s="141">
        <v>404</v>
      </c>
      <c r="W283" s="141">
        <v>7975</v>
      </c>
      <c r="X283" s="141">
        <v>329</v>
      </c>
      <c r="Y283" s="141">
        <v>7</v>
      </c>
      <c r="Z283" s="142"/>
      <c r="AA283" s="141">
        <v>5</v>
      </c>
      <c r="AB283" s="141">
        <v>220</v>
      </c>
      <c r="AC283" s="141">
        <v>29</v>
      </c>
      <c r="AD283" s="141">
        <v>28</v>
      </c>
      <c r="AE283" s="141">
        <v>41</v>
      </c>
      <c r="AF283" s="141">
        <v>87</v>
      </c>
      <c r="AG283" s="141"/>
      <c r="AH283" s="141"/>
      <c r="AI283" s="141">
        <v>12</v>
      </c>
      <c r="AJ283" s="141">
        <v>10798</v>
      </c>
      <c r="AK283" s="141">
        <v>109969</v>
      </c>
      <c r="AL283" s="141">
        <v>3141</v>
      </c>
      <c r="AM283" s="141">
        <v>20132</v>
      </c>
      <c r="AN283" s="141">
        <v>21</v>
      </c>
      <c r="AO283" s="141">
        <v>0</v>
      </c>
      <c r="AP283" s="141">
        <v>10171</v>
      </c>
      <c r="AQ283" s="141">
        <v>0</v>
      </c>
      <c r="AR283" s="141">
        <v>2838</v>
      </c>
      <c r="AS283" s="141">
        <v>40</v>
      </c>
      <c r="AT283" s="141">
        <v>6540</v>
      </c>
      <c r="AU283" s="141">
        <v>2319</v>
      </c>
      <c r="AV283" s="141">
        <v>4590</v>
      </c>
      <c r="AW283" s="141">
        <v>14811</v>
      </c>
      <c r="AX283" s="142"/>
      <c r="AY283" s="142"/>
      <c r="AZ283" s="142">
        <v>796</v>
      </c>
      <c r="BA283" s="142"/>
      <c r="BB283" s="141">
        <v>349</v>
      </c>
      <c r="BC283" s="141"/>
      <c r="BD283" s="141">
        <v>0</v>
      </c>
      <c r="BE283" s="141">
        <v>0</v>
      </c>
      <c r="BF283" s="141">
        <v>1218</v>
      </c>
      <c r="BG283" s="141">
        <v>0</v>
      </c>
      <c r="BH283" s="141">
        <v>0</v>
      </c>
      <c r="BI283" s="141">
        <v>8067</v>
      </c>
      <c r="BJ283" s="141">
        <v>20</v>
      </c>
      <c r="BK283" s="141">
        <v>2586</v>
      </c>
      <c r="BL283" s="141"/>
      <c r="BM283" s="141">
        <v>376</v>
      </c>
      <c r="BN283" s="141">
        <v>35</v>
      </c>
      <c r="BO283" s="141">
        <v>8590</v>
      </c>
      <c r="BP283" s="141">
        <v>78825</v>
      </c>
      <c r="BQ283" s="141">
        <v>498</v>
      </c>
      <c r="BR283" s="141">
        <v>120</v>
      </c>
      <c r="BS283" s="141">
        <v>6949</v>
      </c>
      <c r="BT283" s="141">
        <v>99</v>
      </c>
      <c r="BU283" s="141"/>
      <c r="BV283" s="141">
        <v>0</v>
      </c>
      <c r="BW283" s="141">
        <v>52</v>
      </c>
      <c r="BX283" s="141"/>
      <c r="BY283" s="141">
        <v>6</v>
      </c>
      <c r="BZ283" s="141">
        <v>0</v>
      </c>
      <c r="CA283" s="141">
        <v>23594</v>
      </c>
      <c r="CB283" s="141">
        <v>14651</v>
      </c>
      <c r="CC283" s="141">
        <v>153035</v>
      </c>
      <c r="CD283" s="141">
        <v>243701</v>
      </c>
      <c r="CE283" s="141">
        <v>24362</v>
      </c>
      <c r="CF283" s="141">
        <v>46943</v>
      </c>
      <c r="CG283" s="141">
        <v>0</v>
      </c>
      <c r="CH283" s="141">
        <v>0</v>
      </c>
      <c r="CI283" s="141">
        <v>4</v>
      </c>
      <c r="CJ283" s="141">
        <v>29</v>
      </c>
      <c r="CK283" s="141"/>
      <c r="CL283" s="141"/>
      <c r="CM283" s="141"/>
      <c r="CN283" s="141"/>
      <c r="CO283" s="141"/>
      <c r="CP283" s="141"/>
      <c r="CQ283" s="141"/>
      <c r="CR283" s="141"/>
      <c r="CS283" s="141"/>
      <c r="CT283" s="141"/>
      <c r="CU283" s="141"/>
      <c r="CV283" s="141"/>
      <c r="CW283" s="141"/>
      <c r="CX283" s="141"/>
      <c r="CY283" s="141">
        <v>0</v>
      </c>
      <c r="CZ283" s="141">
        <v>0</v>
      </c>
      <c r="DA283" s="141">
        <v>0</v>
      </c>
      <c r="DB283" s="141">
        <v>19</v>
      </c>
      <c r="DC283" s="141">
        <v>0</v>
      </c>
      <c r="DD283" s="141">
        <v>33</v>
      </c>
      <c r="DE283">
        <f t="shared" si="77"/>
        <v>932647</v>
      </c>
      <c r="DG283" s="1">
        <f t="shared" si="90"/>
        <v>618165</v>
      </c>
      <c r="DH283" s="1">
        <f t="shared" si="78"/>
        <v>258124</v>
      </c>
      <c r="DI283" s="1">
        <f t="shared" si="76"/>
        <v>876289</v>
      </c>
      <c r="DK283" s="1">
        <f t="shared" si="79"/>
        <v>58626</v>
      </c>
      <c r="DL283" s="1">
        <f t="shared" si="80"/>
        <v>142072</v>
      </c>
      <c r="DM283" s="1">
        <f t="shared" si="81"/>
        <v>11370</v>
      </c>
      <c r="DN283" s="1">
        <f t="shared" si="82"/>
        <v>45574</v>
      </c>
      <c r="DO283" s="1">
        <f t="shared" si="83"/>
        <v>447446</v>
      </c>
      <c r="DP283" s="1">
        <f t="shared" si="84"/>
        <v>86150</v>
      </c>
      <c r="DQ283" s="1">
        <f t="shared" si="91"/>
        <v>0</v>
      </c>
      <c r="DR283" s="1">
        <f t="shared" si="85"/>
        <v>14378</v>
      </c>
      <c r="DS283" s="1">
        <f t="shared" si="86"/>
        <v>9850</v>
      </c>
      <c r="DT283" s="1">
        <f t="shared" si="87"/>
        <v>12008</v>
      </c>
      <c r="DU283" s="1"/>
      <c r="DV283" s="1"/>
      <c r="DW283" s="1"/>
      <c r="DX283" s="1">
        <f t="shared" si="92"/>
        <v>827474</v>
      </c>
      <c r="DZ283" s="1">
        <f t="shared" si="93"/>
        <v>46943</v>
      </c>
      <c r="EA283" s="1">
        <f t="shared" si="96"/>
        <v>61516</v>
      </c>
      <c r="EC283" s="1">
        <f t="shared" si="94"/>
        <v>935933</v>
      </c>
      <c r="ED283" s="1">
        <f t="shared" si="89"/>
        <v>3286</v>
      </c>
      <c r="EE283" s="1"/>
    </row>
    <row r="284" spans="1:135" x14ac:dyDescent="0.25">
      <c r="A284" s="140">
        <v>40848</v>
      </c>
      <c r="B284" s="141">
        <v>0</v>
      </c>
      <c r="C284" s="141">
        <v>0</v>
      </c>
      <c r="D284" s="141">
        <v>0</v>
      </c>
      <c r="E284" s="141">
        <v>0</v>
      </c>
      <c r="F284" s="141">
        <v>1250</v>
      </c>
      <c r="G284" s="141">
        <v>16716</v>
      </c>
      <c r="H284" s="141">
        <v>30420</v>
      </c>
      <c r="I284" s="141">
        <v>5039</v>
      </c>
      <c r="J284" s="141">
        <v>8702</v>
      </c>
      <c r="K284" s="141"/>
      <c r="L284" s="141">
        <v>26325</v>
      </c>
      <c r="M284" s="141">
        <v>1763</v>
      </c>
      <c r="N284" s="141"/>
      <c r="O284" s="141">
        <v>1564</v>
      </c>
      <c r="P284" s="141">
        <v>11820</v>
      </c>
      <c r="Q284" s="141">
        <v>299</v>
      </c>
      <c r="R284" s="141">
        <v>8460</v>
      </c>
      <c r="S284" s="141">
        <v>11370</v>
      </c>
      <c r="T284" s="141"/>
      <c r="U284" s="141"/>
      <c r="V284" s="141">
        <v>406</v>
      </c>
      <c r="W284" s="141">
        <v>7989</v>
      </c>
      <c r="X284" s="141">
        <v>334</v>
      </c>
      <c r="Y284" s="141">
        <v>7</v>
      </c>
      <c r="Z284" s="142"/>
      <c r="AA284" s="141">
        <v>8</v>
      </c>
      <c r="AB284" s="141">
        <v>223</v>
      </c>
      <c r="AC284" s="141">
        <v>28</v>
      </c>
      <c r="AD284" s="141">
        <v>31</v>
      </c>
      <c r="AE284" s="141">
        <v>42</v>
      </c>
      <c r="AF284" s="141">
        <v>85</v>
      </c>
      <c r="AG284" s="141"/>
      <c r="AH284" s="141"/>
      <c r="AI284" s="141">
        <v>10</v>
      </c>
      <c r="AJ284" s="141">
        <v>10855</v>
      </c>
      <c r="AK284" s="141">
        <v>110435</v>
      </c>
      <c r="AL284" s="141">
        <v>3150</v>
      </c>
      <c r="AM284" s="141">
        <v>20213</v>
      </c>
      <c r="AN284" s="141">
        <v>18</v>
      </c>
      <c r="AO284" s="141">
        <v>0</v>
      </c>
      <c r="AP284" s="141">
        <v>10347</v>
      </c>
      <c r="AQ284" s="141">
        <v>0</v>
      </c>
      <c r="AR284" s="141">
        <v>2778</v>
      </c>
      <c r="AS284" s="141">
        <v>40</v>
      </c>
      <c r="AT284" s="141">
        <v>6567</v>
      </c>
      <c r="AU284" s="141">
        <v>2307</v>
      </c>
      <c r="AV284" s="141">
        <v>4567</v>
      </c>
      <c r="AW284" s="141">
        <v>14929</v>
      </c>
      <c r="AX284" s="142"/>
      <c r="AY284" s="142"/>
      <c r="AZ284" s="142">
        <v>806</v>
      </c>
      <c r="BA284" s="142"/>
      <c r="BB284" s="141">
        <v>348</v>
      </c>
      <c r="BC284" s="141"/>
      <c r="BD284" s="141">
        <v>0</v>
      </c>
      <c r="BE284" s="141">
        <v>0</v>
      </c>
      <c r="BF284" s="141">
        <v>1222</v>
      </c>
      <c r="BG284" s="141">
        <v>0</v>
      </c>
      <c r="BH284" s="141">
        <v>0</v>
      </c>
      <c r="BI284" s="141">
        <v>8135</v>
      </c>
      <c r="BJ284" s="141">
        <v>15</v>
      </c>
      <c r="BK284" s="141">
        <v>2599</v>
      </c>
      <c r="BL284" s="141"/>
      <c r="BM284" s="141">
        <v>384</v>
      </c>
      <c r="BN284" s="141">
        <v>32</v>
      </c>
      <c r="BO284" s="141">
        <v>9850</v>
      </c>
      <c r="BP284" s="141">
        <v>79597</v>
      </c>
      <c r="BQ284" s="141">
        <v>503</v>
      </c>
      <c r="BR284" s="141">
        <v>123</v>
      </c>
      <c r="BS284" s="141">
        <v>6865</v>
      </c>
      <c r="BT284" s="141">
        <v>88</v>
      </c>
      <c r="BU284" s="141"/>
      <c r="BV284" s="141">
        <v>1</v>
      </c>
      <c r="BW284" s="141">
        <v>52</v>
      </c>
      <c r="BX284" s="141"/>
      <c r="BY284" s="141">
        <v>7</v>
      </c>
      <c r="BZ284" s="141">
        <v>0</v>
      </c>
      <c r="CA284" s="141">
        <v>23824</v>
      </c>
      <c r="CB284" s="141">
        <v>14376</v>
      </c>
      <c r="CC284" s="141">
        <v>153720</v>
      </c>
      <c r="CD284" s="141">
        <v>244824</v>
      </c>
      <c r="CE284" s="141">
        <v>24277</v>
      </c>
      <c r="CF284" s="141">
        <v>47637</v>
      </c>
      <c r="CG284" s="141">
        <v>0</v>
      </c>
      <c r="CH284" s="141">
        <v>2</v>
      </c>
      <c r="CI284" s="141">
        <v>4</v>
      </c>
      <c r="CJ284" s="141">
        <v>28</v>
      </c>
      <c r="CK284" s="141"/>
      <c r="CL284" s="141"/>
      <c r="CM284" s="141"/>
      <c r="CN284" s="141"/>
      <c r="CO284" s="141"/>
      <c r="CP284" s="141"/>
      <c r="CQ284" s="141"/>
      <c r="CR284" s="141"/>
      <c r="CS284" s="141"/>
      <c r="CT284" s="141"/>
      <c r="CU284" s="141"/>
      <c r="CV284" s="141"/>
      <c r="CW284" s="141"/>
      <c r="CX284" s="141"/>
      <c r="CY284" s="141">
        <v>0</v>
      </c>
      <c r="CZ284" s="141">
        <v>0</v>
      </c>
      <c r="DA284" s="141">
        <v>0</v>
      </c>
      <c r="DB284" s="141">
        <v>19</v>
      </c>
      <c r="DC284" s="141">
        <v>0</v>
      </c>
      <c r="DD284" s="141">
        <v>33</v>
      </c>
      <c r="DE284">
        <f t="shared" si="77"/>
        <v>938416</v>
      </c>
      <c r="DG284" s="1">
        <f t="shared" si="90"/>
        <v>622398</v>
      </c>
      <c r="DH284" s="1">
        <f t="shared" si="78"/>
        <v>259128</v>
      </c>
      <c r="DI284" s="1">
        <f t="shared" ref="DI284:DI312" si="97">SUM(DG284:DH284)</f>
        <v>881526</v>
      </c>
      <c r="DK284" s="1">
        <f t="shared" si="79"/>
        <v>58645</v>
      </c>
      <c r="DL284" s="1">
        <f t="shared" si="80"/>
        <v>142554</v>
      </c>
      <c r="DM284" s="1">
        <f t="shared" si="81"/>
        <v>11457</v>
      </c>
      <c r="DN284" s="1">
        <f t="shared" si="82"/>
        <v>45980</v>
      </c>
      <c r="DO284" s="1">
        <f t="shared" si="83"/>
        <v>448582</v>
      </c>
      <c r="DP284" s="1">
        <f t="shared" si="84"/>
        <v>86846</v>
      </c>
      <c r="DQ284" s="1">
        <f t="shared" si="91"/>
        <v>0</v>
      </c>
      <c r="DR284" s="1">
        <f t="shared" si="85"/>
        <v>14054</v>
      </c>
      <c r="DS284" s="1">
        <f t="shared" si="86"/>
        <v>12522</v>
      </c>
      <c r="DT284" s="1">
        <f t="shared" si="87"/>
        <v>11984</v>
      </c>
      <c r="DU284" s="1"/>
      <c r="DV284" s="1"/>
      <c r="DW284" s="1"/>
      <c r="DX284" s="1">
        <f t="shared" si="92"/>
        <v>832624</v>
      </c>
      <c r="DZ284" s="1">
        <f t="shared" si="93"/>
        <v>47637</v>
      </c>
      <c r="EA284" s="1">
        <f t="shared" si="96"/>
        <v>62127</v>
      </c>
      <c r="EC284" s="1">
        <f t="shared" si="94"/>
        <v>942388</v>
      </c>
      <c r="ED284" s="1">
        <f t="shared" si="89"/>
        <v>3972</v>
      </c>
      <c r="EE284" s="1"/>
    </row>
    <row r="285" spans="1:135" x14ac:dyDescent="0.25">
      <c r="A285" s="140">
        <v>40878</v>
      </c>
      <c r="B285" s="141">
        <v>0</v>
      </c>
      <c r="C285" s="141">
        <v>0</v>
      </c>
      <c r="D285" s="141">
        <v>0</v>
      </c>
      <c r="E285" s="141">
        <v>0</v>
      </c>
      <c r="F285" s="141">
        <v>1274</v>
      </c>
      <c r="G285" s="141">
        <v>16973</v>
      </c>
      <c r="H285" s="141">
        <v>30936</v>
      </c>
      <c r="I285" s="141">
        <v>5096</v>
      </c>
      <c r="J285" s="141">
        <v>8822</v>
      </c>
      <c r="K285" s="141"/>
      <c r="L285" s="141">
        <v>26228</v>
      </c>
      <c r="M285" s="141">
        <v>1726</v>
      </c>
      <c r="N285" s="141"/>
      <c r="O285" s="141">
        <v>1596</v>
      </c>
      <c r="P285" s="141">
        <v>11882</v>
      </c>
      <c r="Q285" s="141">
        <v>301</v>
      </c>
      <c r="R285" s="141">
        <v>8449</v>
      </c>
      <c r="S285" s="141">
        <v>11457</v>
      </c>
      <c r="T285" s="141"/>
      <c r="U285" s="141"/>
      <c r="V285" s="141">
        <v>419</v>
      </c>
      <c r="W285" s="141">
        <v>8044</v>
      </c>
      <c r="X285" s="141">
        <v>336</v>
      </c>
      <c r="Y285" s="141">
        <v>7</v>
      </c>
      <c r="Z285" s="142"/>
      <c r="AA285" s="141">
        <v>9</v>
      </c>
      <c r="AB285" s="141">
        <v>221</v>
      </c>
      <c r="AC285" s="141">
        <v>27</v>
      </c>
      <c r="AD285" s="141">
        <v>31</v>
      </c>
      <c r="AE285" s="141">
        <v>40</v>
      </c>
      <c r="AF285" s="141">
        <v>87</v>
      </c>
      <c r="AG285" s="141"/>
      <c r="AH285" s="141"/>
      <c r="AI285" s="141">
        <v>12</v>
      </c>
      <c r="AJ285" s="141">
        <v>10955</v>
      </c>
      <c r="AK285" s="141">
        <v>110689</v>
      </c>
      <c r="AL285" s="141">
        <v>3160</v>
      </c>
      <c r="AM285" s="141">
        <v>20340</v>
      </c>
      <c r="AN285" s="141">
        <v>19</v>
      </c>
      <c r="AO285" s="141">
        <v>0</v>
      </c>
      <c r="AP285" s="141">
        <v>10536</v>
      </c>
      <c r="AQ285" s="141">
        <v>0</v>
      </c>
      <c r="AR285" s="141">
        <v>2841</v>
      </c>
      <c r="AS285" s="141">
        <v>41</v>
      </c>
      <c r="AT285" s="141">
        <v>6588</v>
      </c>
      <c r="AU285" s="141">
        <v>2325</v>
      </c>
      <c r="AV285" s="141">
        <v>4593</v>
      </c>
      <c r="AW285" s="141">
        <v>15017</v>
      </c>
      <c r="AX285" s="142"/>
      <c r="AY285" s="142"/>
      <c r="AZ285" s="142">
        <v>804</v>
      </c>
      <c r="BA285" s="142"/>
      <c r="BB285" s="141">
        <v>348</v>
      </c>
      <c r="BC285" s="141"/>
      <c r="BD285" s="141">
        <v>0</v>
      </c>
      <c r="BE285" s="141">
        <v>0</v>
      </c>
      <c r="BF285" s="141">
        <v>1214</v>
      </c>
      <c r="BG285" s="141">
        <v>0</v>
      </c>
      <c r="BH285" s="141">
        <v>0</v>
      </c>
      <c r="BI285" s="141">
        <v>8142</v>
      </c>
      <c r="BJ285" s="141">
        <v>15</v>
      </c>
      <c r="BK285" s="141">
        <v>2573</v>
      </c>
      <c r="BL285" s="141"/>
      <c r="BM285" s="141">
        <v>397</v>
      </c>
      <c r="BN285" s="141">
        <v>31</v>
      </c>
      <c r="BO285" s="141">
        <v>12522</v>
      </c>
      <c r="BP285" s="141">
        <v>79802</v>
      </c>
      <c r="BQ285" s="141">
        <v>518</v>
      </c>
      <c r="BR285" s="141">
        <v>120</v>
      </c>
      <c r="BS285" s="141">
        <v>6818</v>
      </c>
      <c r="BT285" s="141">
        <v>92</v>
      </c>
      <c r="BU285" s="141"/>
      <c r="BV285" s="141">
        <v>1</v>
      </c>
      <c r="BW285" s="141">
        <v>55</v>
      </c>
      <c r="BX285" s="141"/>
      <c r="BY285" s="141">
        <v>6</v>
      </c>
      <c r="BZ285" s="141">
        <v>0</v>
      </c>
      <c r="CA285" s="141">
        <v>23878</v>
      </c>
      <c r="CB285" s="141">
        <v>14054</v>
      </c>
      <c r="CC285" s="141">
        <v>153803</v>
      </c>
      <c r="CD285" s="141">
        <v>245866</v>
      </c>
      <c r="CE285" s="141">
        <v>24223</v>
      </c>
      <c r="CF285" s="141">
        <v>48239</v>
      </c>
      <c r="CG285" s="141">
        <v>0</v>
      </c>
      <c r="CH285" s="141">
        <v>0</v>
      </c>
      <c r="CI285" s="141">
        <v>4</v>
      </c>
      <c r="CJ285" s="141">
        <v>25</v>
      </c>
      <c r="CK285" s="141"/>
      <c r="CL285" s="141"/>
      <c r="CM285" s="141"/>
      <c r="CN285" s="141"/>
      <c r="CO285" s="141"/>
      <c r="CP285" s="141"/>
      <c r="CQ285" s="141"/>
      <c r="CR285" s="141"/>
      <c r="CS285" s="141"/>
      <c r="CT285" s="141"/>
      <c r="CU285" s="141"/>
      <c r="CV285" s="141"/>
      <c r="CW285" s="141"/>
      <c r="CX285" s="141"/>
      <c r="CY285" s="141">
        <v>0</v>
      </c>
      <c r="CZ285" s="141">
        <v>0</v>
      </c>
      <c r="DA285" s="141">
        <v>0</v>
      </c>
      <c r="DB285" s="141">
        <v>19</v>
      </c>
      <c r="DC285" s="141">
        <v>0</v>
      </c>
      <c r="DD285" s="141">
        <v>33</v>
      </c>
      <c r="DE285">
        <f t="shared" si="77"/>
        <v>944627</v>
      </c>
      <c r="DG285" s="1">
        <f t="shared" si="90"/>
        <v>625194</v>
      </c>
      <c r="DH285" s="1">
        <f t="shared" si="78"/>
        <v>248743</v>
      </c>
      <c r="DI285" s="1">
        <f t="shared" si="97"/>
        <v>873937</v>
      </c>
      <c r="DK285" s="1">
        <f t="shared" si="79"/>
        <v>58505</v>
      </c>
      <c r="DL285" s="1">
        <f t="shared" si="80"/>
        <v>143046</v>
      </c>
      <c r="DM285" s="1">
        <f t="shared" si="81"/>
        <v>11474</v>
      </c>
      <c r="DN285" s="1">
        <f t="shared" si="82"/>
        <v>35711</v>
      </c>
      <c r="DO285" s="1">
        <f t="shared" si="83"/>
        <v>448879</v>
      </c>
      <c r="DP285" s="1">
        <f t="shared" si="84"/>
        <v>87017</v>
      </c>
      <c r="DQ285" s="1">
        <f t="shared" si="91"/>
        <v>0</v>
      </c>
      <c r="DR285" s="1">
        <f t="shared" si="85"/>
        <v>13948</v>
      </c>
      <c r="DS285" s="1">
        <f t="shared" si="86"/>
        <v>14856</v>
      </c>
      <c r="DT285" s="1">
        <f t="shared" si="87"/>
        <v>11937</v>
      </c>
      <c r="DU285" s="1"/>
      <c r="DV285" s="1"/>
      <c r="DW285" s="1"/>
      <c r="DX285" s="1">
        <f t="shared" si="92"/>
        <v>825373</v>
      </c>
      <c r="DZ285" s="1">
        <f t="shared" si="93"/>
        <v>48239</v>
      </c>
      <c r="EA285" s="1">
        <f t="shared" si="96"/>
        <v>63101</v>
      </c>
      <c r="EC285" s="1">
        <f t="shared" si="94"/>
        <v>936713</v>
      </c>
      <c r="ED285" s="1">
        <f t="shared" si="89"/>
        <v>-7914</v>
      </c>
      <c r="EE285" s="1"/>
    </row>
    <row r="286" spans="1:135" x14ac:dyDescent="0.25">
      <c r="A286" s="140">
        <v>40909</v>
      </c>
      <c r="B286" s="141">
        <v>0</v>
      </c>
      <c r="C286" s="141">
        <v>0</v>
      </c>
      <c r="D286" s="141">
        <v>0</v>
      </c>
      <c r="E286" s="141">
        <v>0</v>
      </c>
      <c r="F286" s="141">
        <v>1329</v>
      </c>
      <c r="G286" s="141">
        <v>17263</v>
      </c>
      <c r="H286" s="141">
        <v>31459</v>
      </c>
      <c r="I286" s="141">
        <v>5217</v>
      </c>
      <c r="J286" s="141">
        <v>8963</v>
      </c>
      <c r="K286" s="141"/>
      <c r="L286" s="141">
        <v>26116</v>
      </c>
      <c r="M286" s="141">
        <v>1704</v>
      </c>
      <c r="N286" s="141"/>
      <c r="O286" s="141">
        <v>1602</v>
      </c>
      <c r="P286" s="141">
        <v>11816</v>
      </c>
      <c r="Q286" s="141">
        <v>311</v>
      </c>
      <c r="R286" s="141">
        <v>8441</v>
      </c>
      <c r="S286" s="141">
        <v>11474</v>
      </c>
      <c r="T286" s="141"/>
      <c r="U286" s="141"/>
      <c r="V286" s="141">
        <v>420</v>
      </c>
      <c r="W286" s="141">
        <v>8095</v>
      </c>
      <c r="X286" s="141">
        <v>333</v>
      </c>
      <c r="Y286" s="141">
        <v>7</v>
      </c>
      <c r="Z286" s="142"/>
      <c r="AA286" s="141">
        <v>8</v>
      </c>
      <c r="AB286" s="141">
        <v>221</v>
      </c>
      <c r="AC286" s="141">
        <v>26</v>
      </c>
      <c r="AD286" s="141">
        <v>31</v>
      </c>
      <c r="AE286" s="141">
        <v>39</v>
      </c>
      <c r="AF286" s="141">
        <v>86</v>
      </c>
      <c r="AG286" s="141"/>
      <c r="AH286" s="141"/>
      <c r="AI286" s="141">
        <v>11</v>
      </c>
      <c r="AJ286" s="141">
        <v>10987</v>
      </c>
      <c r="AK286" s="141">
        <v>110620</v>
      </c>
      <c r="AL286" s="141">
        <v>3171</v>
      </c>
      <c r="AM286" s="141">
        <v>20484</v>
      </c>
      <c r="AN286" s="141">
        <v>18</v>
      </c>
      <c r="AO286" s="141">
        <v>2</v>
      </c>
      <c r="AP286" s="141">
        <v>0</v>
      </c>
      <c r="AQ286" s="141">
        <v>0</v>
      </c>
      <c r="AR286" s="141">
        <v>2853</v>
      </c>
      <c r="AS286" s="141">
        <v>44</v>
      </c>
      <c r="AT286" s="141">
        <v>6616</v>
      </c>
      <c r="AU286" s="141">
        <v>2332</v>
      </c>
      <c r="AV286" s="141">
        <v>4593</v>
      </c>
      <c r="AW286" s="141">
        <v>15139</v>
      </c>
      <c r="AX286" s="142"/>
      <c r="AY286" s="142"/>
      <c r="AZ286" s="142">
        <v>815</v>
      </c>
      <c r="BA286" s="142"/>
      <c r="BB286" s="141">
        <v>328</v>
      </c>
      <c r="BC286" s="141"/>
      <c r="BD286" s="141">
        <v>0</v>
      </c>
      <c r="BE286" s="141">
        <v>0</v>
      </c>
      <c r="BF286" s="141">
        <v>1226</v>
      </c>
      <c r="BG286" s="141">
        <v>0</v>
      </c>
      <c r="BH286" s="141">
        <v>0</v>
      </c>
      <c r="BI286" s="141">
        <v>8101</v>
      </c>
      <c r="BJ286" s="141">
        <v>12</v>
      </c>
      <c r="BK286" s="141">
        <v>2557</v>
      </c>
      <c r="BL286" s="141"/>
      <c r="BM286" s="141">
        <v>425</v>
      </c>
      <c r="BN286" s="141">
        <v>31</v>
      </c>
      <c r="BO286" s="141">
        <v>14856</v>
      </c>
      <c r="BP286" s="141">
        <v>79909</v>
      </c>
      <c r="BQ286" s="141">
        <v>503</v>
      </c>
      <c r="BR286" s="141">
        <v>120</v>
      </c>
      <c r="BS286" s="141">
        <v>6804</v>
      </c>
      <c r="BT286" s="141">
        <v>75</v>
      </c>
      <c r="BU286" s="141"/>
      <c r="BV286" s="141">
        <v>2</v>
      </c>
      <c r="BW286" s="141">
        <v>53</v>
      </c>
      <c r="BX286" s="141"/>
      <c r="BY286" s="141">
        <v>7</v>
      </c>
      <c r="BZ286" s="141">
        <v>0</v>
      </c>
      <c r="CA286" s="141">
        <v>23884</v>
      </c>
      <c r="CB286" s="141">
        <v>13948</v>
      </c>
      <c r="CC286" s="141">
        <v>153555</v>
      </c>
      <c r="CD286" s="141">
        <v>246375</v>
      </c>
      <c r="CE286" s="141">
        <v>24283</v>
      </c>
      <c r="CF286" s="141">
        <v>48436</v>
      </c>
      <c r="CG286" s="141">
        <v>0</v>
      </c>
      <c r="CH286" s="141">
        <v>0</v>
      </c>
      <c r="CI286" s="141">
        <v>4</v>
      </c>
      <c r="CJ286" s="141">
        <v>28</v>
      </c>
      <c r="CK286" s="141"/>
      <c r="CL286" s="141"/>
      <c r="CM286" s="141"/>
      <c r="CN286" s="141"/>
      <c r="CO286" s="141"/>
      <c r="CP286" s="141"/>
      <c r="CQ286" s="141"/>
      <c r="CR286" s="141"/>
      <c r="CS286" s="141"/>
      <c r="CT286" s="141"/>
      <c r="CU286" s="141"/>
      <c r="CV286" s="141"/>
      <c r="CW286" s="141"/>
      <c r="CX286" s="141"/>
      <c r="CY286" s="141">
        <v>0</v>
      </c>
      <c r="CZ286" s="141">
        <v>0</v>
      </c>
      <c r="DA286" s="141">
        <v>0</v>
      </c>
      <c r="DB286" s="141">
        <v>19</v>
      </c>
      <c r="DC286" s="141">
        <v>0</v>
      </c>
      <c r="DD286" s="141">
        <v>33</v>
      </c>
      <c r="DE286">
        <f t="shared" si="77"/>
        <v>938168</v>
      </c>
      <c r="DG286" s="1">
        <f t="shared" si="90"/>
        <v>632781</v>
      </c>
      <c r="DH286" s="1">
        <f t="shared" si="78"/>
        <v>257523</v>
      </c>
      <c r="DI286" s="1">
        <f t="shared" si="97"/>
        <v>890304</v>
      </c>
      <c r="DK286" s="1">
        <f t="shared" si="79"/>
        <v>58400</v>
      </c>
      <c r="DL286" s="1">
        <f t="shared" si="80"/>
        <v>143053</v>
      </c>
      <c r="DM286" s="1">
        <f t="shared" si="81"/>
        <v>11509</v>
      </c>
      <c r="DN286" s="1">
        <f t="shared" si="82"/>
        <v>43848</v>
      </c>
      <c r="DO286" s="1">
        <f t="shared" si="83"/>
        <v>452420</v>
      </c>
      <c r="DP286" s="1">
        <f t="shared" si="84"/>
        <v>87138</v>
      </c>
      <c r="DQ286" s="1">
        <f t="shared" si="91"/>
        <v>0</v>
      </c>
      <c r="DR286" s="1">
        <f t="shared" si="85"/>
        <v>14239</v>
      </c>
      <c r="DS286" s="1">
        <f t="shared" si="86"/>
        <v>16918</v>
      </c>
      <c r="DT286" s="1">
        <f t="shared" si="87"/>
        <v>11938</v>
      </c>
      <c r="DU286" s="1"/>
      <c r="DV286" s="1"/>
      <c r="DW286" s="1"/>
      <c r="DX286" s="1">
        <f t="shared" si="92"/>
        <v>839463</v>
      </c>
      <c r="DZ286" s="1">
        <f t="shared" si="93"/>
        <v>48436</v>
      </c>
      <c r="EA286" s="1">
        <f t="shared" si="96"/>
        <v>64231</v>
      </c>
      <c r="EC286" s="1">
        <f t="shared" si="94"/>
        <v>952130</v>
      </c>
      <c r="ED286" s="1">
        <f t="shared" si="89"/>
        <v>13962</v>
      </c>
      <c r="EE286" s="1"/>
    </row>
    <row r="287" spans="1:135" x14ac:dyDescent="0.25">
      <c r="A287" s="140">
        <v>40940</v>
      </c>
      <c r="B287" s="22">
        <v>0</v>
      </c>
      <c r="C287" s="22">
        <v>0</v>
      </c>
      <c r="D287" s="22">
        <v>0</v>
      </c>
      <c r="E287" s="22">
        <v>0</v>
      </c>
      <c r="F287" s="22">
        <v>1380</v>
      </c>
      <c r="G287" s="22">
        <v>17474</v>
      </c>
      <c r="H287" s="22">
        <v>31907</v>
      </c>
      <c r="I287" s="22">
        <v>5236</v>
      </c>
      <c r="J287" s="22">
        <v>9054</v>
      </c>
      <c r="K287" s="22"/>
      <c r="L287" s="22">
        <v>26009</v>
      </c>
      <c r="M287" s="22">
        <v>1682</v>
      </c>
      <c r="N287" s="22"/>
      <c r="O287" s="22">
        <v>1621</v>
      </c>
      <c r="P287" s="22">
        <v>11863</v>
      </c>
      <c r="Q287" s="22">
        <v>311</v>
      </c>
      <c r="R287" s="22">
        <v>8401</v>
      </c>
      <c r="S287" s="22">
        <v>11509</v>
      </c>
      <c r="T287" s="22"/>
      <c r="U287" s="22"/>
      <c r="V287" s="22">
        <v>415</v>
      </c>
      <c r="W287" s="22">
        <v>8098</v>
      </c>
      <c r="X287" s="22">
        <v>334</v>
      </c>
      <c r="Y287" s="22">
        <v>6</v>
      </c>
      <c r="Z287" s="143"/>
      <c r="AA287" s="22">
        <v>7</v>
      </c>
      <c r="AB287" s="22">
        <v>224</v>
      </c>
      <c r="AC287" s="22">
        <v>26</v>
      </c>
      <c r="AD287" s="22">
        <v>32</v>
      </c>
      <c r="AE287" s="22">
        <v>41</v>
      </c>
      <c r="AF287" s="22">
        <v>85</v>
      </c>
      <c r="AG287" s="22"/>
      <c r="AH287" s="22"/>
      <c r="AI287" s="22">
        <v>11</v>
      </c>
      <c r="AJ287" s="22">
        <v>11051</v>
      </c>
      <c r="AK287" s="22">
        <v>111110</v>
      </c>
      <c r="AL287" s="22">
        <v>3182</v>
      </c>
      <c r="AM287" s="22">
        <v>20765</v>
      </c>
      <c r="AN287" s="22">
        <v>17</v>
      </c>
      <c r="AO287" s="22">
        <v>2</v>
      </c>
      <c r="AP287" s="22">
        <v>7769</v>
      </c>
      <c r="AQ287" s="22">
        <v>0</v>
      </c>
      <c r="AR287" s="22">
        <v>2898</v>
      </c>
      <c r="AS287" s="22">
        <v>43</v>
      </c>
      <c r="AT287" s="22">
        <v>6694</v>
      </c>
      <c r="AU287" s="22">
        <v>2339</v>
      </c>
      <c r="AV287" s="22">
        <v>4592</v>
      </c>
      <c r="AW287" s="22">
        <v>15227</v>
      </c>
      <c r="AX287" s="143"/>
      <c r="AY287" s="143"/>
      <c r="AZ287" s="143">
        <v>831</v>
      </c>
      <c r="BA287" s="143"/>
      <c r="BB287" s="22">
        <v>328</v>
      </c>
      <c r="BC287" s="22"/>
      <c r="BD287" s="22">
        <v>0</v>
      </c>
      <c r="BE287" s="22">
        <v>0</v>
      </c>
      <c r="BF287" s="22">
        <v>1231</v>
      </c>
      <c r="BG287" s="22">
        <v>0</v>
      </c>
      <c r="BH287" s="22">
        <v>0</v>
      </c>
      <c r="BI287" s="22">
        <v>8122</v>
      </c>
      <c r="BJ287" s="22">
        <v>11</v>
      </c>
      <c r="BK287" s="22">
        <v>2532</v>
      </c>
      <c r="BL287" s="22"/>
      <c r="BM287" s="22">
        <v>423</v>
      </c>
      <c r="BN287" s="22">
        <v>27</v>
      </c>
      <c r="BO287" s="22">
        <v>16918</v>
      </c>
      <c r="BP287" s="22">
        <v>81308</v>
      </c>
      <c r="BQ287" s="22">
        <v>487</v>
      </c>
      <c r="BR287" s="22">
        <v>118</v>
      </c>
      <c r="BS287" s="22">
        <v>6789</v>
      </c>
      <c r="BT287" s="22">
        <v>71</v>
      </c>
      <c r="BU287" s="22"/>
      <c r="BV287" s="22">
        <v>3</v>
      </c>
      <c r="BW287" s="22">
        <v>53</v>
      </c>
      <c r="BX287" s="22"/>
      <c r="BY287" s="22">
        <v>5</v>
      </c>
      <c r="BZ287" s="22">
        <v>0</v>
      </c>
      <c r="CA287" s="22">
        <v>23966</v>
      </c>
      <c r="CB287" s="22">
        <v>14238</v>
      </c>
      <c r="CC287" s="22">
        <v>154613</v>
      </c>
      <c r="CD287" s="22">
        <v>248459</v>
      </c>
      <c r="CE287" s="22">
        <v>24624</v>
      </c>
      <c r="CF287" s="22">
        <v>48746</v>
      </c>
      <c r="CG287" s="22">
        <v>0</v>
      </c>
      <c r="CH287" s="22">
        <v>1</v>
      </c>
      <c r="CI287" s="22">
        <v>4</v>
      </c>
      <c r="CJ287" s="22">
        <v>32</v>
      </c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>
        <v>0</v>
      </c>
      <c r="CZ287" s="22">
        <v>0</v>
      </c>
      <c r="DA287" s="22">
        <v>0</v>
      </c>
      <c r="DB287" s="22">
        <v>19</v>
      </c>
      <c r="DC287" s="22">
        <v>0</v>
      </c>
      <c r="DD287" s="22">
        <v>33</v>
      </c>
      <c r="DE287">
        <f t="shared" si="77"/>
        <v>955355</v>
      </c>
      <c r="DG287" s="1">
        <f t="shared" si="90"/>
        <v>632733</v>
      </c>
      <c r="DH287" s="1">
        <f t="shared" si="78"/>
        <v>259038</v>
      </c>
      <c r="DI287" s="1">
        <f t="shared" si="97"/>
        <v>891771</v>
      </c>
      <c r="DK287" s="1">
        <f t="shared" si="79"/>
        <v>58423</v>
      </c>
      <c r="DL287" s="1">
        <f t="shared" si="80"/>
        <v>143766</v>
      </c>
      <c r="DM287" s="1">
        <f t="shared" si="81"/>
        <v>11525</v>
      </c>
      <c r="DN287" s="1">
        <f t="shared" si="82"/>
        <v>45236</v>
      </c>
      <c r="DO287" s="1">
        <f t="shared" si="83"/>
        <v>451153</v>
      </c>
      <c r="DP287" s="1">
        <f t="shared" si="84"/>
        <v>88520</v>
      </c>
      <c r="DQ287" s="1">
        <f t="shared" si="91"/>
        <v>0</v>
      </c>
      <c r="DR287" s="1">
        <f t="shared" si="85"/>
        <v>14334</v>
      </c>
      <c r="DS287" s="1">
        <f t="shared" si="86"/>
        <v>18949</v>
      </c>
      <c r="DT287" s="1">
        <f t="shared" si="87"/>
        <v>11909</v>
      </c>
      <c r="DU287" s="1"/>
      <c r="DV287" s="1"/>
      <c r="DW287" s="1"/>
      <c r="DX287" s="1">
        <f t="shared" si="92"/>
        <v>843815</v>
      </c>
      <c r="DZ287" s="1">
        <f t="shared" si="93"/>
        <v>48746</v>
      </c>
      <c r="EA287" s="1">
        <f t="shared" si="96"/>
        <v>65051</v>
      </c>
      <c r="EC287" s="1">
        <f t="shared" si="94"/>
        <v>957612</v>
      </c>
      <c r="ED287" s="1">
        <f t="shared" si="89"/>
        <v>2257</v>
      </c>
      <c r="EE287" s="1"/>
    </row>
    <row r="288" spans="1:135" x14ac:dyDescent="0.25">
      <c r="A288" s="140">
        <v>40969</v>
      </c>
      <c r="B288" s="22">
        <v>0</v>
      </c>
      <c r="C288" s="22">
        <v>0</v>
      </c>
      <c r="D288" s="22">
        <v>0</v>
      </c>
      <c r="E288" s="22">
        <v>0</v>
      </c>
      <c r="F288" s="22">
        <v>1398</v>
      </c>
      <c r="G288" s="22">
        <v>17481</v>
      </c>
      <c r="H288" s="22">
        <v>31669</v>
      </c>
      <c r="I288" s="22">
        <v>5123</v>
      </c>
      <c r="J288" s="22">
        <v>9021</v>
      </c>
      <c r="K288" s="22"/>
      <c r="L288" s="22">
        <v>25969</v>
      </c>
      <c r="M288" s="22">
        <v>1688</v>
      </c>
      <c r="N288" s="22"/>
      <c r="O288" s="22">
        <v>1634</v>
      </c>
      <c r="P288" s="22">
        <v>11961</v>
      </c>
      <c r="Q288" s="22">
        <v>308</v>
      </c>
      <c r="R288" s="22">
        <v>8404</v>
      </c>
      <c r="S288" s="22">
        <v>11525</v>
      </c>
      <c r="T288" s="22"/>
      <c r="U288" s="22"/>
      <c r="V288" s="22">
        <v>413</v>
      </c>
      <c r="W288" s="22">
        <v>8046</v>
      </c>
      <c r="X288" s="22">
        <v>335</v>
      </c>
      <c r="Y288" s="22">
        <v>7</v>
      </c>
      <c r="Z288" s="143"/>
      <c r="AA288" s="22">
        <v>7</v>
      </c>
      <c r="AB288" s="22">
        <v>228</v>
      </c>
      <c r="AC288" s="22">
        <v>24</v>
      </c>
      <c r="AD288" s="22">
        <v>32</v>
      </c>
      <c r="AE288" s="22">
        <v>42</v>
      </c>
      <c r="AF288" s="22">
        <v>85</v>
      </c>
      <c r="AG288" s="22"/>
      <c r="AH288" s="22"/>
      <c r="AI288" s="22">
        <v>11</v>
      </c>
      <c r="AJ288" s="22">
        <v>11032</v>
      </c>
      <c r="AK288" s="22">
        <v>111232</v>
      </c>
      <c r="AL288" s="22">
        <v>3181</v>
      </c>
      <c r="AM288" s="22">
        <v>20893</v>
      </c>
      <c r="AN288" s="22">
        <v>16</v>
      </c>
      <c r="AO288" s="22">
        <v>4</v>
      </c>
      <c r="AP288" s="22">
        <v>8860</v>
      </c>
      <c r="AQ288" s="22">
        <v>0</v>
      </c>
      <c r="AR288" s="22">
        <v>2834</v>
      </c>
      <c r="AS288" s="22">
        <v>46</v>
      </c>
      <c r="AT288" s="22">
        <v>6712</v>
      </c>
      <c r="AU288" s="22">
        <v>2355</v>
      </c>
      <c r="AV288" s="22">
        <v>4606</v>
      </c>
      <c r="AW288" s="22">
        <v>15394</v>
      </c>
      <c r="AX288" s="143"/>
      <c r="AY288" s="143"/>
      <c r="AZ288" s="143">
        <v>840</v>
      </c>
      <c r="BA288" s="143"/>
      <c r="BB288" s="22">
        <v>314</v>
      </c>
      <c r="BC288" s="22"/>
      <c r="BD288" s="22">
        <v>0</v>
      </c>
      <c r="BE288" s="22">
        <v>0</v>
      </c>
      <c r="BF288" s="22">
        <v>1237</v>
      </c>
      <c r="BG288" s="22">
        <v>0</v>
      </c>
      <c r="BH288" s="22">
        <v>0</v>
      </c>
      <c r="BI288" s="22">
        <v>8092</v>
      </c>
      <c r="BJ288" s="22">
        <v>11</v>
      </c>
      <c r="BK288" s="22">
        <v>2533</v>
      </c>
      <c r="BL288" s="22"/>
      <c r="BM288" s="22">
        <v>417</v>
      </c>
      <c r="BN288" s="22">
        <v>26</v>
      </c>
      <c r="BO288" s="22">
        <v>18949</v>
      </c>
      <c r="BP288" s="22">
        <v>80906</v>
      </c>
      <c r="BQ288" s="22">
        <v>487</v>
      </c>
      <c r="BR288" s="22">
        <v>109</v>
      </c>
      <c r="BS288" s="22">
        <v>6609</v>
      </c>
      <c r="BT288" s="22">
        <v>68</v>
      </c>
      <c r="BU288" s="22"/>
      <c r="BV288" s="22">
        <v>2</v>
      </c>
      <c r="BW288" s="22">
        <v>47</v>
      </c>
      <c r="BX288" s="22"/>
      <c r="BY288" s="22">
        <v>2</v>
      </c>
      <c r="BZ288" s="22">
        <v>0</v>
      </c>
      <c r="CA288" s="22">
        <v>23816</v>
      </c>
      <c r="CB288" s="22">
        <v>14333</v>
      </c>
      <c r="CC288" s="22">
        <v>153848</v>
      </c>
      <c r="CD288" s="22">
        <v>247898</v>
      </c>
      <c r="CE288" s="22">
        <v>24839</v>
      </c>
      <c r="CF288" s="22">
        <v>48456</v>
      </c>
      <c r="CG288" s="22">
        <v>0</v>
      </c>
      <c r="CH288" s="22">
        <v>1</v>
      </c>
      <c r="CI288" s="22">
        <v>5</v>
      </c>
      <c r="CJ288" s="22">
        <v>42</v>
      </c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>
        <v>0</v>
      </c>
      <c r="CZ288" s="22">
        <v>0</v>
      </c>
      <c r="DA288" s="22">
        <v>0</v>
      </c>
      <c r="DB288" s="22">
        <v>19</v>
      </c>
      <c r="DC288" s="22">
        <v>0</v>
      </c>
      <c r="DD288" s="22">
        <v>33</v>
      </c>
      <c r="DE288">
        <f t="shared" si="77"/>
        <v>956463</v>
      </c>
      <c r="DG288" s="1">
        <f t="shared" si="90"/>
        <v>637938</v>
      </c>
      <c r="DH288" s="1">
        <f t="shared" si="78"/>
        <v>260066</v>
      </c>
      <c r="DI288" s="1">
        <f t="shared" si="97"/>
        <v>898004</v>
      </c>
      <c r="DK288" s="1">
        <f t="shared" si="79"/>
        <v>58558</v>
      </c>
      <c r="DL288" s="1">
        <f t="shared" si="80"/>
        <v>143854</v>
      </c>
      <c r="DM288" s="1">
        <f t="shared" si="81"/>
        <v>11546</v>
      </c>
      <c r="DN288" s="1">
        <f t="shared" si="82"/>
        <v>45945</v>
      </c>
      <c r="DO288" s="1">
        <f t="shared" si="83"/>
        <v>453225</v>
      </c>
      <c r="DP288" s="1">
        <f t="shared" si="84"/>
        <v>87932</v>
      </c>
      <c r="DQ288" s="1">
        <f t="shared" si="91"/>
        <v>0</v>
      </c>
      <c r="DR288" s="1">
        <f t="shared" si="85"/>
        <v>14558</v>
      </c>
      <c r="DS288" s="1">
        <f t="shared" si="86"/>
        <v>21258</v>
      </c>
      <c r="DT288" s="1">
        <f t="shared" si="87"/>
        <v>11908</v>
      </c>
      <c r="DU288" s="1"/>
      <c r="DV288" s="1"/>
      <c r="DW288" s="1"/>
      <c r="DX288" s="1">
        <f t="shared" si="92"/>
        <v>848784</v>
      </c>
      <c r="DZ288" s="1">
        <f t="shared" si="93"/>
        <v>48456</v>
      </c>
      <c r="EA288" s="1">
        <f t="shared" si="96"/>
        <v>64692</v>
      </c>
      <c r="EC288" s="1">
        <f t="shared" si="94"/>
        <v>961932</v>
      </c>
      <c r="ED288" s="1">
        <f t="shared" si="89"/>
        <v>5469</v>
      </c>
      <c r="EE288" s="1"/>
    </row>
    <row r="289" spans="1:135" x14ac:dyDescent="0.25">
      <c r="A289" s="140">
        <v>41000</v>
      </c>
      <c r="B289" s="22">
        <v>0</v>
      </c>
      <c r="C289" s="22">
        <v>0</v>
      </c>
      <c r="D289" s="22">
        <v>0</v>
      </c>
      <c r="E289" s="22">
        <v>0</v>
      </c>
      <c r="F289" s="22">
        <v>1436</v>
      </c>
      <c r="G289" s="22">
        <v>17490</v>
      </c>
      <c r="H289" s="22">
        <v>32049</v>
      </c>
      <c r="I289" s="22">
        <v>5143</v>
      </c>
      <c r="J289" s="22">
        <v>9132</v>
      </c>
      <c r="K289" s="22"/>
      <c r="L289" s="22">
        <v>25913</v>
      </c>
      <c r="M289" s="22">
        <v>1675</v>
      </c>
      <c r="N289" s="22"/>
      <c r="O289" s="22">
        <v>1657</v>
      </c>
      <c r="P289" s="22">
        <v>12091</v>
      </c>
      <c r="Q289" s="22">
        <v>306</v>
      </c>
      <c r="R289" s="22">
        <v>8447</v>
      </c>
      <c r="S289" s="22">
        <v>11546</v>
      </c>
      <c r="T289" s="22"/>
      <c r="U289" s="22"/>
      <c r="V289" s="22">
        <v>418</v>
      </c>
      <c r="W289" s="22">
        <v>8051</v>
      </c>
      <c r="X289" s="22">
        <v>333</v>
      </c>
      <c r="Y289" s="22">
        <v>7</v>
      </c>
      <c r="Z289" s="143"/>
      <c r="AA289" s="22">
        <v>6</v>
      </c>
      <c r="AB289" s="22">
        <v>225</v>
      </c>
      <c r="AC289" s="22">
        <v>27</v>
      </c>
      <c r="AD289" s="22">
        <v>32</v>
      </c>
      <c r="AE289" s="22">
        <v>42</v>
      </c>
      <c r="AF289" s="22">
        <v>87</v>
      </c>
      <c r="AG289" s="22"/>
      <c r="AH289" s="22"/>
      <c r="AI289" s="22">
        <v>11</v>
      </c>
      <c r="AJ289" s="22">
        <v>11045</v>
      </c>
      <c r="AK289" s="22">
        <v>111163</v>
      </c>
      <c r="AL289" s="22">
        <v>3147</v>
      </c>
      <c r="AM289" s="22">
        <v>21084</v>
      </c>
      <c r="AN289" s="22">
        <v>19</v>
      </c>
      <c r="AO289" s="22">
        <v>2</v>
      </c>
      <c r="AP289" s="22">
        <v>9376</v>
      </c>
      <c r="AQ289" s="22">
        <v>0</v>
      </c>
      <c r="AR289" s="22">
        <v>2919</v>
      </c>
      <c r="AS289" s="22">
        <v>46</v>
      </c>
      <c r="AT289" s="22">
        <v>6773</v>
      </c>
      <c r="AU289" s="22">
        <v>2362</v>
      </c>
      <c r="AV289" s="22">
        <v>4648</v>
      </c>
      <c r="AW289" s="22">
        <v>15396</v>
      </c>
      <c r="AX289" s="143"/>
      <c r="AY289" s="143"/>
      <c r="AZ289" s="143">
        <v>860</v>
      </c>
      <c r="BA289" s="143"/>
      <c r="BB289" s="22">
        <v>352</v>
      </c>
      <c r="BC289" s="22"/>
      <c r="BD289" s="22">
        <v>0</v>
      </c>
      <c r="BE289" s="22">
        <v>0</v>
      </c>
      <c r="BF289" s="22">
        <v>1243</v>
      </c>
      <c r="BG289" s="22">
        <v>0</v>
      </c>
      <c r="BH289" s="22">
        <v>0</v>
      </c>
      <c r="BI289" s="22">
        <v>8089</v>
      </c>
      <c r="BJ289" s="22">
        <v>11</v>
      </c>
      <c r="BK289" s="22">
        <v>2527</v>
      </c>
      <c r="BL289" s="22"/>
      <c r="BM289" s="22">
        <v>414</v>
      </c>
      <c r="BN289" s="22">
        <v>25</v>
      </c>
      <c r="BO289" s="22">
        <v>21258</v>
      </c>
      <c r="BP289" s="22">
        <v>81662</v>
      </c>
      <c r="BQ289" s="22">
        <v>492</v>
      </c>
      <c r="BR289" s="22">
        <v>107</v>
      </c>
      <c r="BS289" s="22">
        <v>6587</v>
      </c>
      <c r="BT289" s="22">
        <v>61</v>
      </c>
      <c r="BU289" s="22"/>
      <c r="BV289" s="22">
        <v>2</v>
      </c>
      <c r="BW289" s="22">
        <v>49</v>
      </c>
      <c r="BX289" s="22"/>
      <c r="BY289" s="22">
        <v>0</v>
      </c>
      <c r="BZ289" s="22">
        <v>0</v>
      </c>
      <c r="CA289" s="22">
        <v>23655</v>
      </c>
      <c r="CB289" s="22">
        <v>14557</v>
      </c>
      <c r="CC289" s="22">
        <v>154574</v>
      </c>
      <c r="CD289" s="22">
        <v>249282</v>
      </c>
      <c r="CE289" s="22">
        <v>24967</v>
      </c>
      <c r="CF289" s="22">
        <v>48326</v>
      </c>
      <c r="CG289" s="22">
        <v>0</v>
      </c>
      <c r="CH289" s="22">
        <v>1</v>
      </c>
      <c r="CI289" s="22">
        <v>5</v>
      </c>
      <c r="CJ289" s="22">
        <v>44</v>
      </c>
      <c r="CK289" s="22"/>
      <c r="CL289" s="22"/>
      <c r="CM289" s="22"/>
      <c r="CN289" s="22"/>
      <c r="CO289" s="22"/>
      <c r="CP289" s="22"/>
      <c r="CQ289" s="22"/>
      <c r="CR289" s="22"/>
      <c r="CS289" s="22"/>
      <c r="CT289" s="22"/>
      <c r="CU289" s="22"/>
      <c r="CV289" s="22"/>
      <c r="CW289" s="22"/>
      <c r="CX289" s="22"/>
      <c r="CY289" s="22">
        <v>0</v>
      </c>
      <c r="CZ289" s="22">
        <v>0</v>
      </c>
      <c r="DA289" s="22">
        <v>0</v>
      </c>
      <c r="DB289" s="22">
        <v>19</v>
      </c>
      <c r="DC289" s="22">
        <v>0</v>
      </c>
      <c r="DD289" s="22">
        <v>33</v>
      </c>
      <c r="DE289">
        <f t="shared" si="77"/>
        <v>963254</v>
      </c>
      <c r="DG289" s="1">
        <f t="shared" si="90"/>
        <v>641736</v>
      </c>
      <c r="DH289" s="1">
        <f t="shared" si="78"/>
        <v>260926</v>
      </c>
      <c r="DI289" s="1">
        <f t="shared" si="97"/>
        <v>902662</v>
      </c>
      <c r="DK289" s="1">
        <f t="shared" si="79"/>
        <v>58595</v>
      </c>
      <c r="DL289" s="1">
        <f t="shared" si="80"/>
        <v>144017</v>
      </c>
      <c r="DM289" s="1">
        <f t="shared" si="81"/>
        <v>11594</v>
      </c>
      <c r="DN289" s="1">
        <f t="shared" si="82"/>
        <v>46538</v>
      </c>
      <c r="DO289" s="1">
        <f t="shared" si="83"/>
        <v>454603</v>
      </c>
      <c r="DP289" s="1">
        <f t="shared" si="84"/>
        <v>88663</v>
      </c>
      <c r="DQ289" s="1">
        <f t="shared" si="91"/>
        <v>0</v>
      </c>
      <c r="DR289" s="1">
        <f t="shared" si="85"/>
        <v>14646</v>
      </c>
      <c r="DS289" s="1">
        <f t="shared" si="86"/>
        <v>23294</v>
      </c>
      <c r="DT289" s="1">
        <f t="shared" si="87"/>
        <v>11933</v>
      </c>
      <c r="DU289" s="1"/>
      <c r="DV289" s="1"/>
      <c r="DW289" s="1"/>
      <c r="DX289" s="1">
        <f t="shared" si="92"/>
        <v>853883</v>
      </c>
      <c r="DZ289" s="1">
        <f t="shared" si="93"/>
        <v>48326</v>
      </c>
      <c r="EA289" s="1">
        <f t="shared" ref="EA289:EA294" si="98">SUM(F289:K289,N289,CS289:CT289)</f>
        <v>65250</v>
      </c>
      <c r="EC289" s="1">
        <f t="shared" si="94"/>
        <v>967459</v>
      </c>
      <c r="ED289" s="1">
        <f t="shared" si="89"/>
        <v>4205</v>
      </c>
      <c r="EE289" s="1"/>
    </row>
    <row r="290" spans="1:135" x14ac:dyDescent="0.25">
      <c r="A290" s="140">
        <v>41030</v>
      </c>
      <c r="B290" s="22">
        <v>0</v>
      </c>
      <c r="C290" s="22">
        <v>0</v>
      </c>
      <c r="D290" s="22">
        <v>0</v>
      </c>
      <c r="E290" s="22">
        <v>0</v>
      </c>
      <c r="F290" s="22">
        <v>1471</v>
      </c>
      <c r="G290" s="22">
        <v>17502</v>
      </c>
      <c r="H290" s="22">
        <v>32155</v>
      </c>
      <c r="I290" s="22">
        <v>5179</v>
      </c>
      <c r="J290" s="22">
        <v>9223</v>
      </c>
      <c r="K290" s="22"/>
      <c r="L290" s="22">
        <v>25852</v>
      </c>
      <c r="M290" s="22">
        <v>1662</v>
      </c>
      <c r="N290" s="22"/>
      <c r="O290" s="22">
        <v>1707</v>
      </c>
      <c r="P290" s="22">
        <v>12218</v>
      </c>
      <c r="Q290" s="22">
        <v>308</v>
      </c>
      <c r="R290" s="22">
        <v>8412</v>
      </c>
      <c r="S290" s="22">
        <v>11594</v>
      </c>
      <c r="T290" s="22"/>
      <c r="U290" s="22"/>
      <c r="V290" s="22">
        <v>402</v>
      </c>
      <c r="W290" s="22">
        <v>8034</v>
      </c>
      <c r="X290" s="22">
        <v>334</v>
      </c>
      <c r="Y290" s="22">
        <v>7</v>
      </c>
      <c r="Z290" s="143"/>
      <c r="AA290" s="22">
        <v>8</v>
      </c>
      <c r="AB290" s="22">
        <v>220</v>
      </c>
      <c r="AC290" s="22">
        <v>27</v>
      </c>
      <c r="AD290" s="22">
        <v>32</v>
      </c>
      <c r="AE290" s="22">
        <v>43</v>
      </c>
      <c r="AF290" s="22">
        <v>91</v>
      </c>
      <c r="AG290" s="22"/>
      <c r="AH290" s="22"/>
      <c r="AI290" s="22">
        <v>11</v>
      </c>
      <c r="AJ290" s="22">
        <v>11029</v>
      </c>
      <c r="AK290" s="22">
        <v>111259</v>
      </c>
      <c r="AL290" s="22">
        <v>3159</v>
      </c>
      <c r="AM290" s="22">
        <v>21232</v>
      </c>
      <c r="AN290" s="22">
        <v>20</v>
      </c>
      <c r="AO290" s="22">
        <v>3</v>
      </c>
      <c r="AP290" s="22">
        <v>9695</v>
      </c>
      <c r="AQ290" s="22">
        <v>0</v>
      </c>
      <c r="AR290" s="22">
        <v>2976</v>
      </c>
      <c r="AS290" s="22">
        <v>45</v>
      </c>
      <c r="AT290" s="22">
        <v>6796</v>
      </c>
      <c r="AU290" s="22">
        <v>2365</v>
      </c>
      <c r="AV290" s="22">
        <v>4666</v>
      </c>
      <c r="AW290" s="22">
        <v>15517</v>
      </c>
      <c r="AX290" s="143"/>
      <c r="AY290" s="143"/>
      <c r="AZ290" s="143">
        <v>862</v>
      </c>
      <c r="BA290" s="143"/>
      <c r="BB290" s="22">
        <v>340</v>
      </c>
      <c r="BC290" s="22"/>
      <c r="BD290" s="22">
        <v>0</v>
      </c>
      <c r="BE290" s="22">
        <v>0</v>
      </c>
      <c r="BF290" s="22">
        <v>1243</v>
      </c>
      <c r="BG290" s="22">
        <v>0</v>
      </c>
      <c r="BH290" s="22">
        <v>0</v>
      </c>
      <c r="BI290" s="22">
        <v>8120</v>
      </c>
      <c r="BJ290" s="22">
        <v>11</v>
      </c>
      <c r="BK290" s="22">
        <v>2520</v>
      </c>
      <c r="BL290" s="22"/>
      <c r="BM290" s="22">
        <v>382</v>
      </c>
      <c r="BN290" s="22">
        <v>23</v>
      </c>
      <c r="BO290" s="22">
        <v>23294</v>
      </c>
      <c r="BP290" s="22">
        <v>81835</v>
      </c>
      <c r="BQ290" s="22">
        <v>482</v>
      </c>
      <c r="BR290" s="22">
        <v>107</v>
      </c>
      <c r="BS290" s="22">
        <v>6522</v>
      </c>
      <c r="BT290" s="22">
        <v>68</v>
      </c>
      <c r="BU290" s="22"/>
      <c r="BV290" s="22">
        <v>3</v>
      </c>
      <c r="BW290" s="22">
        <v>50</v>
      </c>
      <c r="BX290" s="22"/>
      <c r="BY290" s="22">
        <v>1</v>
      </c>
      <c r="BZ290" s="22">
        <v>0</v>
      </c>
      <c r="CA290" s="22">
        <v>23869</v>
      </c>
      <c r="CB290" s="22">
        <v>14646</v>
      </c>
      <c r="CC290" s="22">
        <v>154758</v>
      </c>
      <c r="CD290" s="22">
        <v>250215</v>
      </c>
      <c r="CE290" s="22">
        <v>25012</v>
      </c>
      <c r="CF290" s="22">
        <v>48521</v>
      </c>
      <c r="CG290" s="22">
        <v>0</v>
      </c>
      <c r="CH290" s="22">
        <v>0</v>
      </c>
      <c r="CI290" s="22">
        <v>4</v>
      </c>
      <c r="CJ290" s="22">
        <v>50</v>
      </c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>
        <v>0</v>
      </c>
      <c r="CZ290" s="22">
        <v>0</v>
      </c>
      <c r="DA290" s="22">
        <v>0</v>
      </c>
      <c r="DB290" s="22">
        <v>19</v>
      </c>
      <c r="DC290" s="22">
        <v>0</v>
      </c>
      <c r="DD290" s="22">
        <v>33</v>
      </c>
      <c r="DE290">
        <f t="shared" si="77"/>
        <v>968192</v>
      </c>
      <c r="DG290" s="1">
        <f t="shared" si="90"/>
        <v>645783</v>
      </c>
      <c r="DH290" s="1">
        <f t="shared" si="78"/>
        <v>261081</v>
      </c>
      <c r="DI290" s="1">
        <f t="shared" si="97"/>
        <v>906864</v>
      </c>
      <c r="DK290" s="1">
        <f t="shared" si="79"/>
        <v>58221</v>
      </c>
      <c r="DL290" s="1">
        <f t="shared" si="80"/>
        <v>144199</v>
      </c>
      <c r="DM290" s="1">
        <f t="shared" si="81"/>
        <v>11604</v>
      </c>
      <c r="DN290" s="1">
        <f t="shared" si="82"/>
        <v>46890</v>
      </c>
      <c r="DO290" s="1">
        <f t="shared" si="83"/>
        <v>455859</v>
      </c>
      <c r="DP290" s="1">
        <f t="shared" si="84"/>
        <v>88739</v>
      </c>
      <c r="DQ290" s="1">
        <f t="shared" si="91"/>
        <v>0</v>
      </c>
      <c r="DR290" s="1">
        <f t="shared" si="85"/>
        <v>14832</v>
      </c>
      <c r="DS290" s="1">
        <f t="shared" si="86"/>
        <v>25418</v>
      </c>
      <c r="DT290" s="1">
        <f t="shared" si="87"/>
        <v>11950</v>
      </c>
      <c r="DU290" s="1"/>
      <c r="DV290" s="1"/>
      <c r="DW290" s="1"/>
      <c r="DX290" s="1">
        <f t="shared" si="92"/>
        <v>857712</v>
      </c>
      <c r="DZ290" s="1">
        <f t="shared" si="93"/>
        <v>48521</v>
      </c>
      <c r="EA290" s="1">
        <f t="shared" si="98"/>
        <v>65530</v>
      </c>
      <c r="EC290" s="1">
        <f t="shared" si="94"/>
        <v>971763</v>
      </c>
      <c r="ED290" s="1">
        <f t="shared" si="89"/>
        <v>3571</v>
      </c>
      <c r="EE290" s="1"/>
    </row>
    <row r="291" spans="1:135" x14ac:dyDescent="0.25">
      <c r="A291" s="140">
        <v>41061</v>
      </c>
      <c r="B291" s="22">
        <v>0</v>
      </c>
      <c r="C291" s="22">
        <v>0</v>
      </c>
      <c r="D291" s="22">
        <v>0</v>
      </c>
      <c r="E291" s="22">
        <v>0</v>
      </c>
      <c r="F291" s="22">
        <v>1477</v>
      </c>
      <c r="G291" s="22">
        <v>17485</v>
      </c>
      <c r="H291" s="22">
        <v>32513</v>
      </c>
      <c r="I291" s="22">
        <v>5149</v>
      </c>
      <c r="J291" s="22">
        <v>9289</v>
      </c>
      <c r="K291" s="22"/>
      <c r="L291" s="22">
        <v>25640</v>
      </c>
      <c r="M291" s="22">
        <v>1650</v>
      </c>
      <c r="N291" s="22"/>
      <c r="O291" s="22">
        <v>1687</v>
      </c>
      <c r="P291" s="22">
        <v>12108</v>
      </c>
      <c r="Q291" s="22">
        <v>305</v>
      </c>
      <c r="R291" s="22">
        <v>8412</v>
      </c>
      <c r="S291" s="22">
        <v>11604</v>
      </c>
      <c r="T291" s="22"/>
      <c r="U291" s="22"/>
      <c r="V291" s="22">
        <v>401</v>
      </c>
      <c r="W291" s="22">
        <v>8018</v>
      </c>
      <c r="X291" s="22">
        <v>337</v>
      </c>
      <c r="Y291" s="22">
        <v>7</v>
      </c>
      <c r="Z291" s="143"/>
      <c r="AA291" s="22">
        <v>8</v>
      </c>
      <c r="AB291" s="22">
        <v>220</v>
      </c>
      <c r="AC291" s="22">
        <v>28</v>
      </c>
      <c r="AD291" s="22">
        <v>34</v>
      </c>
      <c r="AE291" s="22">
        <v>42</v>
      </c>
      <c r="AF291" s="22">
        <v>92</v>
      </c>
      <c r="AG291" s="22"/>
      <c r="AH291" s="22"/>
      <c r="AI291" s="22">
        <v>8</v>
      </c>
      <c r="AJ291" s="22">
        <v>11035</v>
      </c>
      <c r="AK291" s="22">
        <v>111249</v>
      </c>
      <c r="AL291" s="22">
        <v>3176</v>
      </c>
      <c r="AM291" s="22">
        <v>21231</v>
      </c>
      <c r="AN291" s="22">
        <v>22</v>
      </c>
      <c r="AO291" s="22">
        <v>3</v>
      </c>
      <c r="AP291" s="22">
        <v>9984</v>
      </c>
      <c r="AQ291" s="22">
        <v>0</v>
      </c>
      <c r="AR291" s="22">
        <v>3071</v>
      </c>
      <c r="AS291" s="22">
        <v>46</v>
      </c>
      <c r="AT291" s="22">
        <v>6812</v>
      </c>
      <c r="AU291" s="22">
        <v>2379</v>
      </c>
      <c r="AV291" s="22">
        <v>4682</v>
      </c>
      <c r="AW291" s="22">
        <v>15580</v>
      </c>
      <c r="AX291" s="143"/>
      <c r="AY291" s="143"/>
      <c r="AZ291" s="143">
        <v>856</v>
      </c>
      <c r="BA291" s="143"/>
      <c r="BB291" s="22">
        <v>354</v>
      </c>
      <c r="BC291" s="22"/>
      <c r="BD291" s="22">
        <v>0</v>
      </c>
      <c r="BE291" s="22">
        <v>0</v>
      </c>
      <c r="BF291" s="22">
        <v>1255</v>
      </c>
      <c r="BG291" s="22">
        <v>0</v>
      </c>
      <c r="BH291" s="22">
        <v>0</v>
      </c>
      <c r="BI291" s="22">
        <v>8139</v>
      </c>
      <c r="BJ291" s="22">
        <v>7</v>
      </c>
      <c r="BK291" s="22">
        <v>2509</v>
      </c>
      <c r="BL291" s="22"/>
      <c r="BM291" s="22">
        <v>402</v>
      </c>
      <c r="BN291" s="22">
        <v>23</v>
      </c>
      <c r="BO291" s="22">
        <v>25418</v>
      </c>
      <c r="BP291" s="22">
        <v>82213</v>
      </c>
      <c r="BQ291" s="22">
        <v>485</v>
      </c>
      <c r="BR291" s="22">
        <v>107</v>
      </c>
      <c r="BS291" s="22">
        <v>6386</v>
      </c>
      <c r="BT291" s="22">
        <v>61</v>
      </c>
      <c r="BU291" s="22"/>
      <c r="BV291" s="22">
        <v>3</v>
      </c>
      <c r="BW291" s="22">
        <v>47</v>
      </c>
      <c r="BX291" s="22"/>
      <c r="BY291" s="22">
        <v>2</v>
      </c>
      <c r="BZ291" s="22">
        <v>0</v>
      </c>
      <c r="CA291" s="22">
        <v>23902</v>
      </c>
      <c r="CB291" s="22">
        <v>14832</v>
      </c>
      <c r="CC291" s="22">
        <v>155074</v>
      </c>
      <c r="CD291" s="22">
        <v>251206</v>
      </c>
      <c r="CE291" s="22">
        <v>24933</v>
      </c>
      <c r="CF291" s="22">
        <v>48723</v>
      </c>
      <c r="CG291" s="22">
        <v>0</v>
      </c>
      <c r="CH291" s="22">
        <v>0</v>
      </c>
      <c r="CI291" s="22">
        <v>4</v>
      </c>
      <c r="CJ291" s="22">
        <v>52</v>
      </c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>
        <v>0</v>
      </c>
      <c r="CZ291" s="22">
        <v>0</v>
      </c>
      <c r="DA291" s="22">
        <v>0</v>
      </c>
      <c r="DB291" s="22">
        <v>19</v>
      </c>
      <c r="DC291" s="22">
        <v>0</v>
      </c>
      <c r="DD291" s="22">
        <v>33</v>
      </c>
      <c r="DE291">
        <f t="shared" si="77"/>
        <v>972777</v>
      </c>
      <c r="DG291" s="1">
        <f t="shared" si="90"/>
        <v>649743</v>
      </c>
      <c r="DH291" s="1">
        <f t="shared" si="78"/>
        <v>261372</v>
      </c>
      <c r="DI291" s="1">
        <f t="shared" si="97"/>
        <v>911115</v>
      </c>
      <c r="DK291" s="1">
        <f t="shared" si="79"/>
        <v>58207</v>
      </c>
      <c r="DL291" s="1">
        <f t="shared" si="80"/>
        <v>144366</v>
      </c>
      <c r="DM291" s="1">
        <f t="shared" si="81"/>
        <v>11623</v>
      </c>
      <c r="DN291" s="1">
        <f t="shared" si="82"/>
        <v>47272</v>
      </c>
      <c r="DO291" s="1">
        <f t="shared" si="83"/>
        <v>456923</v>
      </c>
      <c r="DP291" s="1">
        <f t="shared" si="84"/>
        <v>89001</v>
      </c>
      <c r="DQ291" s="1">
        <f t="shared" si="91"/>
        <v>0</v>
      </c>
      <c r="DR291" s="1">
        <f t="shared" si="85"/>
        <v>15038</v>
      </c>
      <c r="DS291" s="1">
        <f t="shared" si="86"/>
        <v>27257</v>
      </c>
      <c r="DT291" s="1">
        <f t="shared" si="87"/>
        <v>11916</v>
      </c>
      <c r="DU291" s="1"/>
      <c r="DV291" s="1"/>
      <c r="DW291" s="1"/>
      <c r="DX291" s="1">
        <f t="shared" si="92"/>
        <v>861603</v>
      </c>
      <c r="DZ291" s="1">
        <f t="shared" si="93"/>
        <v>48723</v>
      </c>
      <c r="EA291" s="1">
        <f t="shared" si="98"/>
        <v>65913</v>
      </c>
      <c r="EC291" s="1">
        <f t="shared" si="94"/>
        <v>976239</v>
      </c>
      <c r="ED291" s="1">
        <f t="shared" si="89"/>
        <v>3462</v>
      </c>
      <c r="EE291" s="1"/>
    </row>
    <row r="292" spans="1:135" x14ac:dyDescent="0.25">
      <c r="A292" s="140">
        <v>41091</v>
      </c>
      <c r="B292" s="22">
        <v>0</v>
      </c>
      <c r="C292" s="22">
        <v>0</v>
      </c>
      <c r="D292" s="22">
        <v>0</v>
      </c>
      <c r="E292" s="22">
        <v>0</v>
      </c>
      <c r="F292" s="22">
        <v>1483</v>
      </c>
      <c r="G292" s="22">
        <v>17352</v>
      </c>
      <c r="H292" s="22">
        <v>32424</v>
      </c>
      <c r="I292" s="22">
        <v>5099</v>
      </c>
      <c r="J292" s="22">
        <v>9274</v>
      </c>
      <c r="K292" s="22"/>
      <c r="L292" s="22">
        <v>25548</v>
      </c>
      <c r="M292" s="22">
        <v>1631</v>
      </c>
      <c r="N292" s="22"/>
      <c r="O292" s="22">
        <v>1692</v>
      </c>
      <c r="P292" s="22">
        <v>12185</v>
      </c>
      <c r="Q292" s="22">
        <v>308</v>
      </c>
      <c r="R292" s="22">
        <v>8411</v>
      </c>
      <c r="S292" s="22">
        <v>11623</v>
      </c>
      <c r="T292" s="22"/>
      <c r="U292" s="22"/>
      <c r="V292" s="22">
        <v>394</v>
      </c>
      <c r="W292" s="22">
        <v>8038</v>
      </c>
      <c r="X292" s="22">
        <v>339</v>
      </c>
      <c r="Y292" s="22">
        <v>7</v>
      </c>
      <c r="Z292" s="143"/>
      <c r="AA292" s="22">
        <v>10</v>
      </c>
      <c r="AB292" s="22">
        <v>228</v>
      </c>
      <c r="AC292" s="22">
        <v>28</v>
      </c>
      <c r="AD292" s="22">
        <v>34</v>
      </c>
      <c r="AE292" s="22">
        <v>42</v>
      </c>
      <c r="AF292" s="22">
        <v>99</v>
      </c>
      <c r="AG292" s="22"/>
      <c r="AH292" s="22"/>
      <c r="AI292" s="22">
        <v>8</v>
      </c>
      <c r="AJ292" s="22">
        <v>10968</v>
      </c>
      <c r="AK292" s="22">
        <v>111254</v>
      </c>
      <c r="AL292" s="22">
        <v>3170</v>
      </c>
      <c r="AM292" s="22">
        <v>21280</v>
      </c>
      <c r="AN292" s="22">
        <v>23</v>
      </c>
      <c r="AO292" s="22">
        <v>1</v>
      </c>
      <c r="AP292" s="22">
        <v>10259</v>
      </c>
      <c r="AQ292" s="22">
        <v>0</v>
      </c>
      <c r="AR292" s="22">
        <v>2957</v>
      </c>
      <c r="AS292" s="22">
        <v>46</v>
      </c>
      <c r="AT292" s="22">
        <v>6835</v>
      </c>
      <c r="AU292" s="22">
        <v>2408</v>
      </c>
      <c r="AV292" s="22">
        <v>4700</v>
      </c>
      <c r="AW292" s="22">
        <v>15633</v>
      </c>
      <c r="AX292" s="143"/>
      <c r="AY292" s="143"/>
      <c r="AZ292" s="143">
        <v>868</v>
      </c>
      <c r="BA292" s="143"/>
      <c r="BB292" s="22">
        <v>345</v>
      </c>
      <c r="BC292" s="22"/>
      <c r="BD292" s="22">
        <v>0</v>
      </c>
      <c r="BE292" s="22">
        <v>0</v>
      </c>
      <c r="BF292" s="22">
        <v>1260</v>
      </c>
      <c r="BG292" s="22">
        <v>0</v>
      </c>
      <c r="BH292" s="22">
        <v>0</v>
      </c>
      <c r="BI292" s="22">
        <v>8099</v>
      </c>
      <c r="BJ292" s="22">
        <v>6</v>
      </c>
      <c r="BK292" s="22">
        <v>2510</v>
      </c>
      <c r="BL292" s="22"/>
      <c r="BM292" s="22">
        <v>427</v>
      </c>
      <c r="BN292" s="22">
        <v>22</v>
      </c>
      <c r="BO292" s="22">
        <v>27257</v>
      </c>
      <c r="BP292" s="22">
        <v>82650</v>
      </c>
      <c r="BQ292" s="22">
        <v>484</v>
      </c>
      <c r="BR292" s="22">
        <v>112</v>
      </c>
      <c r="BS292" s="22">
        <v>6392</v>
      </c>
      <c r="BT292" s="22">
        <v>55</v>
      </c>
      <c r="BU292" s="22"/>
      <c r="BV292" s="22">
        <v>4</v>
      </c>
      <c r="BW292" s="22">
        <v>47</v>
      </c>
      <c r="BX292" s="22"/>
      <c r="BY292" s="22">
        <v>2</v>
      </c>
      <c r="BZ292" s="22">
        <v>0</v>
      </c>
      <c r="CA292" s="22">
        <v>24191</v>
      </c>
      <c r="CB292" s="22">
        <v>15038</v>
      </c>
      <c r="CC292" s="22">
        <v>155180</v>
      </c>
      <c r="CD292" s="22">
        <v>252100</v>
      </c>
      <c r="CE292" s="22">
        <v>24714</v>
      </c>
      <c r="CF292" s="22">
        <v>49140</v>
      </c>
      <c r="CG292" s="22">
        <v>0</v>
      </c>
      <c r="CH292" s="22">
        <v>0</v>
      </c>
      <c r="CI292" s="22">
        <v>4</v>
      </c>
      <c r="CJ292" s="22">
        <v>49</v>
      </c>
      <c r="CK292" s="22"/>
      <c r="CL292" s="22"/>
      <c r="CM292" s="22"/>
      <c r="CN292" s="22"/>
      <c r="CO292" s="22"/>
      <c r="CP292" s="22"/>
      <c r="CQ292" s="22"/>
      <c r="CR292" s="22"/>
      <c r="CS292" s="22"/>
      <c r="CT292" s="22"/>
      <c r="CU292" s="22"/>
      <c r="CV292" s="22"/>
      <c r="CW292" s="22"/>
      <c r="CX292" s="22"/>
      <c r="CY292" s="22">
        <v>0</v>
      </c>
      <c r="CZ292" s="22">
        <v>0</v>
      </c>
      <c r="DA292" s="22">
        <v>0</v>
      </c>
      <c r="DB292" s="22">
        <v>18</v>
      </c>
      <c r="DC292" s="22">
        <v>0</v>
      </c>
      <c r="DD292" s="22">
        <v>33</v>
      </c>
      <c r="DE292">
        <f t="shared" si="77"/>
        <v>976747</v>
      </c>
      <c r="DG292" s="1">
        <f t="shared" si="90"/>
        <v>652342</v>
      </c>
      <c r="DH292" s="1">
        <f t="shared" si="78"/>
        <v>262159</v>
      </c>
      <c r="DI292" s="1">
        <f t="shared" si="97"/>
        <v>914501</v>
      </c>
      <c r="DK292" s="1">
        <f t="shared" si="79"/>
        <v>58222</v>
      </c>
      <c r="DL292" s="1">
        <f t="shared" si="80"/>
        <v>144270</v>
      </c>
      <c r="DM292" s="1">
        <f t="shared" si="81"/>
        <v>11537</v>
      </c>
      <c r="DN292" s="1">
        <f t="shared" si="82"/>
        <v>47716</v>
      </c>
      <c r="DO292" s="1">
        <f t="shared" si="83"/>
        <v>457558</v>
      </c>
      <c r="DP292" s="1">
        <f t="shared" si="84"/>
        <v>89469</v>
      </c>
      <c r="DQ292" s="1">
        <f t="shared" si="91"/>
        <v>0</v>
      </c>
      <c r="DR292" s="1">
        <f t="shared" si="85"/>
        <v>15160</v>
      </c>
      <c r="DS292" s="1">
        <f t="shared" si="86"/>
        <v>28946</v>
      </c>
      <c r="DT292" s="1">
        <f t="shared" si="87"/>
        <v>11895</v>
      </c>
      <c r="DU292" s="1"/>
      <c r="DV292" s="1"/>
      <c r="DW292" s="1"/>
      <c r="DX292" s="1">
        <f t="shared" si="92"/>
        <v>864773</v>
      </c>
      <c r="DZ292" s="1">
        <f t="shared" si="93"/>
        <v>49140</v>
      </c>
      <c r="EA292" s="1">
        <f t="shared" si="98"/>
        <v>65632</v>
      </c>
      <c r="EC292" s="1">
        <f t="shared" si="94"/>
        <v>979545</v>
      </c>
      <c r="ED292" s="1">
        <f t="shared" si="89"/>
        <v>2798</v>
      </c>
      <c r="EE292" s="1"/>
    </row>
    <row r="293" spans="1:135" x14ac:dyDescent="0.25">
      <c r="A293" s="140">
        <v>41122</v>
      </c>
      <c r="B293" s="22">
        <v>0</v>
      </c>
      <c r="C293" s="22">
        <v>0</v>
      </c>
      <c r="D293" s="22">
        <v>0</v>
      </c>
      <c r="E293" s="22">
        <v>0</v>
      </c>
      <c r="F293" s="22">
        <v>1478</v>
      </c>
      <c r="G293" s="22">
        <v>17289</v>
      </c>
      <c r="H293" s="22">
        <v>32089</v>
      </c>
      <c r="I293" s="22">
        <v>5025</v>
      </c>
      <c r="J293" s="22">
        <v>9294</v>
      </c>
      <c r="K293" s="22"/>
      <c r="L293" s="22">
        <v>25504</v>
      </c>
      <c r="M293" s="22">
        <v>1609</v>
      </c>
      <c r="N293" s="22"/>
      <c r="O293" s="22">
        <v>1691</v>
      </c>
      <c r="P293" s="22">
        <v>12249</v>
      </c>
      <c r="Q293" s="22">
        <v>309</v>
      </c>
      <c r="R293" s="22">
        <v>8391</v>
      </c>
      <c r="S293" s="22">
        <v>11537</v>
      </c>
      <c r="T293" s="22"/>
      <c r="U293" s="22"/>
      <c r="V293" s="22">
        <v>406</v>
      </c>
      <c r="W293" s="22">
        <v>8063</v>
      </c>
      <c r="X293" s="22">
        <v>338</v>
      </c>
      <c r="Y293" s="22">
        <v>7</v>
      </c>
      <c r="Z293" s="143"/>
      <c r="AA293" s="22">
        <v>9</v>
      </c>
      <c r="AB293" s="22">
        <v>235</v>
      </c>
      <c r="AC293" s="22">
        <v>28</v>
      </c>
      <c r="AD293" s="22">
        <v>32</v>
      </c>
      <c r="AE293" s="22">
        <v>42</v>
      </c>
      <c r="AF293" s="22">
        <v>93</v>
      </c>
      <c r="AG293" s="22"/>
      <c r="AH293" s="22"/>
      <c r="AI293" s="22">
        <v>9</v>
      </c>
      <c r="AJ293" s="22">
        <v>10962</v>
      </c>
      <c r="AK293" s="22">
        <v>111519</v>
      </c>
      <c r="AL293" s="22">
        <v>3168</v>
      </c>
      <c r="AM293" s="22">
        <v>21365</v>
      </c>
      <c r="AN293" s="22">
        <v>20</v>
      </c>
      <c r="AO293" s="22">
        <v>2</v>
      </c>
      <c r="AP293" s="22">
        <v>10506</v>
      </c>
      <c r="AQ293" s="22">
        <v>0</v>
      </c>
      <c r="AR293" s="22">
        <v>3027</v>
      </c>
      <c r="AS293" s="22">
        <v>46</v>
      </c>
      <c r="AT293" s="22">
        <v>6873</v>
      </c>
      <c r="AU293" s="22">
        <v>2415</v>
      </c>
      <c r="AV293" s="22">
        <v>4710</v>
      </c>
      <c r="AW293" s="22">
        <v>15750</v>
      </c>
      <c r="AX293" s="143"/>
      <c r="AY293" s="143"/>
      <c r="AZ293" s="143">
        <v>871</v>
      </c>
      <c r="BA293" s="143"/>
      <c r="BB293" s="22">
        <v>373</v>
      </c>
      <c r="BC293" s="22"/>
      <c r="BD293" s="22">
        <v>0</v>
      </c>
      <c r="BE293" s="22">
        <v>0</v>
      </c>
      <c r="BF293" s="22">
        <v>1255</v>
      </c>
      <c r="BG293" s="22">
        <v>0</v>
      </c>
      <c r="BH293" s="22">
        <v>0</v>
      </c>
      <c r="BI293" s="22">
        <v>8075</v>
      </c>
      <c r="BJ293" s="22">
        <v>5</v>
      </c>
      <c r="BK293" s="22">
        <v>2520</v>
      </c>
      <c r="BL293" s="22"/>
      <c r="BM293" s="22">
        <v>458</v>
      </c>
      <c r="BN293" s="22">
        <v>22</v>
      </c>
      <c r="BO293" s="22">
        <v>28946</v>
      </c>
      <c r="BP293" s="22">
        <v>83075</v>
      </c>
      <c r="BQ293" s="22">
        <v>440</v>
      </c>
      <c r="BR293" s="22">
        <v>116</v>
      </c>
      <c r="BS293" s="22">
        <v>6320</v>
      </c>
      <c r="BT293" s="22">
        <v>71</v>
      </c>
      <c r="BU293" s="22"/>
      <c r="BV293" s="22">
        <v>4</v>
      </c>
      <c r="BW293" s="22">
        <v>45</v>
      </c>
      <c r="BX293" s="22"/>
      <c r="BY293" s="22">
        <v>1</v>
      </c>
      <c r="BZ293" s="22">
        <v>0</v>
      </c>
      <c r="CA293" s="22">
        <v>24213</v>
      </c>
      <c r="CB293" s="22">
        <v>15160</v>
      </c>
      <c r="CC293" s="22">
        <v>154781</v>
      </c>
      <c r="CD293" s="22">
        <v>253179</v>
      </c>
      <c r="CE293" s="22">
        <v>24669</v>
      </c>
      <c r="CF293" s="22">
        <v>48930</v>
      </c>
      <c r="CG293" s="22">
        <v>0</v>
      </c>
      <c r="CH293" s="22">
        <v>0</v>
      </c>
      <c r="CI293" s="22">
        <v>4</v>
      </c>
      <c r="CJ293" s="22">
        <v>53</v>
      </c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>
        <v>0</v>
      </c>
      <c r="CZ293" s="22">
        <v>0</v>
      </c>
      <c r="DA293" s="22">
        <v>0</v>
      </c>
      <c r="DB293" s="22">
        <v>18</v>
      </c>
      <c r="DC293" s="22">
        <v>0</v>
      </c>
      <c r="DD293" s="22">
        <v>33</v>
      </c>
      <c r="DE293">
        <f t="shared" si="77"/>
        <v>979676</v>
      </c>
      <c r="DG293" s="1">
        <f t="shared" si="90"/>
        <v>657268</v>
      </c>
      <c r="DH293" s="1">
        <f t="shared" si="78"/>
        <v>263051</v>
      </c>
      <c r="DI293" s="1">
        <f t="shared" si="97"/>
        <v>920319</v>
      </c>
      <c r="DK293" s="1">
        <f t="shared" si="79"/>
        <v>58253</v>
      </c>
      <c r="DL293" s="1">
        <f t="shared" si="80"/>
        <v>144684</v>
      </c>
      <c r="DM293" s="1">
        <f t="shared" si="81"/>
        <v>11588</v>
      </c>
      <c r="DN293" s="1">
        <f t="shared" si="82"/>
        <v>48192</v>
      </c>
      <c r="DO293" s="1">
        <f t="shared" si="83"/>
        <v>459009</v>
      </c>
      <c r="DP293" s="1">
        <f t="shared" si="84"/>
        <v>89853</v>
      </c>
      <c r="DQ293" s="1">
        <f t="shared" si="91"/>
        <v>0</v>
      </c>
      <c r="DR293" s="1">
        <f t="shared" si="85"/>
        <v>15554</v>
      </c>
      <c r="DS293" s="1">
        <f t="shared" si="86"/>
        <v>30690</v>
      </c>
      <c r="DT293" s="1">
        <f t="shared" si="87"/>
        <v>11922</v>
      </c>
      <c r="DU293" s="1"/>
      <c r="DV293" s="1"/>
      <c r="DW293" s="1"/>
      <c r="DX293" s="1">
        <f t="shared" si="92"/>
        <v>869745</v>
      </c>
      <c r="DZ293" s="1">
        <f t="shared" si="93"/>
        <v>48930</v>
      </c>
      <c r="EA293" s="1">
        <f t="shared" si="98"/>
        <v>65175</v>
      </c>
      <c r="EC293" s="1">
        <f t="shared" si="94"/>
        <v>983850</v>
      </c>
      <c r="ED293" s="1">
        <f t="shared" si="89"/>
        <v>4174</v>
      </c>
      <c r="EE293" s="1"/>
    </row>
    <row r="294" spans="1:135" x14ac:dyDescent="0.25">
      <c r="A294" s="140">
        <v>41153</v>
      </c>
      <c r="B294" s="22">
        <v>0</v>
      </c>
      <c r="C294" s="22">
        <v>0</v>
      </c>
      <c r="D294" s="22">
        <v>0</v>
      </c>
      <c r="E294" s="22">
        <v>0</v>
      </c>
      <c r="F294" s="22">
        <v>1492</v>
      </c>
      <c r="G294" s="22">
        <v>17072</v>
      </c>
      <c r="H294" s="22">
        <v>31687</v>
      </c>
      <c r="I294" s="22">
        <v>4905</v>
      </c>
      <c r="J294" s="22">
        <v>9110</v>
      </c>
      <c r="K294" s="22"/>
      <c r="L294" s="22">
        <v>25421</v>
      </c>
      <c r="M294" s="22">
        <v>1612</v>
      </c>
      <c r="N294" s="22"/>
      <c r="O294" s="22">
        <v>1696</v>
      </c>
      <c r="P294" s="22">
        <v>12285</v>
      </c>
      <c r="Q294" s="22">
        <v>302</v>
      </c>
      <c r="R294" s="22">
        <v>8434</v>
      </c>
      <c r="S294" s="22">
        <v>11588</v>
      </c>
      <c r="T294" s="22"/>
      <c r="U294" s="22"/>
      <c r="V294" s="22">
        <v>408</v>
      </c>
      <c r="W294" s="22">
        <v>8095</v>
      </c>
      <c r="X294" s="22">
        <v>331</v>
      </c>
      <c r="Y294" s="22">
        <v>6</v>
      </c>
      <c r="Z294" s="143"/>
      <c r="AA294" s="22">
        <v>9</v>
      </c>
      <c r="AB294" s="22">
        <v>240</v>
      </c>
      <c r="AC294" s="22">
        <v>29</v>
      </c>
      <c r="AD294" s="22">
        <v>33</v>
      </c>
      <c r="AE294" s="22">
        <v>38</v>
      </c>
      <c r="AF294" s="22">
        <v>94</v>
      </c>
      <c r="AG294" s="22"/>
      <c r="AH294" s="22"/>
      <c r="AI294" s="22">
        <v>7</v>
      </c>
      <c r="AJ294" s="22">
        <v>11022</v>
      </c>
      <c r="AK294" s="22">
        <v>111864</v>
      </c>
      <c r="AL294" s="22">
        <v>3203</v>
      </c>
      <c r="AM294" s="22">
        <v>21505</v>
      </c>
      <c r="AN294" s="22">
        <v>20</v>
      </c>
      <c r="AO294" s="22">
        <v>2</v>
      </c>
      <c r="AP294" s="22">
        <v>10768</v>
      </c>
      <c r="AQ294" s="22">
        <v>0</v>
      </c>
      <c r="AR294" s="22">
        <v>2779</v>
      </c>
      <c r="AS294" s="22">
        <v>42</v>
      </c>
      <c r="AT294" s="22">
        <v>6952</v>
      </c>
      <c r="AU294" s="22">
        <v>2424</v>
      </c>
      <c r="AV294" s="22">
        <v>4779</v>
      </c>
      <c r="AW294" s="22">
        <v>15823</v>
      </c>
      <c r="AX294" s="143"/>
      <c r="AY294" s="143"/>
      <c r="AZ294" s="143">
        <v>874</v>
      </c>
      <c r="BA294" s="143"/>
      <c r="BB294" s="22">
        <v>366</v>
      </c>
      <c r="BC294" s="22"/>
      <c r="BD294" s="22">
        <v>0</v>
      </c>
      <c r="BE294" s="22">
        <v>0</v>
      </c>
      <c r="BF294" s="22">
        <v>1452</v>
      </c>
      <c r="BG294" s="22">
        <v>0</v>
      </c>
      <c r="BH294" s="22">
        <v>0</v>
      </c>
      <c r="BI294" s="22">
        <v>7775</v>
      </c>
      <c r="BJ294" s="22">
        <v>5</v>
      </c>
      <c r="BK294" s="22">
        <v>2651</v>
      </c>
      <c r="BL294" s="22"/>
      <c r="BM294" s="22">
        <v>514</v>
      </c>
      <c r="BN294" s="22">
        <v>23</v>
      </c>
      <c r="BO294" s="22">
        <v>30690</v>
      </c>
      <c r="BP294" s="22">
        <v>83920</v>
      </c>
      <c r="BQ294" s="22">
        <v>438</v>
      </c>
      <c r="BR294" s="22">
        <v>122</v>
      </c>
      <c r="BS294" s="22">
        <v>6336</v>
      </c>
      <c r="BT294" s="22">
        <v>80</v>
      </c>
      <c r="BU294" s="22"/>
      <c r="BV294" s="22">
        <v>3</v>
      </c>
      <c r="BW294" s="22">
        <v>44</v>
      </c>
      <c r="BX294" s="22"/>
      <c r="BY294" s="22">
        <v>3</v>
      </c>
      <c r="BZ294" s="22">
        <v>0</v>
      </c>
      <c r="CA294" s="22">
        <v>24234</v>
      </c>
      <c r="CB294" s="22">
        <v>15552</v>
      </c>
      <c r="CC294" s="22">
        <v>155288</v>
      </c>
      <c r="CD294" s="22">
        <v>254185</v>
      </c>
      <c r="CE294" s="22">
        <v>24573</v>
      </c>
      <c r="CF294" s="22">
        <v>49323</v>
      </c>
      <c r="CG294" s="22">
        <v>0</v>
      </c>
      <c r="CH294" s="22">
        <v>2</v>
      </c>
      <c r="CI294" s="22">
        <v>4</v>
      </c>
      <c r="CJ294" s="22">
        <v>51</v>
      </c>
      <c r="CK294" s="22"/>
      <c r="CL294" s="22"/>
      <c r="CM294" s="22"/>
      <c r="CN294" s="22"/>
      <c r="CO294" s="22"/>
      <c r="CP294" s="22"/>
      <c r="CQ294" s="22"/>
      <c r="CR294" s="22"/>
      <c r="CS294" s="22"/>
      <c r="CT294" s="22"/>
      <c r="CU294" s="22"/>
      <c r="CV294" s="22"/>
      <c r="CW294" s="22"/>
      <c r="CX294" s="22"/>
      <c r="CY294" s="22">
        <v>0</v>
      </c>
      <c r="CZ294" s="22">
        <v>0</v>
      </c>
      <c r="DA294" s="22">
        <v>0</v>
      </c>
      <c r="DB294" s="22">
        <v>18</v>
      </c>
      <c r="DC294" s="22">
        <v>0</v>
      </c>
      <c r="DD294" s="22">
        <v>33</v>
      </c>
      <c r="DE294">
        <f t="shared" si="77"/>
        <v>984585</v>
      </c>
      <c r="DG294" s="1">
        <f>SUM(AX295:AY295,BC295:CP295,CU295:CX295)</f>
        <v>660231</v>
      </c>
      <c r="DH294" s="1">
        <f t="shared" si="78"/>
        <v>263542</v>
      </c>
      <c r="DI294" s="1">
        <f t="shared" si="97"/>
        <v>923773</v>
      </c>
      <c r="DK294" s="1">
        <f t="shared" si="79"/>
        <v>58203</v>
      </c>
      <c r="DL294" s="1">
        <f t="shared" si="80"/>
        <v>145018</v>
      </c>
      <c r="DM294" s="1">
        <f t="shared" si="81"/>
        <v>11568</v>
      </c>
      <c r="DN294" s="1">
        <f t="shared" si="82"/>
        <v>48509</v>
      </c>
      <c r="DO294" s="1">
        <f t="shared" si="83"/>
        <v>460022</v>
      </c>
      <c r="DP294" s="1">
        <f t="shared" si="84"/>
        <v>90770</v>
      </c>
      <c r="DQ294" s="1">
        <f t="shared" si="91"/>
        <v>0</v>
      </c>
      <c r="DR294" s="1">
        <f t="shared" si="85"/>
        <v>15377</v>
      </c>
      <c r="DS294" s="1">
        <f t="shared" si="86"/>
        <v>31779</v>
      </c>
      <c r="DT294" s="1">
        <f t="shared" si="87"/>
        <v>11945</v>
      </c>
      <c r="DU294" s="1"/>
      <c r="DV294" s="1"/>
      <c r="DW294" s="1"/>
      <c r="DX294" s="1">
        <f t="shared" si="92"/>
        <v>873191</v>
      </c>
      <c r="DZ294" s="1">
        <f t="shared" si="93"/>
        <v>49323</v>
      </c>
      <c r="EA294" s="1">
        <f t="shared" si="98"/>
        <v>64266</v>
      </c>
      <c r="EC294" s="1">
        <f t="shared" si="94"/>
        <v>986780</v>
      </c>
      <c r="ED294" s="1">
        <f t="shared" si="89"/>
        <v>2195</v>
      </c>
      <c r="EE294" s="1"/>
    </row>
    <row r="295" spans="1:135" x14ac:dyDescent="0.25">
      <c r="A295" s="140">
        <v>41183</v>
      </c>
      <c r="B295" s="22">
        <v>0</v>
      </c>
      <c r="C295" s="22">
        <v>0</v>
      </c>
      <c r="D295" s="22">
        <v>0</v>
      </c>
      <c r="E295" s="22">
        <v>0</v>
      </c>
      <c r="F295" s="22">
        <v>1488</v>
      </c>
      <c r="G295" s="22">
        <v>16908</v>
      </c>
      <c r="H295" s="22">
        <v>31656</v>
      </c>
      <c r="I295" s="22">
        <v>4943</v>
      </c>
      <c r="J295" s="22">
        <v>9094</v>
      </c>
      <c r="K295" s="22"/>
      <c r="L295" s="22">
        <v>25376</v>
      </c>
      <c r="M295" s="22">
        <v>1582</v>
      </c>
      <c r="N295" s="22"/>
      <c r="O295" s="22">
        <v>1700</v>
      </c>
      <c r="P295" s="22">
        <v>12290</v>
      </c>
      <c r="Q295" s="22">
        <v>302</v>
      </c>
      <c r="R295" s="22">
        <v>8416</v>
      </c>
      <c r="S295" s="22">
        <v>11568</v>
      </c>
      <c r="T295" s="22"/>
      <c r="U295" s="22"/>
      <c r="V295" s="22">
        <v>420</v>
      </c>
      <c r="W295" s="22">
        <v>8117</v>
      </c>
      <c r="X295" s="22">
        <v>334</v>
      </c>
      <c r="Y295" s="22">
        <v>6</v>
      </c>
      <c r="Z295" s="143"/>
      <c r="AA295" s="22">
        <v>9</v>
      </c>
      <c r="AB295" s="22">
        <v>240</v>
      </c>
      <c r="AC295" s="22">
        <v>30</v>
      </c>
      <c r="AD295" s="22">
        <v>30</v>
      </c>
      <c r="AE295" s="22">
        <v>36</v>
      </c>
      <c r="AF295" s="22">
        <v>93</v>
      </c>
      <c r="AG295" s="22"/>
      <c r="AH295" s="22"/>
      <c r="AI295" s="22">
        <v>8</v>
      </c>
      <c r="AJ295" s="22">
        <v>11117</v>
      </c>
      <c r="AK295" s="22">
        <v>112193</v>
      </c>
      <c r="AL295" s="22">
        <v>3194</v>
      </c>
      <c r="AM295" s="22">
        <v>21549</v>
      </c>
      <c r="AN295" s="22">
        <v>19</v>
      </c>
      <c r="AO295" s="22">
        <v>1</v>
      </c>
      <c r="AP295" s="22">
        <v>11006</v>
      </c>
      <c r="AQ295" s="22">
        <v>0</v>
      </c>
      <c r="AR295" s="22">
        <v>2601</v>
      </c>
      <c r="AS295" s="22">
        <v>43</v>
      </c>
      <c r="AT295" s="22">
        <v>6984</v>
      </c>
      <c r="AU295" s="22">
        <v>2428</v>
      </c>
      <c r="AV295" s="22">
        <v>4754</v>
      </c>
      <c r="AW295" s="22">
        <v>15860</v>
      </c>
      <c r="AX295" s="143"/>
      <c r="AY295" s="143"/>
      <c r="AZ295" s="143">
        <v>879</v>
      </c>
      <c r="BA295" s="143"/>
      <c r="BB295" s="22">
        <v>357</v>
      </c>
      <c r="BC295" s="22"/>
      <c r="BD295" s="22">
        <v>0</v>
      </c>
      <c r="BE295" s="22">
        <v>0</v>
      </c>
      <c r="BF295" s="22">
        <v>1740</v>
      </c>
      <c r="BG295" s="22">
        <v>0</v>
      </c>
      <c r="BH295" s="22">
        <v>0</v>
      </c>
      <c r="BI295" s="22">
        <v>7602</v>
      </c>
      <c r="BJ295" s="22">
        <v>5</v>
      </c>
      <c r="BK295" s="22">
        <v>2557</v>
      </c>
      <c r="BL295" s="22"/>
      <c r="BM295" s="22">
        <v>525</v>
      </c>
      <c r="BN295" s="22">
        <v>17</v>
      </c>
      <c r="BO295" s="22">
        <v>31779</v>
      </c>
      <c r="BP295" s="22">
        <v>84472</v>
      </c>
      <c r="BQ295" s="22">
        <v>417</v>
      </c>
      <c r="BR295" s="22">
        <v>120</v>
      </c>
      <c r="BS295" s="22">
        <v>6406</v>
      </c>
      <c r="BT295" s="22">
        <v>85</v>
      </c>
      <c r="BU295" s="22"/>
      <c r="BV295" s="22">
        <v>2</v>
      </c>
      <c r="BW295" s="22">
        <v>46</v>
      </c>
      <c r="BX295" s="22"/>
      <c r="BY295" s="22">
        <v>1</v>
      </c>
      <c r="BZ295" s="22">
        <v>0</v>
      </c>
      <c r="CA295" s="22">
        <v>24296</v>
      </c>
      <c r="CB295" s="22">
        <v>15376</v>
      </c>
      <c r="CC295" s="22">
        <v>155187</v>
      </c>
      <c r="CD295" s="22">
        <v>255369</v>
      </c>
      <c r="CE295" s="22">
        <v>24469</v>
      </c>
      <c r="CF295" s="22">
        <v>49705</v>
      </c>
      <c r="CG295" s="22">
        <v>0</v>
      </c>
      <c r="CH295" s="22">
        <v>1</v>
      </c>
      <c r="CI295" s="22">
        <v>4</v>
      </c>
      <c r="CJ295" s="22">
        <v>50</v>
      </c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>
        <v>0</v>
      </c>
      <c r="CZ295" s="22">
        <v>0</v>
      </c>
      <c r="DA295" s="22">
        <v>0</v>
      </c>
      <c r="DB295" s="22">
        <v>18</v>
      </c>
      <c r="DC295" s="22">
        <v>0</v>
      </c>
      <c r="DD295" s="22">
        <v>33</v>
      </c>
      <c r="DE295">
        <f t="shared" si="77"/>
        <v>987862</v>
      </c>
      <c r="DG295" s="1">
        <v>665020</v>
      </c>
      <c r="DH295" s="1">
        <f t="shared" si="78"/>
        <v>264567</v>
      </c>
      <c r="DI295" s="1">
        <f t="shared" si="97"/>
        <v>929587</v>
      </c>
      <c r="DK295" s="1">
        <f t="shared" si="79"/>
        <v>58212</v>
      </c>
      <c r="DL295" s="1">
        <f t="shared" si="80"/>
        <v>145262</v>
      </c>
      <c r="DM295" s="1">
        <f t="shared" si="81"/>
        <v>11618</v>
      </c>
      <c r="DN295" s="1">
        <f t="shared" si="82"/>
        <v>48899</v>
      </c>
      <c r="DO295" s="1">
        <f t="shared" si="83"/>
        <v>462411</v>
      </c>
      <c r="DP295" s="1">
        <f t="shared" si="84"/>
        <v>91403</v>
      </c>
      <c r="DQ295" s="1">
        <f t="shared" si="91"/>
        <v>0</v>
      </c>
      <c r="DR295" s="1">
        <f t="shared" si="85"/>
        <v>15338</v>
      </c>
      <c r="DS295" s="1">
        <v>33070</v>
      </c>
      <c r="DT295" s="1">
        <f t="shared" si="87"/>
        <v>12033</v>
      </c>
      <c r="DU295" s="1"/>
      <c r="DV295" s="1"/>
      <c r="DW295" s="1"/>
      <c r="DX295" s="1">
        <f t="shared" si="92"/>
        <v>878246</v>
      </c>
      <c r="DZ295" s="1">
        <f t="shared" si="93"/>
        <v>49705</v>
      </c>
      <c r="EA295" s="1">
        <f t="shared" ref="EA295:EA303" si="99">SUM(F295:K295,N295,CS295:CT295)</f>
        <v>64089</v>
      </c>
      <c r="EC295" s="1">
        <f t="shared" si="94"/>
        <v>992040</v>
      </c>
      <c r="ED295" s="1">
        <f t="shared" si="89"/>
        <v>4178</v>
      </c>
      <c r="EE295" s="1"/>
    </row>
    <row r="296" spans="1:135" x14ac:dyDescent="0.25">
      <c r="A296" s="140">
        <v>41214</v>
      </c>
      <c r="B296" s="22">
        <v>0</v>
      </c>
      <c r="C296" s="22">
        <v>0</v>
      </c>
      <c r="D296" s="22">
        <v>0</v>
      </c>
      <c r="E296" s="22">
        <v>0</v>
      </c>
      <c r="F296" s="22">
        <v>1501</v>
      </c>
      <c r="G296" s="22">
        <v>17029</v>
      </c>
      <c r="H296" s="22">
        <v>32125</v>
      </c>
      <c r="I296" s="22">
        <v>5004</v>
      </c>
      <c r="J296" s="22">
        <v>9262</v>
      </c>
      <c r="K296" s="22"/>
      <c r="L296" s="22">
        <v>25351</v>
      </c>
      <c r="M296" s="22">
        <v>1578</v>
      </c>
      <c r="N296" s="22"/>
      <c r="O296" s="22">
        <v>1706</v>
      </c>
      <c r="P296" s="22">
        <v>12267</v>
      </c>
      <c r="Q296" s="22">
        <v>306</v>
      </c>
      <c r="R296" s="22">
        <v>8412</v>
      </c>
      <c r="S296" s="22">
        <v>11618</v>
      </c>
      <c r="T296" s="22"/>
      <c r="U296" s="22"/>
      <c r="V296" s="22">
        <v>425</v>
      </c>
      <c r="W296" s="22">
        <v>8167</v>
      </c>
      <c r="X296" s="22">
        <v>330</v>
      </c>
      <c r="Y296" s="22">
        <v>6</v>
      </c>
      <c r="Z296" s="143"/>
      <c r="AA296" s="22">
        <v>10</v>
      </c>
      <c r="AB296" s="22">
        <v>238</v>
      </c>
      <c r="AC296" s="22">
        <v>29</v>
      </c>
      <c r="AD296" s="22">
        <v>31</v>
      </c>
      <c r="AE296" s="22">
        <v>36</v>
      </c>
      <c r="AF296" s="22">
        <v>94</v>
      </c>
      <c r="AG296" s="22"/>
      <c r="AH296" s="22"/>
      <c r="AI296" s="22">
        <v>7</v>
      </c>
      <c r="AJ296" s="22">
        <v>11238</v>
      </c>
      <c r="AK296" s="22">
        <v>112563</v>
      </c>
      <c r="AL296" s="22">
        <v>3180</v>
      </c>
      <c r="AM296" s="22">
        <v>21623</v>
      </c>
      <c r="AN296" s="22">
        <v>20</v>
      </c>
      <c r="AO296" s="22">
        <v>1</v>
      </c>
      <c r="AP296" s="22">
        <v>11208</v>
      </c>
      <c r="AQ296" s="22">
        <v>0</v>
      </c>
      <c r="AR296" s="22">
        <v>2567</v>
      </c>
      <c r="AS296" s="22">
        <v>45</v>
      </c>
      <c r="AT296" s="22">
        <v>7085</v>
      </c>
      <c r="AU296" s="22">
        <v>2433</v>
      </c>
      <c r="AV296" s="22">
        <v>4785</v>
      </c>
      <c r="AW296" s="22">
        <v>15973</v>
      </c>
      <c r="AX296" s="143"/>
      <c r="AY296" s="143"/>
      <c r="AZ296" s="143">
        <v>881</v>
      </c>
      <c r="BA296" s="143"/>
      <c r="BB296" s="22">
        <v>354</v>
      </c>
      <c r="BC296" s="22"/>
      <c r="BD296" s="22">
        <v>0</v>
      </c>
      <c r="BE296" s="22">
        <v>0</v>
      </c>
      <c r="BF296" s="22">
        <v>2359</v>
      </c>
      <c r="BG296" s="22">
        <v>0</v>
      </c>
      <c r="BH296" s="22">
        <v>0</v>
      </c>
      <c r="BI296" s="22">
        <v>6868</v>
      </c>
      <c r="BJ296" s="22">
        <v>5</v>
      </c>
      <c r="BK296" s="22">
        <v>2761</v>
      </c>
      <c r="BL296" s="22"/>
      <c r="BM296" s="22">
        <v>546</v>
      </c>
      <c r="BN296" s="22">
        <v>18</v>
      </c>
      <c r="BO296" s="145">
        <v>33070</v>
      </c>
      <c r="BP296" s="22">
        <v>84979</v>
      </c>
      <c r="BQ296" s="22">
        <v>437</v>
      </c>
      <c r="BR296" s="22">
        <v>120</v>
      </c>
      <c r="BS296" s="22">
        <v>6463</v>
      </c>
      <c r="BT296" s="22">
        <v>84</v>
      </c>
      <c r="BU296" s="22"/>
      <c r="BV296" s="22">
        <v>2</v>
      </c>
      <c r="BW296" s="22">
        <v>45</v>
      </c>
      <c r="BX296" s="22"/>
      <c r="BY296" s="22">
        <v>3</v>
      </c>
      <c r="BZ296" s="22">
        <v>0</v>
      </c>
      <c r="CA296" s="22">
        <v>24469</v>
      </c>
      <c r="CB296" s="22">
        <v>15337</v>
      </c>
      <c r="CC296" s="22">
        <v>155473</v>
      </c>
      <c r="CD296" s="22">
        <v>256998</v>
      </c>
      <c r="CE296" s="22">
        <v>24746</v>
      </c>
      <c r="CF296" s="22">
        <v>50180</v>
      </c>
      <c r="CG296" s="22">
        <v>0</v>
      </c>
      <c r="CH296" s="22">
        <v>1</v>
      </c>
      <c r="CI296" s="22">
        <v>4</v>
      </c>
      <c r="CJ296" s="22">
        <v>52</v>
      </c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>
        <v>0</v>
      </c>
      <c r="CZ296" s="22">
        <v>0</v>
      </c>
      <c r="DA296" s="22">
        <v>0</v>
      </c>
      <c r="DB296" s="22">
        <v>18</v>
      </c>
      <c r="DC296" s="22">
        <v>0</v>
      </c>
      <c r="DD296" s="22">
        <v>33</v>
      </c>
      <c r="DE296">
        <f t="shared" si="77"/>
        <v>994508</v>
      </c>
      <c r="DG296" s="1">
        <f t="shared" ref="DG296:DG314" si="100">SUM(AX297:AY297,BC297:CP297,CU297:CX297)</f>
        <v>666655</v>
      </c>
      <c r="DH296" s="1">
        <f t="shared" si="78"/>
        <v>264988</v>
      </c>
      <c r="DI296" s="1">
        <f t="shared" si="97"/>
        <v>931643</v>
      </c>
      <c r="DK296" s="1">
        <f t="shared" si="79"/>
        <v>58148</v>
      </c>
      <c r="DL296" s="1">
        <f t="shared" si="80"/>
        <v>145838</v>
      </c>
      <c r="DM296" s="1">
        <f t="shared" si="81"/>
        <v>11661</v>
      </c>
      <c r="DN296" s="1">
        <f t="shared" si="82"/>
        <v>49293</v>
      </c>
      <c r="DO296" s="1">
        <f t="shared" si="83"/>
        <v>462899</v>
      </c>
      <c r="DP296" s="1">
        <f t="shared" si="84"/>
        <v>91988</v>
      </c>
      <c r="DQ296" s="1">
        <f t="shared" si="91"/>
        <v>0</v>
      </c>
      <c r="DR296" s="1">
        <f t="shared" si="85"/>
        <v>15048</v>
      </c>
      <c r="DS296" s="1">
        <f t="shared" ref="DS296:DS312" si="101">BO297</f>
        <v>34005</v>
      </c>
      <c r="DT296" s="1">
        <f t="shared" si="87"/>
        <v>12114</v>
      </c>
      <c r="DU296" s="1"/>
      <c r="DV296" s="1"/>
      <c r="DW296" s="1"/>
      <c r="DX296" s="1">
        <f t="shared" si="92"/>
        <v>880994</v>
      </c>
      <c r="DZ296" s="1">
        <f t="shared" si="93"/>
        <v>50180</v>
      </c>
      <c r="EA296" s="1">
        <f t="shared" si="99"/>
        <v>64921</v>
      </c>
      <c r="EC296" s="1">
        <f t="shared" si="94"/>
        <v>996095</v>
      </c>
      <c r="ED296" s="1">
        <f t="shared" si="89"/>
        <v>1587</v>
      </c>
      <c r="EE296" s="1"/>
    </row>
    <row r="297" spans="1:135" x14ac:dyDescent="0.25">
      <c r="A297" s="140">
        <v>41244</v>
      </c>
      <c r="B297" s="22">
        <v>0</v>
      </c>
      <c r="C297" s="22">
        <v>0</v>
      </c>
      <c r="D297" s="22">
        <v>0</v>
      </c>
      <c r="E297" s="22">
        <v>0</v>
      </c>
      <c r="F297" s="22">
        <v>1471</v>
      </c>
      <c r="G297" s="22">
        <v>17136</v>
      </c>
      <c r="H297" s="22">
        <v>32358</v>
      </c>
      <c r="I297" s="22">
        <v>5067</v>
      </c>
      <c r="J297" s="22">
        <v>9362</v>
      </c>
      <c r="K297" s="22"/>
      <c r="L297" s="22">
        <v>25292</v>
      </c>
      <c r="M297" s="22">
        <v>1558</v>
      </c>
      <c r="N297" s="22"/>
      <c r="O297" s="22">
        <v>1724</v>
      </c>
      <c r="P297" s="22">
        <v>12283</v>
      </c>
      <c r="Q297" s="22">
        <v>309</v>
      </c>
      <c r="R297" s="22">
        <v>8316</v>
      </c>
      <c r="S297" s="22">
        <v>11661</v>
      </c>
      <c r="T297" s="22"/>
      <c r="U297" s="22"/>
      <c r="V297" s="22">
        <v>427</v>
      </c>
      <c r="W297" s="22">
        <v>8239</v>
      </c>
      <c r="X297" s="22">
        <v>328</v>
      </c>
      <c r="Y297" s="22">
        <v>6</v>
      </c>
      <c r="Z297" s="143"/>
      <c r="AA297" s="22">
        <v>9</v>
      </c>
      <c r="AB297" s="22">
        <v>241</v>
      </c>
      <c r="AC297" s="22">
        <v>31</v>
      </c>
      <c r="AD297" s="22">
        <v>32</v>
      </c>
      <c r="AE297" s="22">
        <v>36</v>
      </c>
      <c r="AF297" s="22">
        <v>95</v>
      </c>
      <c r="AG297" s="22"/>
      <c r="AH297" s="22"/>
      <c r="AI297" s="22">
        <v>7</v>
      </c>
      <c r="AJ297" s="22">
        <v>11270</v>
      </c>
      <c r="AK297" s="22">
        <v>112794</v>
      </c>
      <c r="AL297" s="22">
        <v>3170</v>
      </c>
      <c r="AM297" s="22">
        <v>21738</v>
      </c>
      <c r="AN297" s="22">
        <v>20</v>
      </c>
      <c r="AO297" s="22">
        <v>3</v>
      </c>
      <c r="AP297" s="22">
        <v>11438</v>
      </c>
      <c r="AQ297" s="22">
        <v>0</v>
      </c>
      <c r="AR297" s="22">
        <v>2313</v>
      </c>
      <c r="AS297" s="22">
        <v>45</v>
      </c>
      <c r="AT297" s="22">
        <v>7107</v>
      </c>
      <c r="AU297" s="22">
        <v>2441</v>
      </c>
      <c r="AV297" s="22">
        <v>4801</v>
      </c>
      <c r="AW297" s="22">
        <v>16019</v>
      </c>
      <c r="AX297" s="143"/>
      <c r="AY297" s="143"/>
      <c r="AZ297" s="143">
        <v>894</v>
      </c>
      <c r="BA297" s="143"/>
      <c r="BB297" s="22">
        <v>341</v>
      </c>
      <c r="BC297" s="22"/>
      <c r="BD297" s="22">
        <v>0</v>
      </c>
      <c r="BE297" s="22">
        <v>0</v>
      </c>
      <c r="BF297" s="22">
        <v>3046</v>
      </c>
      <c r="BG297" s="22">
        <v>0</v>
      </c>
      <c r="BH297" s="22">
        <v>0</v>
      </c>
      <c r="BI297" s="22">
        <v>6040</v>
      </c>
      <c r="BJ297" s="22">
        <v>4</v>
      </c>
      <c r="BK297" s="22">
        <v>2992</v>
      </c>
      <c r="BL297" s="22"/>
      <c r="BM297" s="22">
        <v>550</v>
      </c>
      <c r="BN297" s="22">
        <v>17</v>
      </c>
      <c r="BO297" s="145">
        <v>34005</v>
      </c>
      <c r="BP297" s="22">
        <v>84904</v>
      </c>
      <c r="BQ297" s="22">
        <v>429</v>
      </c>
      <c r="BR297" s="22">
        <v>117</v>
      </c>
      <c r="BS297" s="22">
        <v>6441</v>
      </c>
      <c r="BT297" s="22">
        <v>92</v>
      </c>
      <c r="BU297" s="22"/>
      <c r="BV297" s="22">
        <v>1</v>
      </c>
      <c r="BW297" s="22">
        <v>36</v>
      </c>
      <c r="BX297" s="22"/>
      <c r="BY297" s="22">
        <v>3</v>
      </c>
      <c r="BZ297" s="22">
        <v>0</v>
      </c>
      <c r="CA297" s="22">
        <v>24651</v>
      </c>
      <c r="CB297" s="22">
        <v>15047</v>
      </c>
      <c r="CC297" s="22">
        <v>154900</v>
      </c>
      <c r="CD297" s="22">
        <v>257696</v>
      </c>
      <c r="CE297" s="22">
        <v>24936</v>
      </c>
      <c r="CF297" s="22">
        <v>50694</v>
      </c>
      <c r="CG297" s="22">
        <v>0</v>
      </c>
      <c r="CH297" s="22">
        <v>1</v>
      </c>
      <c r="CI297" s="22">
        <v>3</v>
      </c>
      <c r="CJ297" s="22">
        <v>50</v>
      </c>
      <c r="CK297" s="22"/>
      <c r="CL297" s="22"/>
      <c r="CM297" s="22"/>
      <c r="CN297" s="22"/>
      <c r="CO297" s="22"/>
      <c r="CP297" s="22"/>
      <c r="CQ297" s="22"/>
      <c r="CR297" s="22"/>
      <c r="CS297" s="22"/>
      <c r="CT297" s="22"/>
      <c r="CU297" s="22"/>
      <c r="CV297" s="22"/>
      <c r="CW297" s="22"/>
      <c r="CX297" s="22"/>
      <c r="CY297" s="22">
        <v>0</v>
      </c>
      <c r="CZ297" s="22">
        <v>0</v>
      </c>
      <c r="DA297" s="22">
        <v>0</v>
      </c>
      <c r="DB297" s="22">
        <v>18</v>
      </c>
      <c r="DC297" s="22">
        <v>0</v>
      </c>
      <c r="DD297" s="22">
        <v>32</v>
      </c>
      <c r="DE297">
        <f t="shared" si="77"/>
        <v>997037</v>
      </c>
      <c r="DG297" s="1">
        <f t="shared" si="100"/>
        <v>664147</v>
      </c>
      <c r="DH297" s="1">
        <f t="shared" si="78"/>
        <v>253265</v>
      </c>
      <c r="DI297" s="1">
        <f t="shared" si="97"/>
        <v>917412</v>
      </c>
      <c r="DK297" s="1">
        <f t="shared" si="79"/>
        <v>57813</v>
      </c>
      <c r="DL297" s="1">
        <f t="shared" si="80"/>
        <v>145886</v>
      </c>
      <c r="DM297" s="1">
        <f t="shared" si="81"/>
        <v>11633</v>
      </c>
      <c r="DN297" s="1">
        <f t="shared" si="82"/>
        <v>37868</v>
      </c>
      <c r="DO297" s="1">
        <f t="shared" si="83"/>
        <v>460722</v>
      </c>
      <c r="DP297" s="1">
        <f t="shared" si="84"/>
        <v>91895</v>
      </c>
      <c r="DQ297" s="1">
        <f t="shared" si="91"/>
        <v>0</v>
      </c>
      <c r="DR297" s="1">
        <f t="shared" si="85"/>
        <v>14659</v>
      </c>
      <c r="DS297" s="1">
        <f t="shared" si="101"/>
        <v>34407</v>
      </c>
      <c r="DT297" s="1">
        <f t="shared" si="87"/>
        <v>12103</v>
      </c>
      <c r="DU297" s="1"/>
      <c r="DV297" s="1"/>
      <c r="DW297" s="1"/>
      <c r="DX297" s="1">
        <f t="shared" si="92"/>
        <v>866986</v>
      </c>
      <c r="DZ297" s="1">
        <f t="shared" si="93"/>
        <v>50694</v>
      </c>
      <c r="EA297" s="1">
        <f t="shared" si="99"/>
        <v>65394</v>
      </c>
      <c r="EC297" s="1">
        <f t="shared" si="94"/>
        <v>983074</v>
      </c>
      <c r="ED297" s="1">
        <f t="shared" si="89"/>
        <v>-13963</v>
      </c>
      <c r="EE297" s="1"/>
    </row>
    <row r="298" spans="1:135" x14ac:dyDescent="0.25">
      <c r="A298" s="140">
        <v>41275</v>
      </c>
      <c r="B298" s="22">
        <v>0</v>
      </c>
      <c r="C298" s="22">
        <v>0</v>
      </c>
      <c r="D298" s="22">
        <v>0</v>
      </c>
      <c r="E298" s="22">
        <v>0</v>
      </c>
      <c r="F298" s="22">
        <v>1468</v>
      </c>
      <c r="G298" s="22">
        <v>17047</v>
      </c>
      <c r="H298" s="22">
        <v>32301</v>
      </c>
      <c r="I298" s="22">
        <v>4997</v>
      </c>
      <c r="J298" s="22">
        <v>9404</v>
      </c>
      <c r="K298" s="22"/>
      <c r="L298" s="22">
        <v>25216</v>
      </c>
      <c r="M298" s="22">
        <v>1562</v>
      </c>
      <c r="N298" s="22"/>
      <c r="O298" s="22">
        <v>1713</v>
      </c>
      <c r="P298" s="22">
        <v>12145</v>
      </c>
      <c r="Q298" s="22">
        <v>314</v>
      </c>
      <c r="R298" s="22">
        <v>8193</v>
      </c>
      <c r="S298" s="22">
        <v>11633</v>
      </c>
      <c r="T298" s="22"/>
      <c r="U298" s="22"/>
      <c r="V298" s="22">
        <v>422</v>
      </c>
      <c r="W298" s="22">
        <v>8248</v>
      </c>
      <c r="X298" s="22">
        <v>330</v>
      </c>
      <c r="Y298" s="22">
        <v>5</v>
      </c>
      <c r="Z298" s="143"/>
      <c r="AA298" s="22">
        <v>9</v>
      </c>
      <c r="AB298" s="22">
        <v>241</v>
      </c>
      <c r="AC298" s="22">
        <v>31</v>
      </c>
      <c r="AD298" s="22">
        <v>31</v>
      </c>
      <c r="AE298" s="22">
        <v>36</v>
      </c>
      <c r="AF298" s="22">
        <v>97</v>
      </c>
      <c r="AG298" s="22"/>
      <c r="AH298" s="22"/>
      <c r="AI298" s="22">
        <v>8</v>
      </c>
      <c r="AJ298" s="22">
        <v>11305</v>
      </c>
      <c r="AK298" s="22">
        <v>113031</v>
      </c>
      <c r="AL298" s="22">
        <v>3156</v>
      </c>
      <c r="AM298" s="22">
        <v>21723</v>
      </c>
      <c r="AN298" s="22">
        <v>21</v>
      </c>
      <c r="AO298" s="22">
        <v>2</v>
      </c>
      <c r="AP298" s="22">
        <v>1</v>
      </c>
      <c r="AQ298" s="22">
        <v>0</v>
      </c>
      <c r="AR298" s="22">
        <v>2191</v>
      </c>
      <c r="AS298" s="22">
        <v>47</v>
      </c>
      <c r="AT298" s="22">
        <v>7063</v>
      </c>
      <c r="AU298" s="22">
        <v>2435</v>
      </c>
      <c r="AV298" s="22">
        <v>4792</v>
      </c>
      <c r="AW298" s="22">
        <v>16045</v>
      </c>
      <c r="AX298" s="143"/>
      <c r="AY298" s="143"/>
      <c r="AZ298" s="143">
        <v>893</v>
      </c>
      <c r="BA298" s="143"/>
      <c r="BB298" s="22">
        <v>326</v>
      </c>
      <c r="BC298" s="22"/>
      <c r="BD298" s="22">
        <v>0</v>
      </c>
      <c r="BE298" s="22">
        <v>0</v>
      </c>
      <c r="BF298" s="22">
        <v>3399</v>
      </c>
      <c r="BG298" s="22">
        <v>0</v>
      </c>
      <c r="BH298" s="22">
        <v>0</v>
      </c>
      <c r="BI298" s="22">
        <v>5632</v>
      </c>
      <c r="BJ298" s="22">
        <v>4</v>
      </c>
      <c r="BK298" s="22">
        <v>3038</v>
      </c>
      <c r="BL298" s="22"/>
      <c r="BM298" s="22">
        <v>560</v>
      </c>
      <c r="BN298" s="22">
        <v>16</v>
      </c>
      <c r="BO298" s="145">
        <v>34407</v>
      </c>
      <c r="BP298" s="22">
        <v>84504</v>
      </c>
      <c r="BQ298" s="22">
        <v>440</v>
      </c>
      <c r="BR298" s="22">
        <v>113</v>
      </c>
      <c r="BS298" s="22">
        <v>6383</v>
      </c>
      <c r="BT298" s="22">
        <v>81</v>
      </c>
      <c r="BU298" s="22"/>
      <c r="BV298" s="22">
        <v>1</v>
      </c>
      <c r="BW298" s="22">
        <v>34</v>
      </c>
      <c r="BX298" s="22"/>
      <c r="BY298" s="22">
        <v>3</v>
      </c>
      <c r="BZ298" s="22">
        <v>0</v>
      </c>
      <c r="CA298" s="22">
        <v>24434</v>
      </c>
      <c r="CB298" s="22">
        <v>14657</v>
      </c>
      <c r="CC298" s="22">
        <v>153454</v>
      </c>
      <c r="CD298" s="22">
        <v>257414</v>
      </c>
      <c r="CE298" s="22">
        <v>24702</v>
      </c>
      <c r="CF298" s="22">
        <v>50809</v>
      </c>
      <c r="CG298" s="22">
        <v>0</v>
      </c>
      <c r="CH298" s="22">
        <v>2</v>
      </c>
      <c r="CI298" s="22">
        <v>2</v>
      </c>
      <c r="CJ298" s="22">
        <v>58</v>
      </c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>
        <v>0</v>
      </c>
      <c r="CZ298" s="22">
        <v>0</v>
      </c>
      <c r="DA298" s="22">
        <v>0</v>
      </c>
      <c r="DB298" s="22">
        <v>18</v>
      </c>
      <c r="DC298" s="22">
        <v>0</v>
      </c>
      <c r="DD298" s="22">
        <v>32</v>
      </c>
      <c r="DE298">
        <f t="shared" si="77"/>
        <v>982629</v>
      </c>
      <c r="DG298" s="1">
        <f t="shared" si="100"/>
        <v>669801</v>
      </c>
      <c r="DH298" s="1">
        <f t="shared" si="78"/>
        <v>261843</v>
      </c>
      <c r="DI298" s="1">
        <f t="shared" si="97"/>
        <v>931644</v>
      </c>
      <c r="DK298" s="1">
        <f t="shared" si="79"/>
        <v>57600</v>
      </c>
      <c r="DL298" s="1">
        <f t="shared" si="80"/>
        <v>145951</v>
      </c>
      <c r="DM298" s="1">
        <f t="shared" si="81"/>
        <v>11631</v>
      </c>
      <c r="DN298" s="1">
        <f t="shared" si="82"/>
        <v>46391</v>
      </c>
      <c r="DO298" s="1">
        <f t="shared" si="83"/>
        <v>463428</v>
      </c>
      <c r="DP298" s="1">
        <f t="shared" si="84"/>
        <v>91447</v>
      </c>
      <c r="DQ298" s="1">
        <f t="shared" si="91"/>
        <v>0</v>
      </c>
      <c r="DR298" s="1">
        <f t="shared" si="85"/>
        <v>14934</v>
      </c>
      <c r="DS298" s="1">
        <f t="shared" si="101"/>
        <v>35335</v>
      </c>
      <c r="DT298" s="1">
        <f t="shared" si="87"/>
        <v>12399</v>
      </c>
      <c r="DU298" s="1"/>
      <c r="DV298" s="1"/>
      <c r="DW298" s="1"/>
      <c r="DX298" s="1">
        <f t="shared" si="92"/>
        <v>879116</v>
      </c>
      <c r="DZ298" s="1">
        <f t="shared" si="93"/>
        <v>50809</v>
      </c>
      <c r="EA298" s="1">
        <f t="shared" si="99"/>
        <v>65217</v>
      </c>
      <c r="EC298" s="1">
        <f t="shared" si="94"/>
        <v>995142</v>
      </c>
      <c r="ED298" s="1">
        <f t="shared" si="89"/>
        <v>12513</v>
      </c>
      <c r="EE298" s="1"/>
    </row>
    <row r="299" spans="1:135" x14ac:dyDescent="0.25">
      <c r="A299" s="140">
        <v>41306</v>
      </c>
      <c r="B299" s="22">
        <v>0</v>
      </c>
      <c r="C299" s="22">
        <v>0</v>
      </c>
      <c r="D299" s="22">
        <v>0</v>
      </c>
      <c r="E299" s="22">
        <v>0</v>
      </c>
      <c r="F299" s="22">
        <v>1476</v>
      </c>
      <c r="G299" s="22">
        <v>17222</v>
      </c>
      <c r="H299" s="22">
        <v>32541</v>
      </c>
      <c r="I299" s="22">
        <v>4970</v>
      </c>
      <c r="J299" s="22">
        <v>9381</v>
      </c>
      <c r="K299" s="22"/>
      <c r="L299" s="22">
        <v>25125</v>
      </c>
      <c r="M299" s="22">
        <v>1546</v>
      </c>
      <c r="N299" s="22"/>
      <c r="O299" s="22">
        <v>1705</v>
      </c>
      <c r="P299" s="22">
        <v>12076</v>
      </c>
      <c r="Q299" s="22">
        <v>310</v>
      </c>
      <c r="R299" s="22">
        <v>8088</v>
      </c>
      <c r="S299" s="22">
        <v>11631</v>
      </c>
      <c r="T299" s="22"/>
      <c r="U299" s="22"/>
      <c r="V299" s="22">
        <v>421</v>
      </c>
      <c r="W299" s="22">
        <v>8329</v>
      </c>
      <c r="X299" s="22">
        <v>330</v>
      </c>
      <c r="Y299" s="22">
        <v>5</v>
      </c>
      <c r="Z299" s="143"/>
      <c r="AA299" s="22">
        <v>10</v>
      </c>
      <c r="AB299" s="22">
        <v>251</v>
      </c>
      <c r="AC299" s="22">
        <v>30</v>
      </c>
      <c r="AD299" s="22">
        <v>30</v>
      </c>
      <c r="AE299" s="22">
        <v>36</v>
      </c>
      <c r="AF299" s="22">
        <v>100</v>
      </c>
      <c r="AG299" s="22"/>
      <c r="AH299" s="22"/>
      <c r="AI299" s="22">
        <v>7</v>
      </c>
      <c r="AJ299" s="22">
        <v>11392</v>
      </c>
      <c r="AK299" s="22">
        <v>113137</v>
      </c>
      <c r="AL299" s="22">
        <v>3113</v>
      </c>
      <c r="AM299" s="22">
        <v>21822</v>
      </c>
      <c r="AN299" s="22">
        <v>19</v>
      </c>
      <c r="AO299" s="22">
        <v>4</v>
      </c>
      <c r="AP299" s="22">
        <v>8399</v>
      </c>
      <c r="AQ299" s="22">
        <v>0</v>
      </c>
      <c r="AR299" s="22">
        <v>2269</v>
      </c>
      <c r="AS299" s="22">
        <v>45</v>
      </c>
      <c r="AT299" s="22">
        <v>7102</v>
      </c>
      <c r="AU299" s="22">
        <v>2438</v>
      </c>
      <c r="AV299" s="22">
        <v>4780</v>
      </c>
      <c r="AW299" s="22">
        <v>16066</v>
      </c>
      <c r="AX299" s="143"/>
      <c r="AY299" s="143"/>
      <c r="AZ299" s="143">
        <v>896</v>
      </c>
      <c r="BA299" s="143"/>
      <c r="BB299" s="22">
        <v>331</v>
      </c>
      <c r="BC299" s="22"/>
      <c r="BD299" s="22">
        <v>0</v>
      </c>
      <c r="BE299" s="22">
        <v>0</v>
      </c>
      <c r="BF299" s="22">
        <v>6640</v>
      </c>
      <c r="BG299" s="22">
        <v>0</v>
      </c>
      <c r="BH299" s="22">
        <v>0</v>
      </c>
      <c r="BI299" s="22">
        <v>0</v>
      </c>
      <c r="BJ299" s="22">
        <v>3</v>
      </c>
      <c r="BK299" s="22">
        <v>5728</v>
      </c>
      <c r="BL299" s="22"/>
      <c r="BM299" s="22">
        <v>531</v>
      </c>
      <c r="BN299" s="22">
        <v>15</v>
      </c>
      <c r="BO299" s="145">
        <v>35335</v>
      </c>
      <c r="BP299" s="22">
        <v>85558</v>
      </c>
      <c r="BQ299" s="22">
        <v>439</v>
      </c>
      <c r="BR299" s="22">
        <v>112</v>
      </c>
      <c r="BS299" s="22">
        <v>6460</v>
      </c>
      <c r="BT299" s="22">
        <v>80</v>
      </c>
      <c r="BU299" s="22"/>
      <c r="BV299" s="22">
        <v>1</v>
      </c>
      <c r="BW299" s="22">
        <v>31</v>
      </c>
      <c r="BX299" s="22"/>
      <c r="BY299" s="22">
        <v>6</v>
      </c>
      <c r="BZ299" s="22">
        <v>0</v>
      </c>
      <c r="CA299" s="22">
        <v>24687</v>
      </c>
      <c r="CB299" s="22">
        <v>14931</v>
      </c>
      <c r="CC299" s="22">
        <v>154035</v>
      </c>
      <c r="CD299" s="22">
        <v>258981</v>
      </c>
      <c r="CE299" s="22">
        <v>25012</v>
      </c>
      <c r="CF299" s="22">
        <v>51156</v>
      </c>
      <c r="CG299" s="22">
        <v>0</v>
      </c>
      <c r="CH299" s="22">
        <v>3</v>
      </c>
      <c r="CI299" s="22">
        <v>3</v>
      </c>
      <c r="CJ299" s="22">
        <v>54</v>
      </c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>
        <v>0</v>
      </c>
      <c r="CZ299" s="22">
        <v>0</v>
      </c>
      <c r="DA299" s="22">
        <v>0</v>
      </c>
      <c r="DB299" s="22">
        <v>18</v>
      </c>
      <c r="DC299" s="22">
        <v>0</v>
      </c>
      <c r="DD299" s="22">
        <v>32</v>
      </c>
      <c r="DE299">
        <f t="shared" si="77"/>
        <v>997234</v>
      </c>
      <c r="DG299" s="1">
        <f t="shared" si="100"/>
        <v>670285</v>
      </c>
      <c r="DH299" s="1">
        <f t="shared" si="78"/>
        <v>263467</v>
      </c>
      <c r="DI299" s="1">
        <f t="shared" si="97"/>
        <v>933752</v>
      </c>
      <c r="DK299" s="1">
        <f t="shared" si="79"/>
        <v>57548</v>
      </c>
      <c r="DL299" s="1">
        <f t="shared" si="80"/>
        <v>146221</v>
      </c>
      <c r="DM299" s="1">
        <f t="shared" si="81"/>
        <v>11679</v>
      </c>
      <c r="DN299" s="1">
        <f t="shared" si="82"/>
        <v>47669</v>
      </c>
      <c r="DO299" s="1">
        <f t="shared" si="83"/>
        <v>463471</v>
      </c>
      <c r="DP299" s="1">
        <f t="shared" si="84"/>
        <v>92549</v>
      </c>
      <c r="DQ299" s="1">
        <f t="shared" si="91"/>
        <v>0</v>
      </c>
      <c r="DR299" s="1">
        <f t="shared" si="85"/>
        <v>15005</v>
      </c>
      <c r="DS299" s="1">
        <f t="shared" si="101"/>
        <v>36071</v>
      </c>
      <c r="DT299" s="1">
        <f t="shared" si="87"/>
        <v>12560</v>
      </c>
      <c r="DU299" s="1"/>
      <c r="DV299" s="1"/>
      <c r="DW299" s="1"/>
      <c r="DX299" s="1">
        <f t="shared" si="92"/>
        <v>882773</v>
      </c>
      <c r="DZ299" s="1">
        <f t="shared" si="93"/>
        <v>51156</v>
      </c>
      <c r="EA299" s="1">
        <f t="shared" si="99"/>
        <v>65590</v>
      </c>
      <c r="EC299" s="1">
        <f t="shared" si="94"/>
        <v>999519</v>
      </c>
      <c r="ED299" s="1">
        <f t="shared" si="89"/>
        <v>2285</v>
      </c>
      <c r="EE299" s="1"/>
    </row>
    <row r="300" spans="1:135" x14ac:dyDescent="0.25">
      <c r="A300" s="140">
        <v>41334</v>
      </c>
      <c r="B300" s="22">
        <v>0</v>
      </c>
      <c r="C300" s="22">
        <v>0</v>
      </c>
      <c r="D300" s="22">
        <v>0</v>
      </c>
      <c r="E300" s="22">
        <v>0</v>
      </c>
      <c r="F300" s="22">
        <v>1518</v>
      </c>
      <c r="G300" s="22">
        <v>17103</v>
      </c>
      <c r="H300" s="22">
        <v>32217</v>
      </c>
      <c r="I300" s="22">
        <v>4930</v>
      </c>
      <c r="J300" s="22">
        <v>9332</v>
      </c>
      <c r="K300" s="22"/>
      <c r="L300" s="22">
        <v>25057</v>
      </c>
      <c r="M300" s="22">
        <v>1532</v>
      </c>
      <c r="N300" s="22"/>
      <c r="O300" s="22">
        <v>1702</v>
      </c>
      <c r="P300" s="22">
        <v>12085</v>
      </c>
      <c r="Q300" s="22">
        <v>306</v>
      </c>
      <c r="R300" s="22">
        <v>8030</v>
      </c>
      <c r="S300" s="22">
        <v>11679</v>
      </c>
      <c r="T300" s="22">
        <v>1</v>
      </c>
      <c r="U300" s="22">
        <v>9</v>
      </c>
      <c r="V300" s="22">
        <v>420</v>
      </c>
      <c r="W300" s="22">
        <v>8406</v>
      </c>
      <c r="X300" s="22">
        <v>328</v>
      </c>
      <c r="Y300" s="22">
        <v>5</v>
      </c>
      <c r="Z300" s="143"/>
      <c r="AA300" s="22">
        <v>10</v>
      </c>
      <c r="AB300" s="22">
        <v>260</v>
      </c>
      <c r="AC300" s="22">
        <v>30</v>
      </c>
      <c r="AD300" s="22">
        <v>29</v>
      </c>
      <c r="AE300" s="22">
        <v>36</v>
      </c>
      <c r="AF300" s="22">
        <v>99</v>
      </c>
      <c r="AG300" s="22">
        <v>5</v>
      </c>
      <c r="AH300" s="22">
        <v>4</v>
      </c>
      <c r="AI300" s="22">
        <v>7</v>
      </c>
      <c r="AJ300" s="22">
        <v>11563</v>
      </c>
      <c r="AK300" s="22">
        <v>113347</v>
      </c>
      <c r="AL300" s="22">
        <v>3088</v>
      </c>
      <c r="AM300" s="22">
        <v>21919</v>
      </c>
      <c r="AN300" s="22">
        <v>22</v>
      </c>
      <c r="AO300" s="22">
        <v>3</v>
      </c>
      <c r="AP300" s="22">
        <v>9470</v>
      </c>
      <c r="AQ300" s="22">
        <v>0</v>
      </c>
      <c r="AR300" s="22">
        <v>2208</v>
      </c>
      <c r="AS300" s="22">
        <v>48</v>
      </c>
      <c r="AT300" s="22">
        <v>7095</v>
      </c>
      <c r="AU300" s="22">
        <v>2449</v>
      </c>
      <c r="AV300" s="22">
        <v>4802</v>
      </c>
      <c r="AW300" s="22">
        <v>16178</v>
      </c>
      <c r="AX300" s="143"/>
      <c r="AY300" s="143"/>
      <c r="AZ300" s="143">
        <v>903</v>
      </c>
      <c r="BA300" s="143"/>
      <c r="BB300" s="22">
        <v>332</v>
      </c>
      <c r="BC300" s="22"/>
      <c r="BD300" s="22">
        <v>0</v>
      </c>
      <c r="BE300" s="22">
        <v>0</v>
      </c>
      <c r="BF300" s="22">
        <v>6764</v>
      </c>
      <c r="BG300" s="22">
        <v>0</v>
      </c>
      <c r="BH300" s="22">
        <v>0</v>
      </c>
      <c r="BI300" s="22">
        <v>0</v>
      </c>
      <c r="BJ300" s="22">
        <v>3</v>
      </c>
      <c r="BK300" s="22">
        <v>5775</v>
      </c>
      <c r="BL300" s="22"/>
      <c r="BM300" s="22">
        <v>488</v>
      </c>
      <c r="BN300" s="22">
        <v>15</v>
      </c>
      <c r="BO300" s="145">
        <v>36071</v>
      </c>
      <c r="BP300" s="22">
        <v>85573</v>
      </c>
      <c r="BQ300" s="22">
        <v>431</v>
      </c>
      <c r="BR300" s="22">
        <v>113</v>
      </c>
      <c r="BS300" s="22">
        <v>6461</v>
      </c>
      <c r="BT300" s="22">
        <v>70</v>
      </c>
      <c r="BU300" s="22"/>
      <c r="BV300" s="22">
        <v>1</v>
      </c>
      <c r="BW300" s="22">
        <v>21</v>
      </c>
      <c r="BX300" s="22"/>
      <c r="BY300" s="22">
        <v>4</v>
      </c>
      <c r="BZ300" s="22">
        <v>0</v>
      </c>
      <c r="CA300" s="22">
        <v>24351</v>
      </c>
      <c r="CB300" s="22">
        <v>15001</v>
      </c>
      <c r="CC300" s="22">
        <v>153747</v>
      </c>
      <c r="CD300" s="22">
        <v>259677</v>
      </c>
      <c r="CE300" s="22">
        <v>24994</v>
      </c>
      <c r="CF300" s="22">
        <v>50656</v>
      </c>
      <c r="CG300" s="22">
        <v>0</v>
      </c>
      <c r="CH300" s="22">
        <v>4</v>
      </c>
      <c r="CI300" s="22">
        <v>3</v>
      </c>
      <c r="CJ300" s="22">
        <v>62</v>
      </c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>
        <v>0</v>
      </c>
      <c r="CZ300" s="22">
        <v>0</v>
      </c>
      <c r="DA300" s="22">
        <v>0</v>
      </c>
      <c r="DB300" s="22">
        <v>18</v>
      </c>
      <c r="DC300" s="22">
        <v>0</v>
      </c>
      <c r="DD300" s="22">
        <v>32</v>
      </c>
      <c r="DE300">
        <f t="shared" si="77"/>
        <v>998852</v>
      </c>
      <c r="DG300" s="1">
        <f t="shared" si="100"/>
        <v>672222</v>
      </c>
      <c r="DH300" s="1">
        <f t="shared" si="78"/>
        <v>265184</v>
      </c>
      <c r="DI300" s="1">
        <f t="shared" si="97"/>
        <v>937406</v>
      </c>
      <c r="DK300" s="1">
        <f t="shared" si="79"/>
        <v>57779</v>
      </c>
      <c r="DL300" s="1">
        <f t="shared" si="80"/>
        <v>146571</v>
      </c>
      <c r="DM300" s="1">
        <f t="shared" si="81"/>
        <v>11727</v>
      </c>
      <c r="DN300" s="1">
        <f t="shared" si="82"/>
        <v>48536</v>
      </c>
      <c r="DO300" s="1">
        <f t="shared" si="83"/>
        <v>463842</v>
      </c>
      <c r="DP300" s="1">
        <f t="shared" si="84"/>
        <v>92522</v>
      </c>
      <c r="DQ300" s="1">
        <f t="shared" si="91"/>
        <v>0</v>
      </c>
      <c r="DR300" s="1">
        <f t="shared" si="85"/>
        <v>15287</v>
      </c>
      <c r="DS300" s="1">
        <f t="shared" si="101"/>
        <v>37150</v>
      </c>
      <c r="DT300" s="1">
        <f t="shared" si="87"/>
        <v>12626</v>
      </c>
      <c r="DU300" s="1"/>
      <c r="DV300" s="1"/>
      <c r="DW300" s="1"/>
      <c r="DX300" s="1">
        <f t="shared" si="92"/>
        <v>886040</v>
      </c>
      <c r="DZ300" s="1">
        <f t="shared" si="93"/>
        <v>50656</v>
      </c>
      <c r="EA300" s="1">
        <f t="shared" si="99"/>
        <v>65100</v>
      </c>
      <c r="EC300" s="1">
        <f t="shared" si="94"/>
        <v>1001796</v>
      </c>
      <c r="ED300" s="1">
        <f t="shared" si="89"/>
        <v>2944</v>
      </c>
      <c r="EE300" s="1"/>
    </row>
    <row r="301" spans="1:135" x14ac:dyDescent="0.25">
      <c r="A301" s="140">
        <v>41365</v>
      </c>
      <c r="B301" s="22">
        <v>0</v>
      </c>
      <c r="C301" s="22">
        <v>0</v>
      </c>
      <c r="D301" s="22">
        <v>0</v>
      </c>
      <c r="E301" s="22">
        <v>0</v>
      </c>
      <c r="F301" s="22">
        <v>1544</v>
      </c>
      <c r="G301" s="22">
        <v>17039</v>
      </c>
      <c r="H301" s="22">
        <v>32175</v>
      </c>
      <c r="I301" s="22">
        <v>4884</v>
      </c>
      <c r="J301" s="22">
        <v>9338</v>
      </c>
      <c r="K301" s="22"/>
      <c r="L301" s="22">
        <v>24998</v>
      </c>
      <c r="M301" s="22">
        <v>1526</v>
      </c>
      <c r="N301" s="22"/>
      <c r="O301" s="22">
        <v>1721</v>
      </c>
      <c r="P301" s="22">
        <v>12170</v>
      </c>
      <c r="Q301" s="22">
        <v>304</v>
      </c>
      <c r="R301" s="22">
        <v>8016</v>
      </c>
      <c r="S301" s="22">
        <v>11727</v>
      </c>
      <c r="T301" s="22">
        <v>11</v>
      </c>
      <c r="U301" s="22">
        <v>82</v>
      </c>
      <c r="V301" s="22">
        <v>417</v>
      </c>
      <c r="W301" s="22">
        <v>8534</v>
      </c>
      <c r="X301" s="22">
        <v>331</v>
      </c>
      <c r="Y301" s="22">
        <v>4</v>
      </c>
      <c r="Z301" s="143"/>
      <c r="AA301" s="22">
        <v>11</v>
      </c>
      <c r="AB301" s="22">
        <v>274</v>
      </c>
      <c r="AC301" s="22">
        <v>31</v>
      </c>
      <c r="AD301" s="22">
        <v>29</v>
      </c>
      <c r="AE301" s="22">
        <v>37</v>
      </c>
      <c r="AF301" s="22">
        <v>95</v>
      </c>
      <c r="AG301" s="22">
        <v>23</v>
      </c>
      <c r="AH301" s="22">
        <v>31</v>
      </c>
      <c r="AI301" s="22">
        <v>7</v>
      </c>
      <c r="AJ301" s="22">
        <v>11780</v>
      </c>
      <c r="AK301" s="22">
        <v>113476</v>
      </c>
      <c r="AL301" s="22">
        <v>3110</v>
      </c>
      <c r="AM301" s="22">
        <v>21998</v>
      </c>
      <c r="AN301" s="22">
        <v>25</v>
      </c>
      <c r="AO301" s="22">
        <v>3</v>
      </c>
      <c r="AP301" s="22">
        <v>10108</v>
      </c>
      <c r="AQ301" s="22">
        <v>0</v>
      </c>
      <c r="AR301" s="22">
        <v>2280</v>
      </c>
      <c r="AS301" s="22">
        <v>52</v>
      </c>
      <c r="AT301" s="22">
        <v>7115</v>
      </c>
      <c r="AU301" s="22">
        <v>2459</v>
      </c>
      <c r="AV301" s="22">
        <v>4831</v>
      </c>
      <c r="AW301" s="22">
        <v>16332</v>
      </c>
      <c r="AX301" s="143"/>
      <c r="AY301" s="143"/>
      <c r="AZ301" s="143">
        <v>911</v>
      </c>
      <c r="BA301" s="143"/>
      <c r="BB301" s="22">
        <v>325</v>
      </c>
      <c r="BC301" s="22"/>
      <c r="BD301" s="22">
        <v>0</v>
      </c>
      <c r="BE301" s="22">
        <v>0</v>
      </c>
      <c r="BF301" s="22">
        <v>6824</v>
      </c>
      <c r="BG301" s="22">
        <v>0</v>
      </c>
      <c r="BH301" s="22">
        <v>0</v>
      </c>
      <c r="BI301" s="22">
        <v>0</v>
      </c>
      <c r="BJ301" s="22">
        <v>4</v>
      </c>
      <c r="BK301" s="22">
        <v>5784</v>
      </c>
      <c r="BL301" s="22"/>
      <c r="BM301" s="22">
        <v>504</v>
      </c>
      <c r="BN301" s="22">
        <v>11</v>
      </c>
      <c r="BO301" s="145">
        <v>37150</v>
      </c>
      <c r="BP301" s="22">
        <v>85854</v>
      </c>
      <c r="BQ301" s="22">
        <v>440</v>
      </c>
      <c r="BR301" s="22">
        <v>106</v>
      </c>
      <c r="BS301" s="22">
        <v>6554</v>
      </c>
      <c r="BT301" s="22">
        <v>67</v>
      </c>
      <c r="BU301" s="22"/>
      <c r="BV301" s="22">
        <v>1</v>
      </c>
      <c r="BW301" s="22">
        <v>18</v>
      </c>
      <c r="BX301" s="22"/>
      <c r="BY301" s="22">
        <v>5</v>
      </c>
      <c r="BZ301" s="22">
        <v>0</v>
      </c>
      <c r="CA301" s="22">
        <v>24156</v>
      </c>
      <c r="CB301" s="22">
        <v>15284</v>
      </c>
      <c r="CC301" s="22">
        <v>153610</v>
      </c>
      <c r="CD301" s="22">
        <v>260304</v>
      </c>
      <c r="CE301" s="22">
        <v>25074</v>
      </c>
      <c r="CF301" s="22">
        <v>50405</v>
      </c>
      <c r="CG301" s="22">
        <v>0</v>
      </c>
      <c r="CH301" s="22">
        <v>3</v>
      </c>
      <c r="CI301" s="22">
        <v>4</v>
      </c>
      <c r="CJ301" s="22">
        <v>60</v>
      </c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>
        <v>0</v>
      </c>
      <c r="CZ301" s="22">
        <v>0</v>
      </c>
      <c r="DA301" s="22">
        <v>0</v>
      </c>
      <c r="DB301" s="22">
        <v>18</v>
      </c>
      <c r="DC301" s="22">
        <v>0</v>
      </c>
      <c r="DD301" s="22">
        <v>32</v>
      </c>
      <c r="DE301">
        <f t="shared" si="77"/>
        <v>1002386</v>
      </c>
      <c r="DG301" s="1">
        <f t="shared" si="100"/>
        <v>673427</v>
      </c>
      <c r="DH301" s="1">
        <f t="shared" si="78"/>
        <v>265618</v>
      </c>
      <c r="DI301" s="1">
        <f t="shared" si="97"/>
        <v>939045</v>
      </c>
      <c r="DK301" s="1">
        <f t="shared" si="79"/>
        <v>57813</v>
      </c>
      <c r="DL301" s="1">
        <f t="shared" si="80"/>
        <v>147142</v>
      </c>
      <c r="DM301" s="1">
        <f t="shared" si="81"/>
        <v>11742</v>
      </c>
      <c r="DN301" s="1">
        <f t="shared" si="82"/>
        <v>48872</v>
      </c>
      <c r="DO301" s="1">
        <f t="shared" si="83"/>
        <v>463940</v>
      </c>
      <c r="DP301" s="1">
        <f t="shared" si="84"/>
        <v>92912</v>
      </c>
      <c r="DQ301" s="1">
        <f t="shared" si="91"/>
        <v>0</v>
      </c>
      <c r="DR301" s="1">
        <f t="shared" si="85"/>
        <v>15606</v>
      </c>
      <c r="DS301" s="1">
        <f t="shared" si="101"/>
        <v>37889</v>
      </c>
      <c r="DT301" s="1">
        <f t="shared" si="87"/>
        <v>12680</v>
      </c>
      <c r="DU301" s="1"/>
      <c r="DV301" s="1"/>
      <c r="DW301" s="1"/>
      <c r="DX301" s="1">
        <f t="shared" si="92"/>
        <v>888596</v>
      </c>
      <c r="DZ301" s="1">
        <f t="shared" si="93"/>
        <v>50405</v>
      </c>
      <c r="EA301" s="1">
        <f t="shared" si="99"/>
        <v>64980</v>
      </c>
      <c r="EC301" s="1">
        <f t="shared" si="94"/>
        <v>1003981</v>
      </c>
      <c r="ED301" s="1">
        <f t="shared" si="89"/>
        <v>1595</v>
      </c>
      <c r="EE301" s="1"/>
    </row>
    <row r="302" spans="1:135" x14ac:dyDescent="0.25">
      <c r="A302" s="140">
        <v>41395</v>
      </c>
      <c r="B302" s="22">
        <v>0</v>
      </c>
      <c r="C302" s="22">
        <v>0</v>
      </c>
      <c r="D302" s="22">
        <v>0</v>
      </c>
      <c r="E302" s="22">
        <v>0</v>
      </c>
      <c r="F302" s="22">
        <v>1578</v>
      </c>
      <c r="G302" s="22">
        <v>16935</v>
      </c>
      <c r="H302" s="22">
        <v>32148</v>
      </c>
      <c r="I302" s="22">
        <v>4849</v>
      </c>
      <c r="J302" s="22">
        <v>9282</v>
      </c>
      <c r="K302" s="22">
        <v>0</v>
      </c>
      <c r="L302" s="22">
        <v>24935</v>
      </c>
      <c r="M302" s="22">
        <v>1526</v>
      </c>
      <c r="N302" s="22">
        <v>0</v>
      </c>
      <c r="O302" s="22">
        <v>1697</v>
      </c>
      <c r="P302" s="22">
        <v>12190</v>
      </c>
      <c r="Q302" s="22">
        <v>309</v>
      </c>
      <c r="R302" s="22">
        <v>7945</v>
      </c>
      <c r="S302" s="22">
        <v>11742</v>
      </c>
      <c r="T302" s="22">
        <v>13</v>
      </c>
      <c r="U302" s="22">
        <v>173</v>
      </c>
      <c r="V302" s="22">
        <v>414</v>
      </c>
      <c r="W302" s="22">
        <v>8611</v>
      </c>
      <c r="X302" s="22">
        <v>330</v>
      </c>
      <c r="Y302" s="22">
        <v>4</v>
      </c>
      <c r="Z302" s="143"/>
      <c r="AA302" s="22">
        <v>10</v>
      </c>
      <c r="AB302" s="22">
        <v>268</v>
      </c>
      <c r="AC302" s="22">
        <v>32</v>
      </c>
      <c r="AD302" s="22">
        <v>32</v>
      </c>
      <c r="AE302" s="22">
        <v>35</v>
      </c>
      <c r="AF302" s="22">
        <v>94</v>
      </c>
      <c r="AG302" s="22">
        <v>32</v>
      </c>
      <c r="AH302" s="22">
        <v>81</v>
      </c>
      <c r="AI302" s="22">
        <v>8</v>
      </c>
      <c r="AJ302" s="22">
        <v>12011</v>
      </c>
      <c r="AK302" s="22">
        <v>113288</v>
      </c>
      <c r="AL302" s="22">
        <v>3071</v>
      </c>
      <c r="AM302" s="22">
        <v>21939</v>
      </c>
      <c r="AN302" s="22">
        <v>22</v>
      </c>
      <c r="AO302" s="22">
        <v>2</v>
      </c>
      <c r="AP302" s="22">
        <v>10516</v>
      </c>
      <c r="AQ302" s="22">
        <v>0</v>
      </c>
      <c r="AR302" s="22">
        <v>2311</v>
      </c>
      <c r="AS302" s="22">
        <v>54</v>
      </c>
      <c r="AT302" s="22">
        <v>7124</v>
      </c>
      <c r="AU302" s="22">
        <v>2459</v>
      </c>
      <c r="AV302" s="22">
        <v>4815</v>
      </c>
      <c r="AW302" s="22">
        <v>16321</v>
      </c>
      <c r="AX302" s="143"/>
      <c r="AY302" s="143"/>
      <c r="AZ302" s="143">
        <v>904</v>
      </c>
      <c r="BA302" s="143"/>
      <c r="BB302" s="22">
        <v>300</v>
      </c>
      <c r="BC302" s="22"/>
      <c r="BD302" s="22">
        <v>0</v>
      </c>
      <c r="BE302" s="22">
        <v>0</v>
      </c>
      <c r="BF302" s="22">
        <v>6871</v>
      </c>
      <c r="BG302" s="22">
        <v>0</v>
      </c>
      <c r="BH302" s="22">
        <v>0</v>
      </c>
      <c r="BI302" s="22">
        <v>0</v>
      </c>
      <c r="BJ302" s="22">
        <v>4</v>
      </c>
      <c r="BK302" s="22">
        <v>5790</v>
      </c>
      <c r="BL302" s="22"/>
      <c r="BM302" s="22">
        <v>481</v>
      </c>
      <c r="BN302" s="22">
        <v>9</v>
      </c>
      <c r="BO302" s="145">
        <v>37889</v>
      </c>
      <c r="BP302" s="22">
        <v>86108</v>
      </c>
      <c r="BQ302" s="22">
        <v>404</v>
      </c>
      <c r="BR302" s="22">
        <v>105</v>
      </c>
      <c r="BS302" s="22">
        <v>6491</v>
      </c>
      <c r="BT302" s="22">
        <v>67</v>
      </c>
      <c r="BU302" s="22"/>
      <c r="BV302" s="22">
        <v>1</v>
      </c>
      <c r="BW302" s="22">
        <v>19</v>
      </c>
      <c r="BX302" s="22"/>
      <c r="BY302" s="22">
        <v>4</v>
      </c>
      <c r="BZ302" s="22">
        <v>0</v>
      </c>
      <c r="CA302" s="22">
        <v>23996</v>
      </c>
      <c r="CB302" s="22">
        <v>15604</v>
      </c>
      <c r="CC302" s="22">
        <v>153477</v>
      </c>
      <c r="CD302" s="22">
        <v>260627</v>
      </c>
      <c r="CE302" s="22">
        <v>25185</v>
      </c>
      <c r="CF302" s="22">
        <v>50232</v>
      </c>
      <c r="CG302" s="22">
        <v>0</v>
      </c>
      <c r="CH302" s="22">
        <v>2</v>
      </c>
      <c r="CI302" s="22">
        <v>4</v>
      </c>
      <c r="CJ302" s="22">
        <v>57</v>
      </c>
      <c r="CK302" s="22"/>
      <c r="CL302" s="22"/>
      <c r="CM302" s="22"/>
      <c r="CN302" s="22"/>
      <c r="CO302" s="22"/>
      <c r="CP302" s="22"/>
      <c r="CQ302" s="22"/>
      <c r="CR302" s="22"/>
      <c r="CS302" s="22"/>
      <c r="CT302" s="22"/>
      <c r="CU302" s="22"/>
      <c r="CV302" s="22"/>
      <c r="CW302" s="22"/>
      <c r="CX302" s="22"/>
      <c r="CY302" s="22">
        <v>0</v>
      </c>
      <c r="CZ302" s="22">
        <v>0</v>
      </c>
      <c r="DA302" s="22">
        <v>0</v>
      </c>
      <c r="DB302" s="22">
        <v>17</v>
      </c>
      <c r="DC302" s="22">
        <v>0</v>
      </c>
      <c r="DD302" s="22">
        <v>31</v>
      </c>
      <c r="DE302">
        <f t="shared" si="77"/>
        <v>1003837</v>
      </c>
      <c r="DG302" s="1">
        <f t="shared" si="100"/>
        <v>674642</v>
      </c>
      <c r="DH302" s="1">
        <f t="shared" si="78"/>
        <v>265817</v>
      </c>
      <c r="DI302" s="1">
        <f t="shared" si="97"/>
        <v>940459</v>
      </c>
      <c r="DK302" s="1">
        <f t="shared" si="79"/>
        <v>57588</v>
      </c>
      <c r="DL302" s="1">
        <f t="shared" si="80"/>
        <v>147191</v>
      </c>
      <c r="DM302" s="1">
        <f t="shared" si="81"/>
        <v>11692</v>
      </c>
      <c r="DN302" s="1">
        <f t="shared" si="82"/>
        <v>49081</v>
      </c>
      <c r="DO302" s="1">
        <f t="shared" si="83"/>
        <v>464009</v>
      </c>
      <c r="DP302" s="1">
        <f t="shared" si="84"/>
        <v>93080</v>
      </c>
      <c r="DQ302" s="1">
        <f t="shared" si="91"/>
        <v>0</v>
      </c>
      <c r="DR302" s="1">
        <f t="shared" si="85"/>
        <v>15746</v>
      </c>
      <c r="DS302" s="1">
        <f t="shared" si="101"/>
        <v>38837</v>
      </c>
      <c r="DT302" s="1">
        <f t="shared" si="87"/>
        <v>12670</v>
      </c>
      <c r="DU302" s="1"/>
      <c r="DV302" s="1"/>
      <c r="DW302" s="1"/>
      <c r="DX302" s="1">
        <f t="shared" si="92"/>
        <v>889894</v>
      </c>
      <c r="DZ302" s="1">
        <f t="shared" si="93"/>
        <v>50232</v>
      </c>
      <c r="EA302" s="1">
        <f t="shared" si="99"/>
        <v>64792</v>
      </c>
      <c r="EC302" s="1">
        <f t="shared" si="94"/>
        <v>1004918</v>
      </c>
      <c r="ED302" s="1">
        <f t="shared" si="89"/>
        <v>1081</v>
      </c>
      <c r="EE302" s="1"/>
    </row>
    <row r="303" spans="1:135" x14ac:dyDescent="0.25">
      <c r="A303" s="140">
        <v>41426</v>
      </c>
      <c r="B303" s="22">
        <v>0</v>
      </c>
      <c r="C303" s="22">
        <v>0</v>
      </c>
      <c r="D303" s="22">
        <v>0</v>
      </c>
      <c r="E303" s="22">
        <v>0</v>
      </c>
      <c r="F303" s="22">
        <v>1616</v>
      </c>
      <c r="G303" s="22">
        <v>17088</v>
      </c>
      <c r="H303" s="22">
        <v>32575</v>
      </c>
      <c r="I303" s="22">
        <v>4935</v>
      </c>
      <c r="J303" s="22">
        <v>9354</v>
      </c>
      <c r="K303" s="22">
        <v>0</v>
      </c>
      <c r="L303" s="22">
        <v>24800</v>
      </c>
      <c r="M303" s="22">
        <v>1521</v>
      </c>
      <c r="N303" s="22">
        <v>0</v>
      </c>
      <c r="O303" s="22">
        <v>1684</v>
      </c>
      <c r="P303" s="22">
        <v>12067</v>
      </c>
      <c r="Q303" s="22">
        <v>304</v>
      </c>
      <c r="R303" s="22">
        <v>7813</v>
      </c>
      <c r="S303" s="22">
        <v>11692</v>
      </c>
      <c r="T303" s="22">
        <v>26</v>
      </c>
      <c r="U303" s="22">
        <v>264</v>
      </c>
      <c r="V303" s="22">
        <v>397</v>
      </c>
      <c r="W303" s="22">
        <v>8712</v>
      </c>
      <c r="X303" s="22">
        <v>328</v>
      </c>
      <c r="Y303" s="22">
        <v>4</v>
      </c>
      <c r="Z303" s="143"/>
      <c r="AA303" s="22">
        <v>9</v>
      </c>
      <c r="AB303" s="22">
        <v>271</v>
      </c>
      <c r="AC303" s="22">
        <v>34</v>
      </c>
      <c r="AD303" s="22">
        <v>32</v>
      </c>
      <c r="AE303" s="22">
        <v>33</v>
      </c>
      <c r="AF303" s="22">
        <v>93</v>
      </c>
      <c r="AG303" s="22">
        <v>42</v>
      </c>
      <c r="AH303" s="22">
        <v>110</v>
      </c>
      <c r="AI303" s="22">
        <v>9</v>
      </c>
      <c r="AJ303" s="22">
        <v>12086</v>
      </c>
      <c r="AK303" s="22">
        <v>113373</v>
      </c>
      <c r="AL303" s="22">
        <v>3064</v>
      </c>
      <c r="AM303" s="22">
        <v>21933</v>
      </c>
      <c r="AN303" s="22">
        <v>23</v>
      </c>
      <c r="AO303" s="22">
        <v>3</v>
      </c>
      <c r="AP303" s="22">
        <v>10770</v>
      </c>
      <c r="AQ303" s="22">
        <v>0</v>
      </c>
      <c r="AR303" s="22">
        <v>2366</v>
      </c>
      <c r="AS303" s="22">
        <v>55</v>
      </c>
      <c r="AT303" s="22">
        <v>7115</v>
      </c>
      <c r="AU303" s="22">
        <v>2478</v>
      </c>
      <c r="AV303" s="22">
        <v>4820</v>
      </c>
      <c r="AW303" s="22">
        <v>16282</v>
      </c>
      <c r="AX303" s="143"/>
      <c r="AY303" s="143"/>
      <c r="AZ303" s="143">
        <v>904</v>
      </c>
      <c r="BA303" s="143"/>
      <c r="BB303" s="22">
        <v>300</v>
      </c>
      <c r="BC303" s="22"/>
      <c r="BD303" s="22">
        <v>0</v>
      </c>
      <c r="BE303" s="22">
        <v>0</v>
      </c>
      <c r="BF303" s="22">
        <v>6883</v>
      </c>
      <c r="BG303" s="22">
        <v>0</v>
      </c>
      <c r="BH303" s="22">
        <v>0</v>
      </c>
      <c r="BI303" s="22">
        <v>0</v>
      </c>
      <c r="BJ303" s="22">
        <v>4</v>
      </c>
      <c r="BK303" s="22">
        <v>5769</v>
      </c>
      <c r="BL303" s="22"/>
      <c r="BM303" s="22">
        <v>488</v>
      </c>
      <c r="BN303" s="22">
        <v>8</v>
      </c>
      <c r="BO303" s="145">
        <v>38837</v>
      </c>
      <c r="BP303" s="22">
        <v>86231</v>
      </c>
      <c r="BQ303" s="22">
        <v>393</v>
      </c>
      <c r="BR303" s="22">
        <v>109</v>
      </c>
      <c r="BS303" s="22">
        <v>6492</v>
      </c>
      <c r="BT303" s="22">
        <v>73</v>
      </c>
      <c r="BU303" s="22"/>
      <c r="BV303" s="22">
        <v>2</v>
      </c>
      <c r="BW303" s="22">
        <v>18</v>
      </c>
      <c r="BX303" s="22"/>
      <c r="BY303" s="22">
        <v>1</v>
      </c>
      <c r="BZ303" s="22">
        <v>0</v>
      </c>
      <c r="CA303" s="22">
        <v>23749</v>
      </c>
      <c r="CB303" s="22">
        <v>15743</v>
      </c>
      <c r="CC303" s="22">
        <v>153139</v>
      </c>
      <c r="CD303" s="22">
        <v>261320</v>
      </c>
      <c r="CE303" s="22">
        <v>25153</v>
      </c>
      <c r="CF303" s="22">
        <v>50169</v>
      </c>
      <c r="CG303" s="22">
        <v>0</v>
      </c>
      <c r="CH303" s="22">
        <v>3</v>
      </c>
      <c r="CI303" s="22">
        <v>4</v>
      </c>
      <c r="CJ303" s="22">
        <v>54</v>
      </c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>
        <v>0</v>
      </c>
      <c r="CZ303" s="22">
        <v>0</v>
      </c>
      <c r="DA303" s="22">
        <v>0</v>
      </c>
      <c r="DB303" s="22">
        <v>17</v>
      </c>
      <c r="DC303" s="22">
        <v>0</v>
      </c>
      <c r="DD303" s="22">
        <v>31</v>
      </c>
      <c r="DE303">
        <f t="shared" si="77"/>
        <v>1006027</v>
      </c>
      <c r="DG303" s="1">
        <f t="shared" si="100"/>
        <v>672609</v>
      </c>
      <c r="DH303" s="1">
        <f t="shared" si="78"/>
        <v>265486</v>
      </c>
      <c r="DI303" s="1">
        <f t="shared" si="97"/>
        <v>938095</v>
      </c>
      <c r="DK303" s="1">
        <f t="shared" si="79"/>
        <v>57497</v>
      </c>
      <c r="DL303" s="1">
        <f t="shared" si="80"/>
        <v>147456</v>
      </c>
      <c r="DM303" s="1">
        <f t="shared" si="81"/>
        <v>11678</v>
      </c>
      <c r="DN303" s="1">
        <f t="shared" si="82"/>
        <v>49171</v>
      </c>
      <c r="DO303" s="1">
        <f t="shared" si="83"/>
        <v>462084</v>
      </c>
      <c r="DP303" s="1">
        <f t="shared" si="84"/>
        <v>93211</v>
      </c>
      <c r="DQ303" s="1">
        <f t="shared" si="91"/>
        <v>0</v>
      </c>
      <c r="DR303" s="1">
        <f t="shared" si="85"/>
        <v>15860</v>
      </c>
      <c r="DS303" s="1">
        <f t="shared" si="101"/>
        <v>39368</v>
      </c>
      <c r="DT303" s="1">
        <f t="shared" si="87"/>
        <v>12674</v>
      </c>
      <c r="DU303" s="1"/>
      <c r="DV303" s="1"/>
      <c r="DW303" s="1"/>
      <c r="DX303" s="1">
        <f t="shared" si="92"/>
        <v>888999</v>
      </c>
      <c r="DZ303" s="1">
        <f t="shared" si="93"/>
        <v>50169</v>
      </c>
      <c r="EA303" s="1">
        <f t="shared" si="99"/>
        <v>65568</v>
      </c>
      <c r="EC303" s="1">
        <f t="shared" si="94"/>
        <v>1004736</v>
      </c>
      <c r="ED303" s="1">
        <f t="shared" si="89"/>
        <v>-1291</v>
      </c>
      <c r="EE303" s="1"/>
    </row>
    <row r="304" spans="1:135" x14ac:dyDescent="0.25">
      <c r="A304" s="140">
        <v>41456</v>
      </c>
      <c r="B304" s="22">
        <v>0</v>
      </c>
      <c r="C304" s="22">
        <v>0</v>
      </c>
      <c r="D304" s="22">
        <v>0</v>
      </c>
      <c r="E304" s="22">
        <v>0</v>
      </c>
      <c r="F304" s="22">
        <v>1553</v>
      </c>
      <c r="G304" s="22">
        <v>17002</v>
      </c>
      <c r="H304" s="22">
        <v>32470</v>
      </c>
      <c r="I304" s="22">
        <v>4897</v>
      </c>
      <c r="J304" s="22">
        <v>9323</v>
      </c>
      <c r="K304" s="22">
        <v>0</v>
      </c>
      <c r="L304" s="22">
        <v>24737</v>
      </c>
      <c r="M304" s="22">
        <v>1507</v>
      </c>
      <c r="N304" s="22">
        <v>0</v>
      </c>
      <c r="O304" s="22">
        <v>1659</v>
      </c>
      <c r="P304" s="22">
        <v>11999</v>
      </c>
      <c r="Q304" s="22">
        <v>304</v>
      </c>
      <c r="R304" s="22">
        <v>7796</v>
      </c>
      <c r="S304" s="22">
        <v>11678</v>
      </c>
      <c r="T304" s="22">
        <v>30</v>
      </c>
      <c r="U304" s="22">
        <v>335</v>
      </c>
      <c r="V304" s="22">
        <v>374</v>
      </c>
      <c r="W304" s="22">
        <v>8756</v>
      </c>
      <c r="X304" s="22">
        <v>334</v>
      </c>
      <c r="Y304" s="22">
        <v>4</v>
      </c>
      <c r="Z304" s="143"/>
      <c r="AA304" s="22">
        <v>7</v>
      </c>
      <c r="AB304" s="22">
        <v>273</v>
      </c>
      <c r="AC304" s="22">
        <v>32</v>
      </c>
      <c r="AD304" s="22">
        <v>34</v>
      </c>
      <c r="AE304" s="22">
        <v>33</v>
      </c>
      <c r="AF304" s="22">
        <v>93</v>
      </c>
      <c r="AG304" s="22">
        <v>48</v>
      </c>
      <c r="AH304" s="22">
        <v>131</v>
      </c>
      <c r="AI304" s="22">
        <v>11</v>
      </c>
      <c r="AJ304" s="22">
        <v>12190</v>
      </c>
      <c r="AK304" s="22">
        <v>113028</v>
      </c>
      <c r="AL304" s="22">
        <v>3042</v>
      </c>
      <c r="AM304" s="22">
        <v>21765</v>
      </c>
      <c r="AN304" s="22">
        <v>22</v>
      </c>
      <c r="AO304" s="22">
        <v>0</v>
      </c>
      <c r="AP304" s="22">
        <v>11002</v>
      </c>
      <c r="AQ304" s="22">
        <v>0</v>
      </c>
      <c r="AR304" s="22">
        <v>2324</v>
      </c>
      <c r="AS304" s="22">
        <v>55</v>
      </c>
      <c r="AT304" s="22">
        <v>7102</v>
      </c>
      <c r="AU304" s="22">
        <v>2464</v>
      </c>
      <c r="AV304" s="22">
        <v>4829</v>
      </c>
      <c r="AW304" s="22">
        <v>16311</v>
      </c>
      <c r="AX304" s="143"/>
      <c r="AY304" s="143"/>
      <c r="AZ304" s="143">
        <v>891</v>
      </c>
      <c r="BA304" s="143"/>
      <c r="BB304" s="22">
        <v>286</v>
      </c>
      <c r="BC304" s="22"/>
      <c r="BD304" s="22">
        <v>0</v>
      </c>
      <c r="BE304" s="22">
        <v>0</v>
      </c>
      <c r="BF304" s="22">
        <v>6978</v>
      </c>
      <c r="BG304" s="22">
        <v>0</v>
      </c>
      <c r="BH304" s="22">
        <v>0</v>
      </c>
      <c r="BI304" s="22">
        <v>0</v>
      </c>
      <c r="BJ304" s="22">
        <v>4</v>
      </c>
      <c r="BK304" s="22">
        <v>5678</v>
      </c>
      <c r="BL304" s="22"/>
      <c r="BM304" s="22">
        <v>460</v>
      </c>
      <c r="BN304" s="22">
        <v>6</v>
      </c>
      <c r="BO304" s="145">
        <v>39368</v>
      </c>
      <c r="BP304" s="22">
        <v>85875</v>
      </c>
      <c r="BQ304" s="22">
        <v>400</v>
      </c>
      <c r="BR304" s="22">
        <v>109</v>
      </c>
      <c r="BS304" s="22">
        <v>6343</v>
      </c>
      <c r="BT304" s="22">
        <v>71</v>
      </c>
      <c r="BU304" s="22"/>
      <c r="BV304" s="22">
        <v>3</v>
      </c>
      <c r="BW304" s="22">
        <v>18</v>
      </c>
      <c r="BX304" s="22"/>
      <c r="BY304" s="22">
        <v>6</v>
      </c>
      <c r="BZ304" s="22">
        <v>0</v>
      </c>
      <c r="CA304" s="22">
        <v>23571</v>
      </c>
      <c r="CB304" s="22">
        <v>15858</v>
      </c>
      <c r="CC304" s="22">
        <v>151995</v>
      </c>
      <c r="CD304" s="22">
        <v>260834</v>
      </c>
      <c r="CE304" s="22">
        <v>25033</v>
      </c>
      <c r="CF304" s="22">
        <v>49945</v>
      </c>
      <c r="CG304" s="22">
        <v>0</v>
      </c>
      <c r="CH304" s="22">
        <v>2</v>
      </c>
      <c r="CI304" s="22">
        <v>4</v>
      </c>
      <c r="CJ304" s="22">
        <v>48</v>
      </c>
      <c r="CK304" s="22"/>
      <c r="CL304" s="22"/>
      <c r="CM304" s="22"/>
      <c r="CN304" s="22"/>
      <c r="CO304" s="22"/>
      <c r="CP304" s="22"/>
      <c r="CQ304" s="22"/>
      <c r="CR304" s="22"/>
      <c r="CS304" s="22"/>
      <c r="CT304" s="22"/>
      <c r="CU304" s="22"/>
      <c r="CV304" s="22"/>
      <c r="CW304" s="22"/>
      <c r="CX304" s="22"/>
      <c r="CY304" s="22">
        <v>0</v>
      </c>
      <c r="CZ304" s="22">
        <v>0</v>
      </c>
      <c r="DA304" s="22">
        <v>0</v>
      </c>
      <c r="DB304" s="22">
        <v>17</v>
      </c>
      <c r="DC304" s="22">
        <v>0</v>
      </c>
      <c r="DD304" s="22">
        <v>31</v>
      </c>
      <c r="DE304">
        <f t="shared" si="77"/>
        <v>1003340</v>
      </c>
      <c r="DG304" s="1">
        <f t="shared" si="100"/>
        <v>672441</v>
      </c>
      <c r="DH304" s="1">
        <f t="shared" si="78"/>
        <v>266067</v>
      </c>
      <c r="DI304" s="1">
        <f t="shared" si="97"/>
        <v>938508</v>
      </c>
      <c r="DK304" s="1">
        <f t="shared" si="79"/>
        <v>57536</v>
      </c>
      <c r="DL304" s="1">
        <f t="shared" si="80"/>
        <v>147140</v>
      </c>
      <c r="DM304" s="1">
        <f t="shared" si="81"/>
        <v>11668</v>
      </c>
      <c r="DN304" s="1">
        <f t="shared" si="82"/>
        <v>49281</v>
      </c>
      <c r="DO304" s="1">
        <f t="shared" si="83"/>
        <v>461204</v>
      </c>
      <c r="DP304" s="1">
        <f t="shared" si="84"/>
        <v>92678</v>
      </c>
      <c r="DQ304" s="1">
        <f t="shared" si="91"/>
        <v>0</v>
      </c>
      <c r="DR304" s="1">
        <f t="shared" si="85"/>
        <v>16043</v>
      </c>
      <c r="DS304" s="1">
        <f t="shared" si="101"/>
        <v>39924</v>
      </c>
      <c r="DT304" s="1">
        <f t="shared" si="87"/>
        <v>12655</v>
      </c>
      <c r="DU304" s="1"/>
      <c r="DV304" s="1"/>
      <c r="DW304" s="1"/>
      <c r="DX304" s="1">
        <f t="shared" si="92"/>
        <v>888129</v>
      </c>
      <c r="DZ304" s="1">
        <f t="shared" si="93"/>
        <v>49945</v>
      </c>
      <c r="EA304" s="1">
        <f t="shared" ref="EA304:EA314" si="102">SUM(F304:K304,N304,CS304:CT304)</f>
        <v>65245</v>
      </c>
      <c r="EC304" s="1">
        <f t="shared" si="94"/>
        <v>1003319</v>
      </c>
      <c r="ED304" s="1">
        <f t="shared" si="89"/>
        <v>-21</v>
      </c>
      <c r="EE304" s="1"/>
    </row>
    <row r="305" spans="1:135" x14ac:dyDescent="0.25">
      <c r="A305" s="140">
        <v>41487</v>
      </c>
      <c r="B305" s="22">
        <v>0</v>
      </c>
      <c r="C305" s="22">
        <v>0</v>
      </c>
      <c r="D305" s="22">
        <v>0</v>
      </c>
      <c r="E305" s="22">
        <v>0</v>
      </c>
      <c r="F305" s="22">
        <v>1560</v>
      </c>
      <c r="G305" s="22">
        <v>16939</v>
      </c>
      <c r="H305" s="22">
        <v>32345</v>
      </c>
      <c r="I305" s="22">
        <v>4900</v>
      </c>
      <c r="J305" s="22">
        <v>9258</v>
      </c>
      <c r="K305" s="22">
        <v>0</v>
      </c>
      <c r="L305" s="22">
        <v>24664</v>
      </c>
      <c r="M305" s="22">
        <v>1493</v>
      </c>
      <c r="N305" s="22">
        <v>0</v>
      </c>
      <c r="O305" s="22">
        <v>1650</v>
      </c>
      <c r="P305" s="22">
        <v>11988</v>
      </c>
      <c r="Q305" s="22">
        <v>309</v>
      </c>
      <c r="R305" s="22">
        <v>7769</v>
      </c>
      <c r="S305" s="22">
        <v>11668</v>
      </c>
      <c r="T305" s="22">
        <v>31</v>
      </c>
      <c r="U305" s="22">
        <v>424</v>
      </c>
      <c r="V305" s="22">
        <v>373</v>
      </c>
      <c r="W305" s="22">
        <v>8835</v>
      </c>
      <c r="X305" s="22">
        <v>336</v>
      </c>
      <c r="Y305" s="22">
        <v>4</v>
      </c>
      <c r="Z305" s="143"/>
      <c r="AA305" s="22">
        <v>7</v>
      </c>
      <c r="AB305" s="22">
        <v>277</v>
      </c>
      <c r="AC305" s="22">
        <v>30</v>
      </c>
      <c r="AD305" s="22">
        <v>35</v>
      </c>
      <c r="AE305" s="22">
        <v>35</v>
      </c>
      <c r="AF305" s="22">
        <v>93</v>
      </c>
      <c r="AG305" s="22">
        <v>53</v>
      </c>
      <c r="AH305" s="22">
        <v>170</v>
      </c>
      <c r="AI305" s="22">
        <v>12</v>
      </c>
      <c r="AJ305" s="22">
        <v>12229</v>
      </c>
      <c r="AK305" s="22">
        <v>113433</v>
      </c>
      <c r="AL305" s="22">
        <v>3030</v>
      </c>
      <c r="AM305" s="22">
        <v>21673</v>
      </c>
      <c r="AN305" s="22">
        <v>23</v>
      </c>
      <c r="AO305" s="22">
        <v>0</v>
      </c>
      <c r="AP305" s="22">
        <v>11191</v>
      </c>
      <c r="AQ305" s="22">
        <v>0</v>
      </c>
      <c r="AR305" s="22">
        <v>2257</v>
      </c>
      <c r="AS305" s="22">
        <v>55</v>
      </c>
      <c r="AT305" s="22">
        <v>7090</v>
      </c>
      <c r="AU305" s="22">
        <v>2481</v>
      </c>
      <c r="AV305" s="22">
        <v>4800</v>
      </c>
      <c r="AW305" s="22">
        <v>16324</v>
      </c>
      <c r="AX305" s="143"/>
      <c r="AY305" s="143"/>
      <c r="AZ305" s="143">
        <v>924</v>
      </c>
      <c r="BA305" s="143"/>
      <c r="BB305" s="22">
        <v>301</v>
      </c>
      <c r="BC305" s="22"/>
      <c r="BD305" s="22">
        <v>0</v>
      </c>
      <c r="BE305" s="22">
        <v>0</v>
      </c>
      <c r="BF305" s="22">
        <v>7245</v>
      </c>
      <c r="BG305" s="22">
        <v>0</v>
      </c>
      <c r="BH305" s="22">
        <v>0</v>
      </c>
      <c r="BI305" s="22">
        <v>0</v>
      </c>
      <c r="BJ305" s="22">
        <v>11</v>
      </c>
      <c r="BK305" s="22">
        <v>5392</v>
      </c>
      <c r="BL305" s="22"/>
      <c r="BM305" s="22">
        <v>452</v>
      </c>
      <c r="BN305" s="22">
        <v>5</v>
      </c>
      <c r="BO305" s="145">
        <v>39924</v>
      </c>
      <c r="BP305" s="22">
        <v>86174</v>
      </c>
      <c r="BQ305" s="22">
        <v>402</v>
      </c>
      <c r="BR305" s="22">
        <v>107</v>
      </c>
      <c r="BS305" s="22">
        <v>6261</v>
      </c>
      <c r="BT305" s="22">
        <v>63</v>
      </c>
      <c r="BU305" s="22"/>
      <c r="BV305" s="22">
        <v>2</v>
      </c>
      <c r="BW305" s="22">
        <v>18</v>
      </c>
      <c r="BX305" s="22"/>
      <c r="BY305" s="22">
        <v>7</v>
      </c>
      <c r="BZ305" s="22">
        <v>0</v>
      </c>
      <c r="CA305" s="22">
        <v>23520</v>
      </c>
      <c r="CB305" s="22">
        <v>16039</v>
      </c>
      <c r="CC305" s="22">
        <v>151229</v>
      </c>
      <c r="CD305" s="22">
        <v>260830</v>
      </c>
      <c r="CE305" s="22">
        <v>24974</v>
      </c>
      <c r="CF305" s="22">
        <v>49728</v>
      </c>
      <c r="CG305" s="22">
        <v>0</v>
      </c>
      <c r="CH305" s="22">
        <v>4</v>
      </c>
      <c r="CI305" s="22">
        <v>5</v>
      </c>
      <c r="CJ305" s="22">
        <v>49</v>
      </c>
      <c r="CK305" s="22"/>
      <c r="CL305" s="22"/>
      <c r="CM305" s="22"/>
      <c r="CN305" s="22"/>
      <c r="CO305" s="22"/>
      <c r="CP305" s="22"/>
      <c r="CQ305" s="22"/>
      <c r="CR305" s="22"/>
      <c r="CS305" s="22"/>
      <c r="CT305" s="22"/>
      <c r="CU305" s="22"/>
      <c r="CV305" s="22"/>
      <c r="CW305" s="22"/>
      <c r="CX305" s="22"/>
      <c r="CY305" s="22">
        <v>0</v>
      </c>
      <c r="CZ305" s="22">
        <v>0</v>
      </c>
      <c r="DA305" s="22">
        <v>0</v>
      </c>
      <c r="DB305" s="22">
        <v>17</v>
      </c>
      <c r="DC305" s="22">
        <v>0</v>
      </c>
      <c r="DD305" s="22">
        <v>31</v>
      </c>
      <c r="DE305">
        <f t="shared" si="77"/>
        <v>1003510</v>
      </c>
      <c r="DG305" s="1">
        <f t="shared" si="100"/>
        <v>671478</v>
      </c>
      <c r="DH305" s="1">
        <f t="shared" si="78"/>
        <v>266534</v>
      </c>
      <c r="DI305" s="1">
        <f t="shared" si="97"/>
        <v>938012</v>
      </c>
      <c r="DK305" s="1">
        <f t="shared" si="79"/>
        <v>57496</v>
      </c>
      <c r="DL305" s="1">
        <f t="shared" si="80"/>
        <v>147582</v>
      </c>
      <c r="DM305" s="1">
        <f t="shared" si="81"/>
        <v>11674</v>
      </c>
      <c r="DN305" s="1">
        <f t="shared" si="82"/>
        <v>49472</v>
      </c>
      <c r="DO305" s="1">
        <f t="shared" si="83"/>
        <v>459542</v>
      </c>
      <c r="DP305" s="1">
        <f t="shared" si="84"/>
        <v>92887</v>
      </c>
      <c r="DQ305" s="1">
        <f t="shared" si="91"/>
        <v>0</v>
      </c>
      <c r="DR305" s="1">
        <f t="shared" si="85"/>
        <v>16123</v>
      </c>
      <c r="DS305" s="1">
        <f t="shared" si="101"/>
        <v>40512</v>
      </c>
      <c r="DT305" s="1">
        <f t="shared" si="87"/>
        <v>12637</v>
      </c>
      <c r="DU305" s="1"/>
      <c r="DV305" s="1"/>
      <c r="DW305" s="1"/>
      <c r="DX305" s="1">
        <f t="shared" si="92"/>
        <v>887925</v>
      </c>
      <c r="DZ305" s="1">
        <f t="shared" si="93"/>
        <v>49728</v>
      </c>
      <c r="EA305" s="1">
        <f t="shared" si="102"/>
        <v>65002</v>
      </c>
      <c r="EC305" s="1">
        <f t="shared" si="94"/>
        <v>1002655</v>
      </c>
      <c r="ED305" s="1">
        <f t="shared" si="89"/>
        <v>-855</v>
      </c>
      <c r="EE305" s="1"/>
    </row>
    <row r="306" spans="1:135" x14ac:dyDescent="0.25">
      <c r="A306" s="140">
        <v>41518</v>
      </c>
      <c r="B306" s="22">
        <v>0</v>
      </c>
      <c r="C306" s="22">
        <v>0</v>
      </c>
      <c r="D306" s="22">
        <v>0</v>
      </c>
      <c r="E306" s="22">
        <v>0</v>
      </c>
      <c r="F306" s="22">
        <v>1549</v>
      </c>
      <c r="G306" s="22">
        <v>16958</v>
      </c>
      <c r="H306" s="22">
        <v>32168</v>
      </c>
      <c r="I306" s="22">
        <v>4924</v>
      </c>
      <c r="J306" s="22">
        <v>9347</v>
      </c>
      <c r="K306" s="22">
        <v>0</v>
      </c>
      <c r="L306" s="22">
        <v>24599</v>
      </c>
      <c r="M306" s="22">
        <v>1483</v>
      </c>
      <c r="N306" s="22">
        <v>0</v>
      </c>
      <c r="O306" s="22">
        <v>1657</v>
      </c>
      <c r="P306" s="22">
        <v>11895</v>
      </c>
      <c r="Q306" s="22">
        <v>311</v>
      </c>
      <c r="R306" s="22">
        <v>7708</v>
      </c>
      <c r="S306" s="22">
        <v>11674</v>
      </c>
      <c r="T306" s="22">
        <v>34</v>
      </c>
      <c r="U306" s="22">
        <v>521</v>
      </c>
      <c r="V306" s="22">
        <v>363</v>
      </c>
      <c r="W306" s="22">
        <v>8925</v>
      </c>
      <c r="X306" s="22">
        <v>331</v>
      </c>
      <c r="Y306" s="22">
        <v>5</v>
      </c>
      <c r="Z306" s="143"/>
      <c r="AA306" s="22">
        <v>7</v>
      </c>
      <c r="AB306" s="22">
        <v>282</v>
      </c>
      <c r="AC306" s="22">
        <v>31</v>
      </c>
      <c r="AD306" s="22">
        <v>33</v>
      </c>
      <c r="AE306" s="22">
        <v>35</v>
      </c>
      <c r="AF306" s="22">
        <v>86</v>
      </c>
      <c r="AG306" s="22">
        <v>62</v>
      </c>
      <c r="AH306" s="22">
        <v>220</v>
      </c>
      <c r="AI306" s="22">
        <v>12</v>
      </c>
      <c r="AJ306" s="22">
        <v>12340</v>
      </c>
      <c r="AK306" s="22">
        <v>113714</v>
      </c>
      <c r="AL306" s="22">
        <v>3029</v>
      </c>
      <c r="AM306" s="22">
        <v>21610</v>
      </c>
      <c r="AN306" s="22">
        <v>20</v>
      </c>
      <c r="AO306" s="22">
        <v>2</v>
      </c>
      <c r="AP306" s="22">
        <v>11424</v>
      </c>
      <c r="AQ306" s="22">
        <v>0</v>
      </c>
      <c r="AR306" s="22">
        <v>2191</v>
      </c>
      <c r="AS306" s="22">
        <v>55</v>
      </c>
      <c r="AT306" s="22">
        <v>7034</v>
      </c>
      <c r="AU306" s="22">
        <v>2472</v>
      </c>
      <c r="AV306" s="22">
        <v>4812</v>
      </c>
      <c r="AW306" s="22">
        <v>16350</v>
      </c>
      <c r="AX306" s="143"/>
      <c r="AY306" s="143"/>
      <c r="AZ306" s="143">
        <v>922</v>
      </c>
      <c r="BA306" s="143"/>
      <c r="BB306" s="22">
        <v>285</v>
      </c>
      <c r="BC306" s="22"/>
      <c r="BD306" s="22">
        <v>0</v>
      </c>
      <c r="BE306" s="22">
        <v>0</v>
      </c>
      <c r="BF306" s="22">
        <v>7299</v>
      </c>
      <c r="BG306" s="22">
        <v>0</v>
      </c>
      <c r="BH306" s="22">
        <v>0</v>
      </c>
      <c r="BI306" s="22">
        <v>0</v>
      </c>
      <c r="BJ306" s="22">
        <v>16</v>
      </c>
      <c r="BK306" s="22">
        <v>5320</v>
      </c>
      <c r="BL306" s="22"/>
      <c r="BM306" s="22">
        <v>425</v>
      </c>
      <c r="BN306" s="22">
        <v>4</v>
      </c>
      <c r="BO306" s="145">
        <v>40512</v>
      </c>
      <c r="BP306" s="22">
        <v>86185</v>
      </c>
      <c r="BQ306" s="22">
        <v>416</v>
      </c>
      <c r="BR306" s="22">
        <v>106</v>
      </c>
      <c r="BS306" s="22">
        <v>6231</v>
      </c>
      <c r="BT306" s="22">
        <v>62</v>
      </c>
      <c r="BU306" s="22"/>
      <c r="BV306" s="22">
        <v>2</v>
      </c>
      <c r="BW306" s="22">
        <v>18</v>
      </c>
      <c r="BX306" s="22"/>
      <c r="BY306" s="22">
        <v>12</v>
      </c>
      <c r="BZ306" s="22">
        <v>0</v>
      </c>
      <c r="CA306" s="22">
        <v>23410</v>
      </c>
      <c r="CB306" s="22">
        <v>16118</v>
      </c>
      <c r="CC306" s="22">
        <v>150188</v>
      </c>
      <c r="CD306" s="22">
        <v>260359</v>
      </c>
      <c r="CE306" s="22">
        <v>24912</v>
      </c>
      <c r="CF306" s="22">
        <v>49823</v>
      </c>
      <c r="CG306" s="22">
        <v>0</v>
      </c>
      <c r="CH306" s="22">
        <v>5</v>
      </c>
      <c r="CI306" s="22">
        <v>4</v>
      </c>
      <c r="CJ306" s="22">
        <v>51</v>
      </c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22"/>
      <c r="CX306" s="22"/>
      <c r="CY306" s="22">
        <v>0</v>
      </c>
      <c r="CZ306" s="22">
        <v>0</v>
      </c>
      <c r="DA306" s="22">
        <v>0</v>
      </c>
      <c r="DB306" s="22">
        <v>17</v>
      </c>
      <c r="DC306" s="22">
        <v>0</v>
      </c>
      <c r="DD306" s="22">
        <v>31</v>
      </c>
      <c r="DE306">
        <f t="shared" si="77"/>
        <v>1002958</v>
      </c>
      <c r="DG306" s="1">
        <f t="shared" si="100"/>
        <v>672205</v>
      </c>
      <c r="DH306" s="1">
        <f t="shared" si="78"/>
        <v>267089</v>
      </c>
      <c r="DI306" s="1">
        <f t="shared" si="97"/>
        <v>939294</v>
      </c>
      <c r="DK306" s="1">
        <f t="shared" si="79"/>
        <v>57655</v>
      </c>
      <c r="DL306" s="1">
        <f t="shared" si="80"/>
        <v>147892</v>
      </c>
      <c r="DM306" s="1">
        <f t="shared" si="81"/>
        <v>11659</v>
      </c>
      <c r="DN306" s="1">
        <f t="shared" si="82"/>
        <v>49615</v>
      </c>
      <c r="DO306" s="1">
        <f t="shared" si="83"/>
        <v>459642</v>
      </c>
      <c r="DP306" s="1">
        <f t="shared" si="84"/>
        <v>92841</v>
      </c>
      <c r="DQ306" s="1">
        <f t="shared" si="91"/>
        <v>0</v>
      </c>
      <c r="DR306" s="1">
        <f t="shared" si="85"/>
        <v>15928</v>
      </c>
      <c r="DS306" s="1">
        <f t="shared" si="101"/>
        <v>40859</v>
      </c>
      <c r="DT306" s="1">
        <f t="shared" si="87"/>
        <v>12587</v>
      </c>
      <c r="DU306" s="1"/>
      <c r="DV306" s="1"/>
      <c r="DW306" s="1"/>
      <c r="DX306" s="1">
        <f t="shared" si="92"/>
        <v>888678</v>
      </c>
      <c r="DZ306" s="1">
        <f t="shared" si="93"/>
        <v>49823</v>
      </c>
      <c r="EA306" s="1">
        <f t="shared" si="102"/>
        <v>64946</v>
      </c>
      <c r="EC306" s="1">
        <f t="shared" si="94"/>
        <v>1003447</v>
      </c>
      <c r="ED306" s="1">
        <f t="shared" si="89"/>
        <v>489</v>
      </c>
      <c r="EE306" s="1"/>
    </row>
    <row r="307" spans="1:135" x14ac:dyDescent="0.25">
      <c r="A307" s="140">
        <v>41548</v>
      </c>
      <c r="B307" s="22">
        <v>0</v>
      </c>
      <c r="C307" s="22">
        <v>0</v>
      </c>
      <c r="D307" s="22">
        <v>0</v>
      </c>
      <c r="E307" s="22">
        <v>0</v>
      </c>
      <c r="F307" s="22">
        <v>1564</v>
      </c>
      <c r="G307" s="22">
        <v>16968</v>
      </c>
      <c r="H307" s="22">
        <v>32132</v>
      </c>
      <c r="I307" s="22">
        <v>4970</v>
      </c>
      <c r="J307" s="22">
        <v>9380</v>
      </c>
      <c r="K307" s="22">
        <v>0</v>
      </c>
      <c r="L307" s="22">
        <v>24586</v>
      </c>
      <c r="M307" s="22">
        <v>1475</v>
      </c>
      <c r="N307" s="22">
        <v>0</v>
      </c>
      <c r="O307" s="22">
        <v>1626</v>
      </c>
      <c r="P307" s="22">
        <v>11891</v>
      </c>
      <c r="Q307" s="22">
        <v>303</v>
      </c>
      <c r="R307" s="22">
        <v>7725</v>
      </c>
      <c r="S307" s="22">
        <v>11659</v>
      </c>
      <c r="T307" s="22">
        <v>35</v>
      </c>
      <c r="U307" s="22">
        <v>576</v>
      </c>
      <c r="V307" s="22">
        <v>369</v>
      </c>
      <c r="W307" s="22">
        <v>9069</v>
      </c>
      <c r="X307" s="22">
        <v>327</v>
      </c>
      <c r="Y307" s="22">
        <v>5</v>
      </c>
      <c r="Z307" s="143"/>
      <c r="AA307" s="22">
        <v>8</v>
      </c>
      <c r="AB307" s="22">
        <v>286</v>
      </c>
      <c r="AC307" s="22">
        <v>27</v>
      </c>
      <c r="AD307" s="22">
        <v>33</v>
      </c>
      <c r="AE307" s="22">
        <v>35</v>
      </c>
      <c r="AF307" s="22">
        <v>87</v>
      </c>
      <c r="AG307" s="22">
        <v>60</v>
      </c>
      <c r="AH307" s="22">
        <v>252</v>
      </c>
      <c r="AI307" s="22">
        <v>11</v>
      </c>
      <c r="AJ307" s="22">
        <v>12425</v>
      </c>
      <c r="AK307" s="22">
        <v>113918</v>
      </c>
      <c r="AL307" s="22">
        <v>3024</v>
      </c>
      <c r="AM307" s="22">
        <v>21564</v>
      </c>
      <c r="AN307" s="22">
        <v>20</v>
      </c>
      <c r="AO307" s="22">
        <v>3</v>
      </c>
      <c r="AP307" s="22">
        <v>11641</v>
      </c>
      <c r="AQ307" s="22">
        <v>0</v>
      </c>
      <c r="AR307" s="22">
        <v>2160</v>
      </c>
      <c r="AS307" s="22">
        <v>57</v>
      </c>
      <c r="AT307" s="22">
        <v>7006</v>
      </c>
      <c r="AU307" s="22">
        <v>2481</v>
      </c>
      <c r="AV307" s="22">
        <v>4817</v>
      </c>
      <c r="AW307" s="22">
        <v>16320</v>
      </c>
      <c r="AX307" s="143"/>
      <c r="AY307" s="143"/>
      <c r="AZ307" s="143">
        <v>941</v>
      </c>
      <c r="BA307" s="143"/>
      <c r="BB307" s="22">
        <v>267</v>
      </c>
      <c r="BC307" s="22"/>
      <c r="BD307" s="22">
        <v>0</v>
      </c>
      <c r="BE307" s="22">
        <v>0</v>
      </c>
      <c r="BF307" s="22">
        <v>7397</v>
      </c>
      <c r="BG307" s="22">
        <v>0</v>
      </c>
      <c r="BH307" s="22">
        <v>0</v>
      </c>
      <c r="BI307" s="22">
        <v>0</v>
      </c>
      <c r="BJ307" s="22">
        <v>21</v>
      </c>
      <c r="BK307" s="22">
        <v>5172</v>
      </c>
      <c r="BL307" s="22"/>
      <c r="BM307" s="22">
        <v>442</v>
      </c>
      <c r="BN307" s="22">
        <v>4</v>
      </c>
      <c r="BO307" s="145">
        <v>40859</v>
      </c>
      <c r="BP307" s="22">
        <v>86546</v>
      </c>
      <c r="BQ307" s="22">
        <v>399</v>
      </c>
      <c r="BR307" s="22">
        <v>99</v>
      </c>
      <c r="BS307" s="22">
        <v>6184</v>
      </c>
      <c r="BT307" s="22">
        <v>69</v>
      </c>
      <c r="BU307" s="22"/>
      <c r="BV307" s="22">
        <v>3</v>
      </c>
      <c r="BW307" s="22">
        <v>18</v>
      </c>
      <c r="BX307" s="22"/>
      <c r="BY307" s="22">
        <v>9</v>
      </c>
      <c r="BZ307" s="22">
        <v>0</v>
      </c>
      <c r="CA307" s="22">
        <v>23450</v>
      </c>
      <c r="CB307" s="22">
        <v>15924</v>
      </c>
      <c r="CC307" s="22">
        <v>149610</v>
      </c>
      <c r="CD307" s="22">
        <v>261047</v>
      </c>
      <c r="CE307" s="22">
        <v>24881</v>
      </c>
      <c r="CF307" s="22">
        <v>50017</v>
      </c>
      <c r="CG307" s="22">
        <v>0</v>
      </c>
      <c r="CH307" s="22">
        <v>4</v>
      </c>
      <c r="CI307" s="22">
        <v>3</v>
      </c>
      <c r="CJ307" s="22">
        <v>47</v>
      </c>
      <c r="CK307" s="22"/>
      <c r="CL307" s="22"/>
      <c r="CM307" s="22"/>
      <c r="CN307" s="22"/>
      <c r="CO307" s="22"/>
      <c r="CP307" s="22"/>
      <c r="CQ307" s="22"/>
      <c r="CR307" s="22"/>
      <c r="CS307" s="22"/>
      <c r="CT307" s="22"/>
      <c r="CU307" s="22"/>
      <c r="CV307" s="22"/>
      <c r="CW307" s="22"/>
      <c r="CX307" s="22"/>
      <c r="CY307" s="22">
        <v>0</v>
      </c>
      <c r="CZ307" s="22">
        <v>0</v>
      </c>
      <c r="DA307" s="22">
        <v>0</v>
      </c>
      <c r="DB307" s="22">
        <v>17</v>
      </c>
      <c r="DC307" s="22">
        <v>0</v>
      </c>
      <c r="DD307" s="22">
        <v>31</v>
      </c>
      <c r="DE307">
        <f t="shared" si="77"/>
        <v>1004308</v>
      </c>
      <c r="DG307" s="1">
        <f t="shared" si="100"/>
        <v>674538</v>
      </c>
      <c r="DH307" s="1">
        <f t="shared" si="78"/>
        <v>268082</v>
      </c>
      <c r="DI307" s="1">
        <f t="shared" si="97"/>
        <v>942620</v>
      </c>
      <c r="DK307" s="1">
        <f t="shared" si="79"/>
        <v>57901</v>
      </c>
      <c r="DL307" s="1">
        <f t="shared" si="80"/>
        <v>148160</v>
      </c>
      <c r="DM307" s="1">
        <f t="shared" si="81"/>
        <v>11735</v>
      </c>
      <c r="DN307" s="1">
        <f t="shared" si="82"/>
        <v>49929</v>
      </c>
      <c r="DO307" s="1">
        <f t="shared" si="83"/>
        <v>461045</v>
      </c>
      <c r="DP307" s="1">
        <f t="shared" si="84"/>
        <v>93172</v>
      </c>
      <c r="DQ307" s="1">
        <f t="shared" si="91"/>
        <v>0</v>
      </c>
      <c r="DR307" s="1">
        <f t="shared" si="85"/>
        <v>15521</v>
      </c>
      <c r="DS307" s="1">
        <f t="shared" si="101"/>
        <v>41665</v>
      </c>
      <c r="DT307" s="1">
        <f t="shared" si="87"/>
        <v>12570</v>
      </c>
      <c r="DU307" s="1"/>
      <c r="DV307" s="1"/>
      <c r="DW307" s="1"/>
      <c r="DX307" s="1">
        <f t="shared" si="92"/>
        <v>891698</v>
      </c>
      <c r="DZ307" s="1">
        <f t="shared" si="93"/>
        <v>50017</v>
      </c>
      <c r="EA307" s="1">
        <f t="shared" si="102"/>
        <v>65014</v>
      </c>
      <c r="EC307" s="1">
        <f t="shared" si="94"/>
        <v>1006729</v>
      </c>
      <c r="ED307" s="1">
        <f t="shared" si="89"/>
        <v>2421</v>
      </c>
      <c r="EE307" s="1"/>
    </row>
    <row r="308" spans="1:135" x14ac:dyDescent="0.25">
      <c r="A308" s="140">
        <v>41579</v>
      </c>
      <c r="B308" s="22">
        <v>0</v>
      </c>
      <c r="C308" s="22">
        <v>0</v>
      </c>
      <c r="D308" s="22">
        <v>0</v>
      </c>
      <c r="E308" s="22">
        <v>0</v>
      </c>
      <c r="F308" s="22">
        <v>1508</v>
      </c>
      <c r="G308" s="22">
        <v>16759</v>
      </c>
      <c r="H308" s="22">
        <v>32244</v>
      </c>
      <c r="I308" s="22">
        <v>4931</v>
      </c>
      <c r="J308" s="22">
        <v>9410</v>
      </c>
      <c r="K308" s="22">
        <v>57</v>
      </c>
      <c r="L308" s="22">
        <v>24597</v>
      </c>
      <c r="M308" s="22">
        <v>1459</v>
      </c>
      <c r="N308" s="22">
        <v>0</v>
      </c>
      <c r="O308" s="22">
        <v>1645</v>
      </c>
      <c r="P308" s="22">
        <v>11982</v>
      </c>
      <c r="Q308" s="22">
        <v>303</v>
      </c>
      <c r="R308" s="22">
        <v>7698</v>
      </c>
      <c r="S308" s="22">
        <v>11735</v>
      </c>
      <c r="T308" s="22">
        <v>36</v>
      </c>
      <c r="U308" s="22">
        <v>639</v>
      </c>
      <c r="V308" s="22">
        <v>371</v>
      </c>
      <c r="W308" s="22">
        <v>9171</v>
      </c>
      <c r="X308" s="22">
        <v>328</v>
      </c>
      <c r="Y308" s="22">
        <v>6</v>
      </c>
      <c r="Z308" s="143"/>
      <c r="AA308" s="22">
        <v>8</v>
      </c>
      <c r="AB308" s="22">
        <v>286</v>
      </c>
      <c r="AC308" s="22">
        <v>28</v>
      </c>
      <c r="AD308" s="22">
        <v>33</v>
      </c>
      <c r="AE308" s="22">
        <v>37</v>
      </c>
      <c r="AF308" s="22">
        <v>84</v>
      </c>
      <c r="AG308" s="22">
        <v>60</v>
      </c>
      <c r="AH308" s="22">
        <v>285</v>
      </c>
      <c r="AI308" s="22">
        <v>10</v>
      </c>
      <c r="AJ308" s="22">
        <v>12546</v>
      </c>
      <c r="AK308" s="22">
        <v>114080</v>
      </c>
      <c r="AL308" s="22">
        <v>3018</v>
      </c>
      <c r="AM308" s="22">
        <v>21551</v>
      </c>
      <c r="AN308" s="22">
        <v>19</v>
      </c>
      <c r="AO308" s="22">
        <v>3</v>
      </c>
      <c r="AP308" s="22">
        <v>11849</v>
      </c>
      <c r="AQ308" s="22">
        <v>0</v>
      </c>
      <c r="AR308" s="22">
        <v>2137</v>
      </c>
      <c r="AS308" s="22">
        <v>59</v>
      </c>
      <c r="AT308" s="22">
        <v>7034</v>
      </c>
      <c r="AU308" s="22">
        <v>2488</v>
      </c>
      <c r="AV308" s="22">
        <v>4844</v>
      </c>
      <c r="AW308" s="22">
        <v>16442</v>
      </c>
      <c r="AX308" s="143"/>
      <c r="AY308" s="143"/>
      <c r="AZ308" s="143">
        <v>945</v>
      </c>
      <c r="BA308" s="143"/>
      <c r="BB308" s="22">
        <v>266</v>
      </c>
      <c r="BC308" s="22"/>
      <c r="BD308" s="22">
        <v>0</v>
      </c>
      <c r="BE308" s="22">
        <v>0</v>
      </c>
      <c r="BF308" s="22">
        <v>7423</v>
      </c>
      <c r="BG308" s="22">
        <v>0</v>
      </c>
      <c r="BH308" s="22">
        <v>0</v>
      </c>
      <c r="BI308" s="22">
        <v>0</v>
      </c>
      <c r="BJ308" s="22">
        <v>22</v>
      </c>
      <c r="BK308" s="22">
        <v>5130</v>
      </c>
      <c r="BL308" s="22"/>
      <c r="BM308" s="22">
        <v>443</v>
      </c>
      <c r="BN308" s="22">
        <v>4</v>
      </c>
      <c r="BO308" s="145">
        <v>41665</v>
      </c>
      <c r="BP308" s="22">
        <v>86400</v>
      </c>
      <c r="BQ308" s="22">
        <v>403</v>
      </c>
      <c r="BR308" s="22">
        <v>102</v>
      </c>
      <c r="BS308" s="22">
        <v>6139</v>
      </c>
      <c r="BT308" s="22">
        <v>59</v>
      </c>
      <c r="BU308" s="22"/>
      <c r="BV308" s="22">
        <v>3</v>
      </c>
      <c r="BW308" s="22">
        <v>17</v>
      </c>
      <c r="BX308" s="22"/>
      <c r="BY308" s="22">
        <v>6</v>
      </c>
      <c r="BZ308" s="22">
        <v>0</v>
      </c>
      <c r="CA308" s="22">
        <v>23688</v>
      </c>
      <c r="CB308" s="22">
        <v>15516</v>
      </c>
      <c r="CC308" s="22">
        <v>149496</v>
      </c>
      <c r="CD308" s="22">
        <v>262332</v>
      </c>
      <c r="CE308" s="22">
        <v>24883</v>
      </c>
      <c r="CF308" s="22">
        <v>50755</v>
      </c>
      <c r="CG308" s="22">
        <v>0</v>
      </c>
      <c r="CH308" s="22">
        <v>5</v>
      </c>
      <c r="CI308" s="22">
        <v>3</v>
      </c>
      <c r="CJ308" s="22">
        <v>44</v>
      </c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>
        <v>0</v>
      </c>
      <c r="CZ308" s="22">
        <v>0</v>
      </c>
      <c r="DA308" s="22">
        <v>0</v>
      </c>
      <c r="DB308" s="22">
        <v>17</v>
      </c>
      <c r="DC308" s="22">
        <v>0</v>
      </c>
      <c r="DD308" s="22">
        <v>31</v>
      </c>
      <c r="DE308">
        <f t="shared" si="77"/>
        <v>1007529</v>
      </c>
      <c r="DG308" s="1">
        <f t="shared" si="100"/>
        <v>668232</v>
      </c>
      <c r="DH308" s="1">
        <f t="shared" si="78"/>
        <v>268458</v>
      </c>
      <c r="DI308" s="1">
        <f t="shared" si="97"/>
        <v>936690</v>
      </c>
      <c r="DK308" s="1">
        <f t="shared" si="79"/>
        <v>57859</v>
      </c>
      <c r="DL308" s="1">
        <f t="shared" si="80"/>
        <v>148517</v>
      </c>
      <c r="DM308" s="1">
        <f t="shared" si="81"/>
        <v>11755</v>
      </c>
      <c r="DN308" s="1">
        <f t="shared" si="82"/>
        <v>50051</v>
      </c>
      <c r="DO308" s="1">
        <f t="shared" si="83"/>
        <v>455574</v>
      </c>
      <c r="DP308" s="1">
        <f t="shared" si="84"/>
        <v>92982</v>
      </c>
      <c r="DQ308" s="1">
        <f t="shared" si="91"/>
        <v>0</v>
      </c>
      <c r="DR308" s="1">
        <f t="shared" si="85"/>
        <v>14815</v>
      </c>
      <c r="DS308" s="1">
        <f t="shared" si="101"/>
        <v>43020</v>
      </c>
      <c r="DT308" s="1">
        <f t="shared" ref="DT308:DT314" si="103">BF309+BI309+BK309+BL309+BW309</f>
        <v>12598</v>
      </c>
      <c r="DU308" s="1"/>
      <c r="DV308" s="1"/>
      <c r="DW308" s="1"/>
      <c r="DX308" s="1">
        <f t="shared" si="92"/>
        <v>887171</v>
      </c>
      <c r="DZ308" s="1">
        <f t="shared" si="93"/>
        <v>50755</v>
      </c>
      <c r="EA308" s="1">
        <f t="shared" si="102"/>
        <v>64909</v>
      </c>
      <c r="EC308" s="1">
        <f t="shared" si="94"/>
        <v>1002835</v>
      </c>
      <c r="ED308" s="1">
        <f t="shared" si="89"/>
        <v>-4694</v>
      </c>
      <c r="EE308" s="1"/>
    </row>
    <row r="309" spans="1:135" x14ac:dyDescent="0.25">
      <c r="A309" s="140">
        <v>41609</v>
      </c>
      <c r="B309" s="22">
        <v>0</v>
      </c>
      <c r="C309" s="22">
        <v>0</v>
      </c>
      <c r="D309" s="22">
        <v>0</v>
      </c>
      <c r="E309" s="22">
        <v>0</v>
      </c>
      <c r="F309" s="22">
        <v>1421</v>
      </c>
      <c r="G309" s="22">
        <v>16451</v>
      </c>
      <c r="H309" s="22">
        <v>31952</v>
      </c>
      <c r="I309" s="22">
        <v>4830</v>
      </c>
      <c r="J309" s="22">
        <v>9319</v>
      </c>
      <c r="K309" s="22">
        <v>163</v>
      </c>
      <c r="L309" s="22">
        <v>24544</v>
      </c>
      <c r="M309" s="22">
        <v>1469</v>
      </c>
      <c r="N309" s="22">
        <v>0</v>
      </c>
      <c r="O309" s="22">
        <v>1619</v>
      </c>
      <c r="P309" s="22">
        <v>11962</v>
      </c>
      <c r="Q309" s="22">
        <v>307</v>
      </c>
      <c r="R309" s="22">
        <v>7675</v>
      </c>
      <c r="S309" s="22">
        <v>11755</v>
      </c>
      <c r="T309" s="22">
        <v>36</v>
      </c>
      <c r="U309" s="22">
        <v>693</v>
      </c>
      <c r="V309" s="22">
        <v>360</v>
      </c>
      <c r="W309" s="22">
        <v>9194</v>
      </c>
      <c r="X309" s="22">
        <v>329</v>
      </c>
      <c r="Y309" s="22">
        <v>6</v>
      </c>
      <c r="Z309" s="143"/>
      <c r="AA309" s="22">
        <v>7</v>
      </c>
      <c r="AB309" s="22">
        <v>291</v>
      </c>
      <c r="AC309" s="22">
        <v>27</v>
      </c>
      <c r="AD309" s="22">
        <v>33</v>
      </c>
      <c r="AE309" s="22">
        <v>36</v>
      </c>
      <c r="AF309" s="22">
        <v>79</v>
      </c>
      <c r="AG309" s="22">
        <v>60</v>
      </c>
      <c r="AH309" s="22">
        <v>315</v>
      </c>
      <c r="AI309" s="22">
        <v>11</v>
      </c>
      <c r="AJ309" s="22">
        <v>12560</v>
      </c>
      <c r="AK309" s="22">
        <v>114303</v>
      </c>
      <c r="AL309" s="22">
        <v>3011</v>
      </c>
      <c r="AM309" s="22">
        <v>21507</v>
      </c>
      <c r="AN309" s="22">
        <v>18</v>
      </c>
      <c r="AO309" s="22">
        <v>1</v>
      </c>
      <c r="AP309" s="22">
        <v>12033</v>
      </c>
      <c r="AQ309" s="22">
        <v>0</v>
      </c>
      <c r="AR309" s="22">
        <v>2078</v>
      </c>
      <c r="AS309" s="22">
        <v>58</v>
      </c>
      <c r="AT309" s="22">
        <v>7107</v>
      </c>
      <c r="AU309" s="22">
        <v>2488</v>
      </c>
      <c r="AV309" s="22">
        <v>4839</v>
      </c>
      <c r="AW309" s="22">
        <v>16431</v>
      </c>
      <c r="AX309" s="143"/>
      <c r="AY309" s="143"/>
      <c r="AZ309" s="143">
        <v>950</v>
      </c>
      <c r="BA309" s="143"/>
      <c r="BB309" s="22">
        <v>266</v>
      </c>
      <c r="BC309" s="22"/>
      <c r="BD309" s="22">
        <v>0</v>
      </c>
      <c r="BE309" s="22">
        <v>0</v>
      </c>
      <c r="BF309" s="22">
        <v>7399</v>
      </c>
      <c r="BG309" s="22">
        <v>0</v>
      </c>
      <c r="BH309" s="22">
        <v>0</v>
      </c>
      <c r="BI309" s="22">
        <v>0</v>
      </c>
      <c r="BJ309" s="22">
        <v>21</v>
      </c>
      <c r="BK309" s="22">
        <v>5183</v>
      </c>
      <c r="BL309" s="22"/>
      <c r="BM309" s="22">
        <v>439</v>
      </c>
      <c r="BN309" s="22">
        <v>3</v>
      </c>
      <c r="BO309" s="145">
        <v>43020</v>
      </c>
      <c r="BP309" s="22">
        <v>84932</v>
      </c>
      <c r="BQ309" s="22">
        <v>395</v>
      </c>
      <c r="BR309" s="22">
        <v>99</v>
      </c>
      <c r="BS309" s="22">
        <v>6191</v>
      </c>
      <c r="BT309" s="22">
        <v>60</v>
      </c>
      <c r="BU309" s="22"/>
      <c r="BV309" s="22">
        <v>3</v>
      </c>
      <c r="BW309" s="22">
        <v>16</v>
      </c>
      <c r="BX309" s="22"/>
      <c r="BY309" s="22">
        <v>8</v>
      </c>
      <c r="BZ309" s="22">
        <v>0</v>
      </c>
      <c r="CA309" s="22">
        <v>23432</v>
      </c>
      <c r="CB309" s="22">
        <v>14799</v>
      </c>
      <c r="CC309" s="22">
        <v>146726</v>
      </c>
      <c r="CD309" s="22">
        <v>260363</v>
      </c>
      <c r="CE309" s="22">
        <v>24412</v>
      </c>
      <c r="CF309" s="22">
        <v>50663</v>
      </c>
      <c r="CG309" s="22">
        <v>0</v>
      </c>
      <c r="CH309" s="22">
        <v>16</v>
      </c>
      <c r="CI309" s="22">
        <v>4</v>
      </c>
      <c r="CJ309" s="22">
        <v>48</v>
      </c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>
        <v>0</v>
      </c>
      <c r="CZ309" s="22">
        <v>0</v>
      </c>
      <c r="DA309" s="22">
        <v>0</v>
      </c>
      <c r="DB309" s="22">
        <v>17</v>
      </c>
      <c r="DC309" s="22">
        <v>0</v>
      </c>
      <c r="DD309" s="22">
        <v>31</v>
      </c>
      <c r="DE309">
        <f t="shared" si="77"/>
        <v>1000826</v>
      </c>
      <c r="DG309" s="1">
        <f t="shared" si="100"/>
        <v>665589</v>
      </c>
      <c r="DH309" s="1">
        <f t="shared" si="78"/>
        <v>255883</v>
      </c>
      <c r="DI309" s="1">
        <f t="shared" si="97"/>
        <v>921472</v>
      </c>
      <c r="DK309" s="1">
        <f t="shared" si="79"/>
        <v>57430</v>
      </c>
      <c r="DL309" s="1">
        <f t="shared" si="80"/>
        <v>148793</v>
      </c>
      <c r="DM309" s="1">
        <f t="shared" si="81"/>
        <v>11755</v>
      </c>
      <c r="DN309" s="1">
        <f t="shared" si="82"/>
        <v>37992</v>
      </c>
      <c r="DO309" s="1">
        <f t="shared" si="83"/>
        <v>452332</v>
      </c>
      <c r="DP309" s="1">
        <f t="shared" si="84"/>
        <v>91562</v>
      </c>
      <c r="DQ309" s="1">
        <f t="shared" si="91"/>
        <v>0</v>
      </c>
      <c r="DR309" s="1">
        <f t="shared" si="85"/>
        <v>14474</v>
      </c>
      <c r="DS309" s="1">
        <f t="shared" si="101"/>
        <v>44633</v>
      </c>
      <c r="DT309" s="1">
        <f t="shared" si="103"/>
        <v>12627</v>
      </c>
      <c r="DU309" s="1"/>
      <c r="DV309" s="1"/>
      <c r="DW309" s="1"/>
      <c r="DX309" s="1">
        <f t="shared" si="92"/>
        <v>871598</v>
      </c>
      <c r="DZ309" s="1">
        <f t="shared" si="93"/>
        <v>50663</v>
      </c>
      <c r="EA309" s="1">
        <f t="shared" si="102"/>
        <v>64136</v>
      </c>
      <c r="EC309" s="1">
        <f t="shared" si="94"/>
        <v>986397</v>
      </c>
      <c r="ED309" s="1">
        <f t="shared" si="89"/>
        <v>-14429</v>
      </c>
      <c r="EE309" s="1"/>
    </row>
    <row r="310" spans="1:135" x14ac:dyDescent="0.25">
      <c r="A310" s="140">
        <v>41640</v>
      </c>
      <c r="B310" s="22">
        <v>0</v>
      </c>
      <c r="C310" s="22">
        <v>0</v>
      </c>
      <c r="D310" s="22">
        <v>0</v>
      </c>
      <c r="E310" s="22">
        <v>0</v>
      </c>
      <c r="F310" s="22">
        <v>1351</v>
      </c>
      <c r="G310" s="22">
        <v>16618</v>
      </c>
      <c r="H310" s="22">
        <v>32810</v>
      </c>
      <c r="I310" s="22">
        <v>4858</v>
      </c>
      <c r="J310" s="22">
        <v>9538</v>
      </c>
      <c r="K310" s="22">
        <v>333</v>
      </c>
      <c r="L310" s="22">
        <v>24436</v>
      </c>
      <c r="M310" s="22">
        <v>1456</v>
      </c>
      <c r="N310" s="22">
        <v>0</v>
      </c>
      <c r="O310" s="22">
        <v>1590</v>
      </c>
      <c r="P310" s="22">
        <v>11720</v>
      </c>
      <c r="Q310" s="22">
        <v>300</v>
      </c>
      <c r="R310" s="22">
        <v>7586</v>
      </c>
      <c r="S310" s="22">
        <v>11755</v>
      </c>
      <c r="T310" s="22">
        <v>44</v>
      </c>
      <c r="U310" s="22">
        <v>734</v>
      </c>
      <c r="V310" s="22">
        <v>352</v>
      </c>
      <c r="W310" s="22">
        <v>9212</v>
      </c>
      <c r="X310" s="22">
        <v>330</v>
      </c>
      <c r="Y310" s="22">
        <v>6</v>
      </c>
      <c r="Z310" s="143"/>
      <c r="AA310" s="22">
        <v>5</v>
      </c>
      <c r="AB310" s="22">
        <v>287</v>
      </c>
      <c r="AC310" s="22">
        <v>28</v>
      </c>
      <c r="AD310" s="22">
        <v>34</v>
      </c>
      <c r="AE310" s="22">
        <v>35</v>
      </c>
      <c r="AF310" s="22">
        <v>80</v>
      </c>
      <c r="AG310" s="22">
        <v>58</v>
      </c>
      <c r="AH310" s="22">
        <v>333</v>
      </c>
      <c r="AI310" s="22">
        <v>11</v>
      </c>
      <c r="AJ310" s="22">
        <v>12614</v>
      </c>
      <c r="AK310" s="22">
        <v>114207</v>
      </c>
      <c r="AL310" s="22">
        <v>2983</v>
      </c>
      <c r="AM310" s="22">
        <v>21487</v>
      </c>
      <c r="AN310" s="22">
        <v>16</v>
      </c>
      <c r="AO310" s="22">
        <v>0</v>
      </c>
      <c r="AP310" s="22">
        <v>1</v>
      </c>
      <c r="AQ310" s="22">
        <v>0</v>
      </c>
      <c r="AR310" s="22">
        <v>1953</v>
      </c>
      <c r="AS310" s="22">
        <v>56</v>
      </c>
      <c r="AT310" s="22">
        <v>7230</v>
      </c>
      <c r="AU310" s="22">
        <v>2492</v>
      </c>
      <c r="AV310" s="22">
        <v>4851</v>
      </c>
      <c r="AW310" s="22">
        <v>16424</v>
      </c>
      <c r="AX310" s="143"/>
      <c r="AY310" s="143"/>
      <c r="AZ310" s="143">
        <v>942</v>
      </c>
      <c r="BA310" s="143"/>
      <c r="BB310" s="22">
        <v>235</v>
      </c>
      <c r="BC310" s="22"/>
      <c r="BD310" s="22">
        <v>0</v>
      </c>
      <c r="BE310" s="22">
        <v>0</v>
      </c>
      <c r="BF310" s="22">
        <v>7373</v>
      </c>
      <c r="BG310" s="22">
        <v>0</v>
      </c>
      <c r="BH310" s="22">
        <v>0</v>
      </c>
      <c r="BI310" s="22">
        <v>0</v>
      </c>
      <c r="BJ310" s="22">
        <v>22</v>
      </c>
      <c r="BK310" s="22">
        <v>5238</v>
      </c>
      <c r="BL310" s="22"/>
      <c r="BM310" s="22">
        <v>461</v>
      </c>
      <c r="BN310" s="22">
        <v>6</v>
      </c>
      <c r="BO310" s="145">
        <v>44633</v>
      </c>
      <c r="BP310" s="22">
        <v>83967</v>
      </c>
      <c r="BQ310" s="22">
        <v>395</v>
      </c>
      <c r="BR310" s="22">
        <v>98</v>
      </c>
      <c r="BS310" s="22">
        <v>6352</v>
      </c>
      <c r="BT310" s="22">
        <v>61</v>
      </c>
      <c r="BU310" s="22"/>
      <c r="BV310" s="22">
        <v>3</v>
      </c>
      <c r="BW310" s="22">
        <v>16</v>
      </c>
      <c r="BX310" s="22"/>
      <c r="BY310" s="22">
        <v>8</v>
      </c>
      <c r="BZ310" s="22">
        <v>0</v>
      </c>
      <c r="CA310" s="22">
        <v>23244</v>
      </c>
      <c r="CB310" s="22">
        <v>14451</v>
      </c>
      <c r="CC310" s="22">
        <v>144901</v>
      </c>
      <c r="CD310" s="22">
        <v>259278</v>
      </c>
      <c r="CE310" s="22">
        <v>24267</v>
      </c>
      <c r="CF310" s="22">
        <v>50743</v>
      </c>
      <c r="CG310" s="22">
        <v>0</v>
      </c>
      <c r="CH310" s="22">
        <v>23</v>
      </c>
      <c r="CI310" s="22">
        <v>4</v>
      </c>
      <c r="CJ310" s="22">
        <v>45</v>
      </c>
      <c r="CK310" s="22"/>
      <c r="CL310" s="22"/>
      <c r="CM310" s="22"/>
      <c r="CN310" s="22"/>
      <c r="CO310" s="22"/>
      <c r="CP310" s="22"/>
      <c r="CQ310" s="22"/>
      <c r="CR310" s="22"/>
      <c r="CS310" s="22"/>
      <c r="CT310" s="22"/>
      <c r="CU310" s="22"/>
      <c r="CV310" s="22"/>
      <c r="CW310" s="22"/>
      <c r="CX310" s="22"/>
      <c r="CY310" s="22">
        <v>0</v>
      </c>
      <c r="CZ310" s="22">
        <v>0</v>
      </c>
      <c r="DA310" s="22">
        <v>0</v>
      </c>
      <c r="DB310" s="22">
        <v>17</v>
      </c>
      <c r="DC310" s="22">
        <v>0</v>
      </c>
      <c r="DD310" s="22">
        <v>31</v>
      </c>
      <c r="DE310">
        <f t="shared" si="77"/>
        <v>986980</v>
      </c>
      <c r="DG310" s="1">
        <f t="shared" si="100"/>
        <v>667987</v>
      </c>
      <c r="DH310" s="1">
        <f t="shared" si="78"/>
        <v>265409</v>
      </c>
      <c r="DI310" s="1">
        <f t="shared" si="97"/>
        <v>933396</v>
      </c>
      <c r="DK310" s="1">
        <f t="shared" si="79"/>
        <v>57449</v>
      </c>
      <c r="DL310" s="1">
        <f t="shared" si="80"/>
        <v>148706</v>
      </c>
      <c r="DM310" s="1">
        <f t="shared" si="81"/>
        <v>11719</v>
      </c>
      <c r="DN310" s="1">
        <f t="shared" si="82"/>
        <v>46773</v>
      </c>
      <c r="DO310" s="1">
        <f>SUM(AX311,BE311,BH311,BJ311,BN311,BQ311:BR311,BT311,BV311,BY311:CA311,CC311:CE311,CI311:CJ311)</f>
        <v>452688</v>
      </c>
      <c r="DP310" s="1">
        <f t="shared" si="84"/>
        <v>90780</v>
      </c>
      <c r="DQ310" s="1">
        <f t="shared" si="91"/>
        <v>0</v>
      </c>
      <c r="DR310" s="1">
        <f>CB311+CH311+Z311</f>
        <v>14732</v>
      </c>
      <c r="DS310" s="1">
        <f t="shared" si="101"/>
        <v>45644</v>
      </c>
      <c r="DT310" s="1">
        <f t="shared" si="103"/>
        <v>12688</v>
      </c>
      <c r="DU310" s="1"/>
      <c r="DV310" s="1"/>
      <c r="DW310" s="1"/>
      <c r="DX310" s="1">
        <f t="shared" si="92"/>
        <v>881179</v>
      </c>
      <c r="DZ310" s="1">
        <f t="shared" si="93"/>
        <v>50743</v>
      </c>
      <c r="EA310" s="1">
        <f t="shared" si="102"/>
        <v>65508</v>
      </c>
      <c r="EC310" s="1">
        <f t="shared" si="94"/>
        <v>997430</v>
      </c>
      <c r="ED310" s="1">
        <f t="shared" si="89"/>
        <v>10450</v>
      </c>
      <c r="EE310" s="1"/>
    </row>
    <row r="311" spans="1:135" x14ac:dyDescent="0.25">
      <c r="A311" s="10">
        <v>41671</v>
      </c>
      <c r="B311">
        <v>0</v>
      </c>
      <c r="C311">
        <v>0</v>
      </c>
      <c r="D311">
        <v>0</v>
      </c>
      <c r="E311">
        <v>0</v>
      </c>
      <c r="F311">
        <v>1236</v>
      </c>
      <c r="G311">
        <v>16513</v>
      </c>
      <c r="H311">
        <v>33080</v>
      </c>
      <c r="I311">
        <v>4788</v>
      </c>
      <c r="J311">
        <v>9556</v>
      </c>
      <c r="K311">
        <v>546</v>
      </c>
      <c r="L311">
        <v>24372</v>
      </c>
      <c r="M311">
        <v>1445</v>
      </c>
      <c r="N311" s="22">
        <v>0</v>
      </c>
      <c r="O311">
        <v>1584</v>
      </c>
      <c r="P311">
        <v>11732</v>
      </c>
      <c r="Q311">
        <v>305</v>
      </c>
      <c r="R311">
        <v>7534</v>
      </c>
      <c r="S311">
        <v>11719</v>
      </c>
      <c r="T311">
        <v>47</v>
      </c>
      <c r="U311">
        <v>791</v>
      </c>
      <c r="V311">
        <v>357</v>
      </c>
      <c r="W311">
        <v>9282</v>
      </c>
      <c r="X311">
        <v>335</v>
      </c>
      <c r="Y311">
        <v>7</v>
      </c>
      <c r="Z311" s="144">
        <v>24</v>
      </c>
      <c r="AA311">
        <v>5</v>
      </c>
      <c r="AB311">
        <v>284</v>
      </c>
      <c r="AC311">
        <v>29</v>
      </c>
      <c r="AD311">
        <v>34</v>
      </c>
      <c r="AE311">
        <v>37</v>
      </c>
      <c r="AF311">
        <v>80</v>
      </c>
      <c r="AG311">
        <v>54</v>
      </c>
      <c r="AH311">
        <v>357</v>
      </c>
      <c r="AI311">
        <v>13</v>
      </c>
      <c r="AJ311">
        <v>12673</v>
      </c>
      <c r="AK311">
        <v>114324</v>
      </c>
      <c r="AL311">
        <v>2967</v>
      </c>
      <c r="AM311">
        <v>21721</v>
      </c>
      <c r="AN311">
        <v>19</v>
      </c>
      <c r="AO311">
        <v>2</v>
      </c>
      <c r="AP311">
        <v>8428</v>
      </c>
      <c r="AQ311">
        <v>0</v>
      </c>
      <c r="AR311">
        <v>1920</v>
      </c>
      <c r="AS311">
        <v>55</v>
      </c>
      <c r="AT311">
        <v>7741</v>
      </c>
      <c r="AU311">
        <v>2500</v>
      </c>
      <c r="AV311">
        <v>4891</v>
      </c>
      <c r="AW311">
        <v>16542</v>
      </c>
      <c r="AX311" s="144">
        <v>53</v>
      </c>
      <c r="AY311" s="144">
        <v>5</v>
      </c>
      <c r="AZ311" s="144">
        <v>949</v>
      </c>
      <c r="BA311" s="144">
        <v>1</v>
      </c>
      <c r="BB311">
        <v>249</v>
      </c>
      <c r="BC311">
        <v>24</v>
      </c>
      <c r="BD311">
        <v>0</v>
      </c>
      <c r="BE311">
        <v>0</v>
      </c>
      <c r="BF311">
        <v>7401</v>
      </c>
      <c r="BG311">
        <v>0</v>
      </c>
      <c r="BH311">
        <v>0</v>
      </c>
      <c r="BI311">
        <v>0</v>
      </c>
      <c r="BJ311">
        <v>26</v>
      </c>
      <c r="BK311">
        <v>5270</v>
      </c>
      <c r="BL311">
        <v>1</v>
      </c>
      <c r="BM311">
        <v>528</v>
      </c>
      <c r="BN311">
        <v>6</v>
      </c>
      <c r="BO311">
        <v>45644</v>
      </c>
      <c r="BP311">
        <v>84033</v>
      </c>
      <c r="BQ311">
        <v>385</v>
      </c>
      <c r="BR311">
        <v>94</v>
      </c>
      <c r="BS311">
        <v>6752</v>
      </c>
      <c r="BT311">
        <v>65</v>
      </c>
      <c r="BV311">
        <v>3</v>
      </c>
      <c r="BW311">
        <v>16</v>
      </c>
      <c r="BY311">
        <v>9</v>
      </c>
      <c r="BZ311">
        <v>0</v>
      </c>
      <c r="CA311">
        <v>23133</v>
      </c>
      <c r="CB311">
        <v>14687</v>
      </c>
      <c r="CC311">
        <v>144154</v>
      </c>
      <c r="CD311">
        <v>259603</v>
      </c>
      <c r="CE311">
        <v>25109</v>
      </c>
      <c r="CF311">
        <v>50917</v>
      </c>
      <c r="CG311">
        <v>0</v>
      </c>
      <c r="CH311">
        <v>21</v>
      </c>
      <c r="CI311">
        <v>4</v>
      </c>
      <c r="CJ311">
        <v>44</v>
      </c>
      <c r="CY311">
        <v>0</v>
      </c>
      <c r="CZ311">
        <v>0</v>
      </c>
      <c r="DA311">
        <v>0</v>
      </c>
      <c r="DB311">
        <v>17</v>
      </c>
      <c r="DC311">
        <v>0</v>
      </c>
      <c r="DD311">
        <v>31</v>
      </c>
      <c r="DE311">
        <f t="shared" si="77"/>
        <v>999115</v>
      </c>
      <c r="DG311" s="1">
        <f t="shared" si="100"/>
        <v>671420</v>
      </c>
      <c r="DH311" s="1">
        <f t="shared" si="78"/>
        <v>266847</v>
      </c>
      <c r="DI311" s="1">
        <f t="shared" si="97"/>
        <v>938267</v>
      </c>
      <c r="DK311" s="1">
        <f t="shared" si="79"/>
        <v>57328</v>
      </c>
      <c r="DL311" s="1">
        <f t="shared" si="80"/>
        <v>149444</v>
      </c>
      <c r="DM311" s="1">
        <f t="shared" si="81"/>
        <v>11637</v>
      </c>
      <c r="DN311" s="1">
        <f t="shared" si="82"/>
        <v>47711</v>
      </c>
      <c r="DO311" s="1">
        <f>SUM(AX312,BE312,BH312,BJ312,BN312,BQ312:BR312,BT312,BV312,BY312:CA312,CC312:CE312,CI312:CJ312)</f>
        <v>453648</v>
      </c>
      <c r="DP311" s="1">
        <f t="shared" si="84"/>
        <v>91342</v>
      </c>
      <c r="DQ311" s="1">
        <f t="shared" si="91"/>
        <v>0</v>
      </c>
      <c r="DR311" s="1">
        <f>CB312+CH312+Z312</f>
        <v>14772</v>
      </c>
      <c r="DS311" s="1">
        <f t="shared" si="101"/>
        <v>47229</v>
      </c>
      <c r="DT311" s="1">
        <f t="shared" si="103"/>
        <v>12723</v>
      </c>
      <c r="DU311" s="1"/>
      <c r="DV311" s="1"/>
      <c r="DW311" s="1"/>
      <c r="DX311" s="1">
        <f t="shared" si="92"/>
        <v>885834</v>
      </c>
      <c r="DZ311" s="1">
        <f t="shared" si="93"/>
        <v>50917</v>
      </c>
      <c r="EA311" s="1">
        <f t="shared" si="102"/>
        <v>65719</v>
      </c>
      <c r="EC311" s="1">
        <f t="shared" si="94"/>
        <v>1002470</v>
      </c>
      <c r="ED311" s="1">
        <f t="shared" si="89"/>
        <v>3355</v>
      </c>
      <c r="EE311" s="1"/>
    </row>
    <row r="312" spans="1:135" x14ac:dyDescent="0.25">
      <c r="A312" s="10">
        <v>41699</v>
      </c>
      <c r="B312">
        <v>0</v>
      </c>
      <c r="C312">
        <v>0</v>
      </c>
      <c r="D312">
        <v>0</v>
      </c>
      <c r="E312">
        <v>0</v>
      </c>
      <c r="F312">
        <v>1014</v>
      </c>
      <c r="G312">
        <v>15836</v>
      </c>
      <c r="H312">
        <v>32011</v>
      </c>
      <c r="I312">
        <v>4549</v>
      </c>
      <c r="J312">
        <v>9103</v>
      </c>
      <c r="K312">
        <v>699</v>
      </c>
      <c r="L312">
        <v>24281</v>
      </c>
      <c r="M312">
        <v>1439</v>
      </c>
      <c r="N312" s="22">
        <v>0</v>
      </c>
      <c r="O312">
        <v>1572</v>
      </c>
      <c r="P312">
        <v>11622</v>
      </c>
      <c r="Q312">
        <v>306</v>
      </c>
      <c r="R312">
        <v>7515</v>
      </c>
      <c r="S312">
        <v>11637</v>
      </c>
      <c r="T312">
        <v>49</v>
      </c>
      <c r="U312">
        <v>855</v>
      </c>
      <c r="V312">
        <v>355</v>
      </c>
      <c r="W312">
        <v>9334</v>
      </c>
      <c r="X312">
        <v>339</v>
      </c>
      <c r="Y312">
        <v>7</v>
      </c>
      <c r="Z312" s="144">
        <v>10</v>
      </c>
      <c r="AA312">
        <v>5</v>
      </c>
      <c r="AB312">
        <v>287</v>
      </c>
      <c r="AC312">
        <v>28</v>
      </c>
      <c r="AD312">
        <v>35</v>
      </c>
      <c r="AE312">
        <v>37</v>
      </c>
      <c r="AF312">
        <v>80</v>
      </c>
      <c r="AG312">
        <v>55</v>
      </c>
      <c r="AH312">
        <v>384</v>
      </c>
      <c r="AI312">
        <v>15</v>
      </c>
      <c r="AJ312">
        <v>12697</v>
      </c>
      <c r="AK312">
        <v>114438</v>
      </c>
      <c r="AL312">
        <v>2964</v>
      </c>
      <c r="AM312">
        <v>21770</v>
      </c>
      <c r="AN312">
        <v>16</v>
      </c>
      <c r="AO312">
        <v>1</v>
      </c>
      <c r="AP312">
        <v>9306</v>
      </c>
      <c r="AQ312">
        <v>0</v>
      </c>
      <c r="AR312">
        <v>1893</v>
      </c>
      <c r="AS312">
        <v>52</v>
      </c>
      <c r="AT312">
        <v>8318</v>
      </c>
      <c r="AU312">
        <v>2501</v>
      </c>
      <c r="AV312">
        <v>4907</v>
      </c>
      <c r="AW312">
        <v>16554</v>
      </c>
      <c r="AX312" s="144">
        <v>63</v>
      </c>
      <c r="AY312" s="144">
        <v>12</v>
      </c>
      <c r="AZ312" s="144">
        <v>930</v>
      </c>
      <c r="BA312" s="144">
        <v>1</v>
      </c>
      <c r="BB312">
        <v>252</v>
      </c>
      <c r="BC312">
        <v>56</v>
      </c>
      <c r="BD312">
        <v>0</v>
      </c>
      <c r="BE312">
        <v>0</v>
      </c>
      <c r="BF312">
        <v>7488</v>
      </c>
      <c r="BG312">
        <v>0</v>
      </c>
      <c r="BH312">
        <v>0</v>
      </c>
      <c r="BI312">
        <v>0</v>
      </c>
      <c r="BJ312">
        <v>28</v>
      </c>
      <c r="BK312">
        <v>5218</v>
      </c>
      <c r="BL312">
        <v>1</v>
      </c>
      <c r="BM312">
        <v>560</v>
      </c>
      <c r="BN312">
        <v>6</v>
      </c>
      <c r="BO312">
        <v>47229</v>
      </c>
      <c r="BP312">
        <v>84350</v>
      </c>
      <c r="BQ312">
        <v>397</v>
      </c>
      <c r="BR312">
        <v>95</v>
      </c>
      <c r="BS312">
        <v>7192</v>
      </c>
      <c r="BT312">
        <v>61</v>
      </c>
      <c r="BV312">
        <v>3</v>
      </c>
      <c r="BW312">
        <v>16</v>
      </c>
      <c r="BY312">
        <v>11</v>
      </c>
      <c r="BZ312">
        <v>0</v>
      </c>
      <c r="CA312">
        <v>23139</v>
      </c>
      <c r="CB312">
        <v>14729</v>
      </c>
      <c r="CC312">
        <v>143913</v>
      </c>
      <c r="CD312">
        <v>260376</v>
      </c>
      <c r="CE312">
        <v>25511</v>
      </c>
      <c r="CF312">
        <v>50888</v>
      </c>
      <c r="CG312">
        <v>0</v>
      </c>
      <c r="CH312">
        <v>33</v>
      </c>
      <c r="CI312">
        <v>4</v>
      </c>
      <c r="CJ312">
        <v>41</v>
      </c>
      <c r="CY312">
        <v>0</v>
      </c>
      <c r="CZ312">
        <v>0</v>
      </c>
      <c r="DA312">
        <v>0</v>
      </c>
      <c r="DB312">
        <v>17</v>
      </c>
      <c r="DC312" s="22">
        <v>0</v>
      </c>
      <c r="DD312" s="22">
        <v>30</v>
      </c>
      <c r="DE312">
        <f t="shared" si="77"/>
        <v>1001479</v>
      </c>
      <c r="DG312" s="1">
        <f t="shared" si="100"/>
        <v>675297</v>
      </c>
      <c r="DH312" s="1">
        <f t="shared" si="78"/>
        <v>267306</v>
      </c>
      <c r="DI312" s="1">
        <f t="shared" si="97"/>
        <v>942603</v>
      </c>
      <c r="DK312" s="1">
        <f t="shared" si="79"/>
        <v>57142</v>
      </c>
      <c r="DL312" s="1">
        <f t="shared" si="80"/>
        <v>150161</v>
      </c>
      <c r="DM312" s="1">
        <f t="shared" si="81"/>
        <v>11617</v>
      </c>
      <c r="DN312" s="1">
        <f t="shared" si="82"/>
        <v>48294</v>
      </c>
      <c r="DO312" s="1">
        <f>SUM(AX313,BE313,BH313,BJ313,BN313,BQ313:BR313,BT313,BV313,BY313:CA313,CC313:CE313,CI313:CJ313)</f>
        <v>453900</v>
      </c>
      <c r="DP312" s="1">
        <f t="shared" si="84"/>
        <v>92170</v>
      </c>
      <c r="DQ312" s="1">
        <f t="shared" si="91"/>
        <v>0</v>
      </c>
      <c r="DR312" s="1">
        <f>CB313+CH313+Z313</f>
        <v>15120</v>
      </c>
      <c r="DS312" s="1">
        <f t="shared" si="101"/>
        <v>49389</v>
      </c>
      <c r="DT312" s="1">
        <f t="shared" si="103"/>
        <v>12784</v>
      </c>
      <c r="DU312" s="1"/>
      <c r="DV312" s="1"/>
      <c r="DW312" s="1"/>
      <c r="DX312" s="1">
        <f t="shared" si="92"/>
        <v>890577</v>
      </c>
      <c r="DZ312" s="1">
        <f t="shared" si="93"/>
        <v>50888</v>
      </c>
      <c r="EA312" s="1">
        <f t="shared" si="102"/>
        <v>63212</v>
      </c>
      <c r="EC312" s="1">
        <f t="shared" si="94"/>
        <v>1004677</v>
      </c>
      <c r="ED312" s="1">
        <f t="shared" si="89"/>
        <v>3198</v>
      </c>
      <c r="EE312" s="1"/>
    </row>
    <row r="313" spans="1:135" x14ac:dyDescent="0.25">
      <c r="A313" s="10">
        <v>41730</v>
      </c>
      <c r="B313">
        <v>0</v>
      </c>
      <c r="C313">
        <v>0</v>
      </c>
      <c r="D313">
        <v>0</v>
      </c>
      <c r="E313">
        <v>0</v>
      </c>
      <c r="F313">
        <v>814</v>
      </c>
      <c r="G313">
        <v>15629</v>
      </c>
      <c r="H313">
        <v>31969</v>
      </c>
      <c r="I313">
        <v>4309</v>
      </c>
      <c r="J313">
        <v>8868</v>
      </c>
      <c r="K313">
        <v>807</v>
      </c>
      <c r="L313">
        <v>24177</v>
      </c>
      <c r="M313">
        <v>1400</v>
      </c>
      <c r="N313" s="22">
        <v>0</v>
      </c>
      <c r="O313">
        <v>1576</v>
      </c>
      <c r="P313">
        <v>11571</v>
      </c>
      <c r="Q313">
        <v>302</v>
      </c>
      <c r="R313">
        <v>7467</v>
      </c>
      <c r="S313">
        <v>11617</v>
      </c>
      <c r="T313">
        <v>50</v>
      </c>
      <c r="U313">
        <v>891</v>
      </c>
      <c r="V313">
        <v>351</v>
      </c>
      <c r="W313">
        <v>9357</v>
      </c>
      <c r="X313">
        <v>339</v>
      </c>
      <c r="Y313">
        <v>7</v>
      </c>
      <c r="Z313" s="144">
        <v>15</v>
      </c>
      <c r="AA313">
        <v>6</v>
      </c>
      <c r="AB313">
        <v>283</v>
      </c>
      <c r="AC313">
        <v>27</v>
      </c>
      <c r="AD313">
        <v>34</v>
      </c>
      <c r="AE313">
        <v>39</v>
      </c>
      <c r="AF313">
        <v>77</v>
      </c>
      <c r="AG313">
        <v>54</v>
      </c>
      <c r="AH313">
        <v>410</v>
      </c>
      <c r="AI313">
        <v>15</v>
      </c>
      <c r="AJ313">
        <v>12793</v>
      </c>
      <c r="AK313">
        <v>114060</v>
      </c>
      <c r="AL313">
        <v>2958</v>
      </c>
      <c r="AM313">
        <v>21804</v>
      </c>
      <c r="AN313">
        <v>16</v>
      </c>
      <c r="AO313">
        <v>1</v>
      </c>
      <c r="AP313">
        <v>9828</v>
      </c>
      <c r="AQ313">
        <v>0</v>
      </c>
      <c r="AR313">
        <v>1887</v>
      </c>
      <c r="AS313">
        <v>49</v>
      </c>
      <c r="AT313">
        <v>8605</v>
      </c>
      <c r="AU313">
        <v>2494</v>
      </c>
      <c r="AV313">
        <v>4958</v>
      </c>
      <c r="AW313">
        <v>16584</v>
      </c>
      <c r="AX313" s="144">
        <v>76</v>
      </c>
      <c r="AY313" s="144">
        <v>40</v>
      </c>
      <c r="AZ313" s="144">
        <v>945</v>
      </c>
      <c r="BA313" s="144">
        <v>0</v>
      </c>
      <c r="BB313">
        <v>259</v>
      </c>
      <c r="BC313">
        <v>91</v>
      </c>
      <c r="BD313">
        <v>0</v>
      </c>
      <c r="BE313">
        <v>0</v>
      </c>
      <c r="BF313">
        <v>7568</v>
      </c>
      <c r="BG313">
        <v>0</v>
      </c>
      <c r="BH313">
        <v>0</v>
      </c>
      <c r="BI313">
        <v>0</v>
      </c>
      <c r="BJ313">
        <v>31</v>
      </c>
      <c r="BK313">
        <v>5199</v>
      </c>
      <c r="BL313">
        <v>0</v>
      </c>
      <c r="BM313">
        <v>602</v>
      </c>
      <c r="BN313">
        <v>5</v>
      </c>
      <c r="BO313">
        <v>49389</v>
      </c>
      <c r="BP313">
        <v>84397</v>
      </c>
      <c r="BQ313">
        <v>366</v>
      </c>
      <c r="BR313">
        <v>86</v>
      </c>
      <c r="BS313">
        <v>7839</v>
      </c>
      <c r="BT313">
        <v>56</v>
      </c>
      <c r="BV313">
        <v>4</v>
      </c>
      <c r="BW313">
        <v>17</v>
      </c>
      <c r="BY313">
        <v>9</v>
      </c>
      <c r="BZ313">
        <v>0</v>
      </c>
      <c r="CA313">
        <v>23105</v>
      </c>
      <c r="CB313">
        <v>15068</v>
      </c>
      <c r="CC313">
        <v>143511</v>
      </c>
      <c r="CD313">
        <v>260926</v>
      </c>
      <c r="CE313">
        <v>25682</v>
      </c>
      <c r="CF313">
        <v>51150</v>
      </c>
      <c r="CG313">
        <v>0</v>
      </c>
      <c r="CH313">
        <v>37</v>
      </c>
      <c r="CI313">
        <v>3</v>
      </c>
      <c r="CJ313">
        <v>40</v>
      </c>
      <c r="CY313">
        <v>0</v>
      </c>
      <c r="CZ313">
        <v>0</v>
      </c>
      <c r="DA313">
        <v>0</v>
      </c>
      <c r="DB313">
        <v>17</v>
      </c>
      <c r="DC313">
        <v>0</v>
      </c>
      <c r="DD313">
        <v>30</v>
      </c>
      <c r="DE313">
        <f t="shared" si="77"/>
        <v>1004999</v>
      </c>
      <c r="DG313" s="1">
        <f t="shared" si="100"/>
        <v>683245</v>
      </c>
      <c r="DH313" s="1">
        <f t="shared" si="78"/>
        <v>268100</v>
      </c>
      <c r="DI313" s="1">
        <f t="shared" ref="DI313:DI314" si="104">SUM(DG313:DH313)</f>
        <v>951345</v>
      </c>
      <c r="DK313" s="1">
        <f t="shared" si="79"/>
        <v>57149</v>
      </c>
      <c r="DL313" s="1">
        <f t="shared" si="80"/>
        <v>150238</v>
      </c>
      <c r="DM313" s="1">
        <f t="shared" si="81"/>
        <v>11642</v>
      </c>
      <c r="DN313" s="1">
        <f t="shared" si="82"/>
        <v>48694</v>
      </c>
      <c r="DO313" s="1">
        <f>SUM(AX314,BE314,BH314,BJ314,BN314,BQ314:BR314,BT314,BV314,BY314:CA314,CC314:CE314,CI314:CJ314)</f>
        <v>456185</v>
      </c>
      <c r="DP313" s="1">
        <f t="shared" si="84"/>
        <v>92969</v>
      </c>
      <c r="DQ313" s="1">
        <f t="shared" si="91"/>
        <v>0</v>
      </c>
      <c r="DR313" s="1">
        <f>CB314+CH314+Z314</f>
        <v>15687</v>
      </c>
      <c r="DS313" s="1">
        <f>BO314+BU314</f>
        <v>53627</v>
      </c>
      <c r="DT313" s="1">
        <f t="shared" si="103"/>
        <v>12822</v>
      </c>
      <c r="DU313" s="1"/>
      <c r="DV313" s="1"/>
      <c r="DW313" s="1"/>
      <c r="DX313" s="1">
        <f t="shared" si="92"/>
        <v>899013</v>
      </c>
      <c r="DZ313" s="1">
        <f t="shared" si="93"/>
        <v>51150</v>
      </c>
      <c r="EA313" s="1">
        <f t="shared" si="102"/>
        <v>62396</v>
      </c>
      <c r="EC313" s="1">
        <f t="shared" si="94"/>
        <v>1012559</v>
      </c>
      <c r="ED313" s="1">
        <f t="shared" si="89"/>
        <v>7560</v>
      </c>
      <c r="EE313" s="1"/>
    </row>
    <row r="314" spans="1:135" x14ac:dyDescent="0.25">
      <c r="A314" s="10">
        <v>41760</v>
      </c>
      <c r="B314">
        <v>0</v>
      </c>
      <c r="C314">
        <v>0</v>
      </c>
      <c r="D314">
        <v>0</v>
      </c>
      <c r="E314">
        <v>0</v>
      </c>
      <c r="F314">
        <v>634</v>
      </c>
      <c r="G314">
        <v>16062</v>
      </c>
      <c r="H314">
        <v>33452</v>
      </c>
      <c r="I314">
        <v>4254</v>
      </c>
      <c r="J314">
        <v>8977</v>
      </c>
      <c r="K314">
        <v>915</v>
      </c>
      <c r="L314">
        <v>24129</v>
      </c>
      <c r="M314">
        <v>1408</v>
      </c>
      <c r="N314" s="22">
        <v>0</v>
      </c>
      <c r="O314">
        <v>1549</v>
      </c>
      <c r="P314">
        <v>11561</v>
      </c>
      <c r="Q314">
        <v>300</v>
      </c>
      <c r="R314">
        <v>7453</v>
      </c>
      <c r="S314">
        <v>11642</v>
      </c>
      <c r="T314">
        <v>47</v>
      </c>
      <c r="U314">
        <v>946</v>
      </c>
      <c r="V314">
        <v>341</v>
      </c>
      <c r="W314">
        <v>9415</v>
      </c>
      <c r="X314">
        <v>339</v>
      </c>
      <c r="Y314">
        <v>8</v>
      </c>
      <c r="Z314" s="144">
        <v>25</v>
      </c>
      <c r="AA314">
        <v>6</v>
      </c>
      <c r="AB314">
        <v>287</v>
      </c>
      <c r="AC314">
        <v>26</v>
      </c>
      <c r="AD314">
        <v>34</v>
      </c>
      <c r="AE314">
        <v>39</v>
      </c>
      <c r="AF314">
        <v>77</v>
      </c>
      <c r="AG314">
        <v>56</v>
      </c>
      <c r="AH314">
        <v>441</v>
      </c>
      <c r="AI314">
        <v>15</v>
      </c>
      <c r="AJ314">
        <v>12885</v>
      </c>
      <c r="AK314">
        <v>113987</v>
      </c>
      <c r="AL314">
        <v>2957</v>
      </c>
      <c r="AM314">
        <v>21809</v>
      </c>
      <c r="AN314">
        <v>14</v>
      </c>
      <c r="AO314">
        <v>2</v>
      </c>
      <c r="AP314">
        <v>10210</v>
      </c>
      <c r="AQ314">
        <v>0</v>
      </c>
      <c r="AR314">
        <v>1756</v>
      </c>
      <c r="AS314">
        <v>48</v>
      </c>
      <c r="AT314">
        <v>8990</v>
      </c>
      <c r="AU314">
        <v>2508</v>
      </c>
      <c r="AV314">
        <v>4998</v>
      </c>
      <c r="AW314">
        <v>16596</v>
      </c>
      <c r="AX314" s="144">
        <v>48</v>
      </c>
      <c r="AY314" s="144">
        <v>62</v>
      </c>
      <c r="AZ314" s="144">
        <v>945</v>
      </c>
      <c r="BA314" s="144">
        <v>0</v>
      </c>
      <c r="BB314">
        <v>251</v>
      </c>
      <c r="BC314">
        <v>132</v>
      </c>
      <c r="BD314">
        <v>0</v>
      </c>
      <c r="BE314">
        <v>0</v>
      </c>
      <c r="BF314">
        <v>7645</v>
      </c>
      <c r="BG314">
        <v>0</v>
      </c>
      <c r="BH314">
        <v>0</v>
      </c>
      <c r="BI314">
        <v>0</v>
      </c>
      <c r="BJ314">
        <v>40</v>
      </c>
      <c r="BK314">
        <v>5159</v>
      </c>
      <c r="BL314">
        <v>3</v>
      </c>
      <c r="BM314">
        <v>565</v>
      </c>
      <c r="BN314">
        <v>5</v>
      </c>
      <c r="BO314">
        <v>53626</v>
      </c>
      <c r="BP314">
        <v>84110</v>
      </c>
      <c r="BQ314">
        <v>340</v>
      </c>
      <c r="BR314">
        <v>85</v>
      </c>
      <c r="BS314">
        <v>8975</v>
      </c>
      <c r="BT314">
        <v>56</v>
      </c>
      <c r="BU314">
        <v>1</v>
      </c>
      <c r="BV314">
        <v>5</v>
      </c>
      <c r="BW314">
        <v>15</v>
      </c>
      <c r="BY314">
        <v>13</v>
      </c>
      <c r="BZ314">
        <v>0</v>
      </c>
      <c r="CA314">
        <v>23074</v>
      </c>
      <c r="CB314">
        <v>15620</v>
      </c>
      <c r="CC314">
        <v>143720</v>
      </c>
      <c r="CD314">
        <v>262926</v>
      </c>
      <c r="CE314">
        <v>25830</v>
      </c>
      <c r="CF314">
        <v>51105</v>
      </c>
      <c r="CG314">
        <v>0</v>
      </c>
      <c r="CH314">
        <v>42</v>
      </c>
      <c r="CI314">
        <v>3</v>
      </c>
      <c r="CJ314">
        <v>40</v>
      </c>
      <c r="CY314">
        <v>0</v>
      </c>
      <c r="CZ314">
        <v>0</v>
      </c>
      <c r="DA314">
        <v>0</v>
      </c>
      <c r="DB314">
        <v>16</v>
      </c>
      <c r="DC314">
        <v>0</v>
      </c>
      <c r="DD314">
        <v>30</v>
      </c>
      <c r="DE314">
        <f t="shared" si="77"/>
        <v>1015639</v>
      </c>
      <c r="DG314" s="1">
        <f t="shared" si="100"/>
        <v>688679</v>
      </c>
      <c r="DH314" s="1">
        <f t="shared" si="78"/>
        <v>269026</v>
      </c>
      <c r="DI314" s="1">
        <f t="shared" si="104"/>
        <v>957705</v>
      </c>
      <c r="DK314" s="1">
        <f t="shared" si="79"/>
        <v>57295</v>
      </c>
      <c r="DL314" s="1">
        <f t="shared" si="80"/>
        <v>150590</v>
      </c>
      <c r="DM314" s="1">
        <f t="shared" si="81"/>
        <v>11631</v>
      </c>
      <c r="DN314" s="1">
        <f t="shared" si="82"/>
        <v>48961</v>
      </c>
      <c r="DO314" s="1">
        <f>SUM(AX315,BE315,BH315,BJ315,BN315,BQ315:BR315,BT315,BV315,BY315:CA315,CC315:CE315,CI315:CJ315)</f>
        <v>457006</v>
      </c>
      <c r="DP314" s="1">
        <f t="shared" si="84"/>
        <v>93844</v>
      </c>
      <c r="DQ314" s="1">
        <f t="shared" si="91"/>
        <v>0</v>
      </c>
      <c r="DR314" s="1">
        <f>CB315+CH315+Z315</f>
        <v>15993</v>
      </c>
      <c r="DS314" s="1">
        <f>BO315+BU315</f>
        <v>57313</v>
      </c>
      <c r="DT314" s="1">
        <f t="shared" si="103"/>
        <v>12858</v>
      </c>
      <c r="DU314" s="1"/>
      <c r="DV314" s="1"/>
      <c r="DW314" s="1"/>
      <c r="DX314" s="1">
        <f t="shared" si="92"/>
        <v>905491</v>
      </c>
      <c r="DZ314" s="1">
        <f t="shared" si="93"/>
        <v>51105</v>
      </c>
      <c r="EA314" s="1">
        <f t="shared" si="102"/>
        <v>64294</v>
      </c>
      <c r="EC314" s="1">
        <f t="shared" si="94"/>
        <v>1020890</v>
      </c>
      <c r="ED314" s="1">
        <f t="shared" si="89"/>
        <v>5251</v>
      </c>
      <c r="EE314" s="1"/>
    </row>
    <row r="315" spans="1:135" x14ac:dyDescent="0.25">
      <c r="A315" s="10">
        <v>41791</v>
      </c>
      <c r="B315">
        <v>0</v>
      </c>
      <c r="C315">
        <v>0</v>
      </c>
      <c r="D315">
        <v>0</v>
      </c>
      <c r="E315">
        <v>0</v>
      </c>
      <c r="F315">
        <v>452</v>
      </c>
      <c r="G315">
        <v>16179</v>
      </c>
      <c r="H315">
        <v>34383</v>
      </c>
      <c r="I315">
        <v>4092</v>
      </c>
      <c r="J315">
        <v>8788</v>
      </c>
      <c r="K315">
        <v>990</v>
      </c>
      <c r="L315">
        <v>24096</v>
      </c>
      <c r="M315">
        <v>1400</v>
      </c>
      <c r="N315" s="22">
        <v>0</v>
      </c>
      <c r="O315">
        <v>1513</v>
      </c>
      <c r="P315">
        <v>11596</v>
      </c>
      <c r="Q315">
        <v>307</v>
      </c>
      <c r="R315">
        <v>7457</v>
      </c>
      <c r="S315">
        <v>11631</v>
      </c>
      <c r="T315">
        <v>45</v>
      </c>
      <c r="U315">
        <v>995</v>
      </c>
      <c r="V315">
        <v>323</v>
      </c>
      <c r="W315">
        <v>9563</v>
      </c>
      <c r="X315">
        <v>341</v>
      </c>
      <c r="Y315">
        <v>9</v>
      </c>
      <c r="Z315" s="144">
        <v>18</v>
      </c>
      <c r="AA315">
        <v>6</v>
      </c>
      <c r="AB315">
        <v>290</v>
      </c>
      <c r="AC315">
        <v>25</v>
      </c>
      <c r="AD315">
        <v>33</v>
      </c>
      <c r="AE315">
        <v>37</v>
      </c>
      <c r="AF315">
        <v>81</v>
      </c>
      <c r="AG315">
        <v>62</v>
      </c>
      <c r="AH315">
        <v>471</v>
      </c>
      <c r="AI315">
        <v>15</v>
      </c>
      <c r="AJ315">
        <v>13223</v>
      </c>
      <c r="AK315">
        <v>114103</v>
      </c>
      <c r="AL315">
        <v>2936</v>
      </c>
      <c r="AM315">
        <v>21779</v>
      </c>
      <c r="AN315">
        <v>15</v>
      </c>
      <c r="AO315">
        <v>0</v>
      </c>
      <c r="AP315">
        <v>10477</v>
      </c>
      <c r="AQ315">
        <v>0</v>
      </c>
      <c r="AR315">
        <v>1534</v>
      </c>
      <c r="AS315">
        <v>49</v>
      </c>
      <c r="AT315">
        <v>9223</v>
      </c>
      <c r="AU315">
        <v>2526</v>
      </c>
      <c r="AV315">
        <v>5010</v>
      </c>
      <c r="AW315">
        <v>16624</v>
      </c>
      <c r="AX315" s="144">
        <v>54</v>
      </c>
      <c r="AY315" s="144">
        <v>87</v>
      </c>
      <c r="AZ315" s="144">
        <v>941</v>
      </c>
      <c r="BA315" s="144">
        <v>0</v>
      </c>
      <c r="BB315">
        <v>272</v>
      </c>
      <c r="BC315">
        <v>184</v>
      </c>
      <c r="BD315">
        <v>0</v>
      </c>
      <c r="BE315">
        <v>0</v>
      </c>
      <c r="BF315">
        <v>7634</v>
      </c>
      <c r="BG315">
        <v>0</v>
      </c>
      <c r="BH315">
        <v>0</v>
      </c>
      <c r="BI315">
        <v>0</v>
      </c>
      <c r="BJ315">
        <v>45</v>
      </c>
      <c r="BK315">
        <v>5207</v>
      </c>
      <c r="BL315">
        <v>3</v>
      </c>
      <c r="BM315">
        <v>582</v>
      </c>
      <c r="BN315">
        <v>5</v>
      </c>
      <c r="BO315">
        <v>57280</v>
      </c>
      <c r="BP315">
        <v>83366</v>
      </c>
      <c r="BQ315">
        <v>346</v>
      </c>
      <c r="BR315">
        <v>88</v>
      </c>
      <c r="BS315">
        <v>10177</v>
      </c>
      <c r="BT315">
        <v>58</v>
      </c>
      <c r="BU315">
        <v>33</v>
      </c>
      <c r="BV315">
        <v>5</v>
      </c>
      <c r="BW315">
        <v>14</v>
      </c>
      <c r="BY315">
        <v>16</v>
      </c>
      <c r="BZ315">
        <v>0</v>
      </c>
      <c r="CA315">
        <v>23092</v>
      </c>
      <c r="CB315">
        <v>15931</v>
      </c>
      <c r="CC315">
        <v>143429</v>
      </c>
      <c r="CD315">
        <v>263975</v>
      </c>
      <c r="CE315">
        <v>25846</v>
      </c>
      <c r="CF315">
        <v>51131</v>
      </c>
      <c r="CG315">
        <v>0</v>
      </c>
      <c r="CH315">
        <v>44</v>
      </c>
      <c r="CI315">
        <v>5</v>
      </c>
      <c r="CJ315">
        <v>42</v>
      </c>
      <c r="CY315">
        <v>0</v>
      </c>
      <c r="CZ315">
        <v>0</v>
      </c>
      <c r="DA315">
        <v>0</v>
      </c>
      <c r="DB315">
        <v>16</v>
      </c>
      <c r="DC315">
        <v>0</v>
      </c>
      <c r="DD315">
        <v>30</v>
      </c>
      <c r="DE315">
        <f t="shared" si="77"/>
        <v>1022589</v>
      </c>
      <c r="DF315" s="1"/>
      <c r="DG315" s="1">
        <f t="shared" ref="DG315:DG346" si="105">SUM(AX315:AY315,BC315:CP315,CU315:CX315)</f>
        <v>688679</v>
      </c>
      <c r="DH315" s="1">
        <f t="shared" ref="DH315:DH346" si="106">SUM(L315:M315,O315:AW315,AZ315:BB315)+CQ315+CR315</f>
        <v>269026</v>
      </c>
      <c r="DI315" s="1">
        <f t="shared" ref="DI315:DI319" si="107">SUM(DG315:DH315)</f>
        <v>957705</v>
      </c>
      <c r="DK315" s="1">
        <f t="shared" ref="DK315:DK346" si="108">SUM(L315:M315,O315:R315,T315:W315)</f>
        <v>57295</v>
      </c>
      <c r="DL315" s="1">
        <f t="shared" si="80"/>
        <v>151121</v>
      </c>
      <c r="DM315" s="1">
        <f t="shared" ref="DM315:DM346" si="109">S315</f>
        <v>11631</v>
      </c>
      <c r="DN315" s="1">
        <f t="shared" ref="DN315:DN346" si="110">AF315+AW315+AM315+AO315+AP315+AQ315</f>
        <v>48961</v>
      </c>
      <c r="DO315" s="1">
        <f t="shared" ref="DO315:DO346" si="111">SUM(AX315,BE315,BH315,BJ315,BN315,BQ315:BR315,BT315,BV315,BY315:CA315,CC315:CE315,CI315:CJ315)</f>
        <v>457006</v>
      </c>
      <c r="DP315" s="1">
        <f t="shared" si="84"/>
        <v>94396</v>
      </c>
      <c r="DQ315" s="1">
        <f t="shared" si="91"/>
        <v>0</v>
      </c>
      <c r="DR315" s="1">
        <f t="shared" ref="DR315:DR346" si="112">CB315+CH315+Z315</f>
        <v>15993</v>
      </c>
      <c r="DS315" s="1">
        <f t="shared" ref="DS315:DS346" si="113">BO315+BU315</f>
        <v>57313</v>
      </c>
      <c r="DT315" s="1">
        <f t="shared" ref="DT315:DT346" si="114">BF315+BI315+BK315+BL315+BW315</f>
        <v>12858</v>
      </c>
      <c r="DU315" s="1"/>
      <c r="DV315" s="1"/>
      <c r="DW315" s="1"/>
      <c r="DX315" s="1">
        <f t="shared" si="92"/>
        <v>906574</v>
      </c>
      <c r="DZ315" s="1">
        <f t="shared" si="93"/>
        <v>51131</v>
      </c>
      <c r="EA315" s="1">
        <f t="shared" ref="EA315:EA346" si="115">SUM(F315:K315,N315,CS315:CT315)</f>
        <v>64884</v>
      </c>
      <c r="EC315" s="1">
        <f t="shared" si="94"/>
        <v>1022589</v>
      </c>
      <c r="ED315" s="1">
        <f t="shared" si="89"/>
        <v>0</v>
      </c>
      <c r="EE315" s="1"/>
    </row>
    <row r="316" spans="1:135" x14ac:dyDescent="0.25">
      <c r="A316" s="10">
        <v>41821</v>
      </c>
      <c r="B316">
        <v>0</v>
      </c>
      <c r="C316">
        <v>0</v>
      </c>
      <c r="D316">
        <v>0</v>
      </c>
      <c r="E316">
        <v>0</v>
      </c>
      <c r="F316">
        <v>287</v>
      </c>
      <c r="G316">
        <v>16107</v>
      </c>
      <c r="H316">
        <v>35006</v>
      </c>
      <c r="I316">
        <v>3879</v>
      </c>
      <c r="J316">
        <v>8418</v>
      </c>
      <c r="K316">
        <v>1037</v>
      </c>
      <c r="L316">
        <v>24084</v>
      </c>
      <c r="M316">
        <v>1384</v>
      </c>
      <c r="N316" s="22">
        <v>0</v>
      </c>
      <c r="O316">
        <v>1504</v>
      </c>
      <c r="P316">
        <v>11633</v>
      </c>
      <c r="Q316">
        <v>308</v>
      </c>
      <c r="R316">
        <v>7456</v>
      </c>
      <c r="S316">
        <v>11644</v>
      </c>
      <c r="T316">
        <v>45</v>
      </c>
      <c r="U316">
        <v>1079</v>
      </c>
      <c r="V316">
        <v>318</v>
      </c>
      <c r="W316">
        <v>9722</v>
      </c>
      <c r="X316">
        <v>341</v>
      </c>
      <c r="Y316">
        <v>9</v>
      </c>
      <c r="Z316" s="144">
        <v>13</v>
      </c>
      <c r="AA316">
        <v>6</v>
      </c>
      <c r="AB316">
        <v>298</v>
      </c>
      <c r="AC316">
        <v>26</v>
      </c>
      <c r="AD316">
        <v>33</v>
      </c>
      <c r="AE316">
        <v>39</v>
      </c>
      <c r="AF316">
        <v>77</v>
      </c>
      <c r="AG316">
        <v>68</v>
      </c>
      <c r="AH316">
        <v>509</v>
      </c>
      <c r="AI316">
        <v>16</v>
      </c>
      <c r="AJ316">
        <v>13450</v>
      </c>
      <c r="AK316">
        <v>113753</v>
      </c>
      <c r="AL316">
        <v>2934</v>
      </c>
      <c r="AM316">
        <v>21884</v>
      </c>
      <c r="AN316">
        <v>17</v>
      </c>
      <c r="AO316">
        <v>1</v>
      </c>
      <c r="AP316">
        <v>10764</v>
      </c>
      <c r="AQ316">
        <v>0</v>
      </c>
      <c r="AR316">
        <v>1273</v>
      </c>
      <c r="AS316">
        <v>47</v>
      </c>
      <c r="AT316">
        <v>9405</v>
      </c>
      <c r="AU316">
        <v>2560</v>
      </c>
      <c r="AV316">
        <v>5054</v>
      </c>
      <c r="AW316">
        <v>16741</v>
      </c>
      <c r="AX316" s="144">
        <v>76</v>
      </c>
      <c r="AY316" s="144">
        <v>90</v>
      </c>
      <c r="AZ316" s="144">
        <v>955</v>
      </c>
      <c r="BA316" s="144">
        <v>0</v>
      </c>
      <c r="BB316">
        <v>252</v>
      </c>
      <c r="BC316">
        <v>238</v>
      </c>
      <c r="BD316">
        <v>0</v>
      </c>
      <c r="BE316">
        <v>0</v>
      </c>
      <c r="BF316">
        <v>7590</v>
      </c>
      <c r="BG316">
        <v>0</v>
      </c>
      <c r="BH316">
        <v>0</v>
      </c>
      <c r="BI316">
        <v>0</v>
      </c>
      <c r="BJ316">
        <v>49</v>
      </c>
      <c r="BK316">
        <v>5247</v>
      </c>
      <c r="BL316">
        <v>0</v>
      </c>
      <c r="BM316">
        <v>578</v>
      </c>
      <c r="BN316">
        <v>5</v>
      </c>
      <c r="BO316">
        <v>60462</v>
      </c>
      <c r="BP316">
        <v>82309</v>
      </c>
      <c r="BQ316">
        <v>334</v>
      </c>
      <c r="BR316">
        <v>94</v>
      </c>
      <c r="BS316">
        <v>11477</v>
      </c>
      <c r="BT316">
        <v>69</v>
      </c>
      <c r="BU316">
        <v>21</v>
      </c>
      <c r="BV316">
        <v>4</v>
      </c>
      <c r="BW316">
        <v>17</v>
      </c>
      <c r="BY316">
        <v>15</v>
      </c>
      <c r="BZ316">
        <v>0</v>
      </c>
      <c r="CA316">
        <v>23013</v>
      </c>
      <c r="CB316">
        <v>16353</v>
      </c>
      <c r="CC316">
        <v>142535</v>
      </c>
      <c r="CD316">
        <v>264229</v>
      </c>
      <c r="CE316">
        <v>26222</v>
      </c>
      <c r="CF316">
        <v>51046</v>
      </c>
      <c r="CG316">
        <v>0</v>
      </c>
      <c r="CH316">
        <v>45</v>
      </c>
      <c r="CI316">
        <v>5</v>
      </c>
      <c r="CJ316">
        <v>40</v>
      </c>
      <c r="CY316">
        <v>0</v>
      </c>
      <c r="CZ316">
        <v>0</v>
      </c>
      <c r="DA316">
        <v>0</v>
      </c>
      <c r="DB316">
        <v>16</v>
      </c>
      <c r="DC316">
        <v>0</v>
      </c>
      <c r="DD316">
        <v>30</v>
      </c>
      <c r="DE316">
        <f t="shared" si="77"/>
        <v>1026599</v>
      </c>
      <c r="DF316" s="1"/>
      <c r="DG316" s="1">
        <f t="shared" si="105"/>
        <v>692163</v>
      </c>
      <c r="DH316" s="1">
        <f t="shared" si="106"/>
        <v>269702</v>
      </c>
      <c r="DI316" s="1">
        <f t="shared" si="107"/>
        <v>961865</v>
      </c>
      <c r="DK316" s="1">
        <f t="shared" si="108"/>
        <v>57533</v>
      </c>
      <c r="DL316" s="1">
        <f t="shared" si="80"/>
        <v>151045</v>
      </c>
      <c r="DM316" s="1">
        <f t="shared" si="109"/>
        <v>11644</v>
      </c>
      <c r="DN316" s="1">
        <f t="shared" si="110"/>
        <v>49467</v>
      </c>
      <c r="DO316" s="1">
        <f t="shared" si="111"/>
        <v>456690</v>
      </c>
      <c r="DP316" s="1">
        <f t="shared" si="84"/>
        <v>94692</v>
      </c>
      <c r="DQ316" s="1">
        <f t="shared" si="91"/>
        <v>0</v>
      </c>
      <c r="DR316" s="1">
        <f t="shared" si="112"/>
        <v>16411</v>
      </c>
      <c r="DS316" s="1">
        <f t="shared" si="113"/>
        <v>60483</v>
      </c>
      <c r="DT316" s="1">
        <f t="shared" si="114"/>
        <v>12854</v>
      </c>
      <c r="DU316" s="1"/>
      <c r="DV316" s="1"/>
      <c r="DW316" s="1"/>
      <c r="DX316" s="1">
        <f t="shared" si="92"/>
        <v>910819</v>
      </c>
      <c r="DZ316" s="1">
        <f t="shared" si="93"/>
        <v>51046</v>
      </c>
      <c r="EA316" s="1">
        <f t="shared" si="115"/>
        <v>64734</v>
      </c>
      <c r="EC316" s="1">
        <f t="shared" si="94"/>
        <v>1026599</v>
      </c>
      <c r="ED316" s="1">
        <f t="shared" si="89"/>
        <v>0</v>
      </c>
      <c r="EE316" s="1"/>
    </row>
    <row r="317" spans="1:135" x14ac:dyDescent="0.25">
      <c r="A317" s="10">
        <v>41852</v>
      </c>
      <c r="B317">
        <v>0</v>
      </c>
      <c r="C317">
        <v>0</v>
      </c>
      <c r="D317">
        <v>0</v>
      </c>
      <c r="E317">
        <v>0</v>
      </c>
      <c r="F317">
        <v>170</v>
      </c>
      <c r="G317">
        <v>16274</v>
      </c>
      <c r="H317">
        <v>35439</v>
      </c>
      <c r="I317">
        <v>3640</v>
      </c>
      <c r="J317">
        <v>7969</v>
      </c>
      <c r="K317">
        <v>1070</v>
      </c>
      <c r="L317">
        <v>24046</v>
      </c>
      <c r="M317">
        <v>1389</v>
      </c>
      <c r="N317" s="22">
        <v>0</v>
      </c>
      <c r="O317">
        <v>1463</v>
      </c>
      <c r="P317">
        <v>11563</v>
      </c>
      <c r="Q317">
        <v>308</v>
      </c>
      <c r="R317">
        <v>7390</v>
      </c>
      <c r="S317">
        <v>11627</v>
      </c>
      <c r="T317">
        <v>44</v>
      </c>
      <c r="U317">
        <v>1127</v>
      </c>
      <c r="V317">
        <v>298</v>
      </c>
      <c r="W317">
        <v>9670</v>
      </c>
      <c r="X317">
        <v>345</v>
      </c>
      <c r="Y317">
        <v>10</v>
      </c>
      <c r="Z317" s="144">
        <v>25</v>
      </c>
      <c r="AA317">
        <v>5</v>
      </c>
      <c r="AB317">
        <v>286</v>
      </c>
      <c r="AC317">
        <v>27</v>
      </c>
      <c r="AD317">
        <v>32</v>
      </c>
      <c r="AE317">
        <v>40</v>
      </c>
      <c r="AF317">
        <v>73</v>
      </c>
      <c r="AG317">
        <v>71</v>
      </c>
      <c r="AH317">
        <v>522</v>
      </c>
      <c r="AI317">
        <v>14</v>
      </c>
      <c r="AJ317">
        <v>13589</v>
      </c>
      <c r="AK317">
        <v>113806</v>
      </c>
      <c r="AL317">
        <v>2925</v>
      </c>
      <c r="AM317">
        <v>21930</v>
      </c>
      <c r="AN317">
        <v>20</v>
      </c>
      <c r="AO317">
        <v>0</v>
      </c>
      <c r="AP317">
        <v>10947</v>
      </c>
      <c r="AQ317">
        <v>0</v>
      </c>
      <c r="AR317">
        <v>1090</v>
      </c>
      <c r="AS317">
        <v>45</v>
      </c>
      <c r="AT317">
        <v>9601</v>
      </c>
      <c r="AU317">
        <v>2566</v>
      </c>
      <c r="AV317">
        <v>5079</v>
      </c>
      <c r="AW317">
        <v>16828</v>
      </c>
      <c r="AX317" s="144">
        <v>46</v>
      </c>
      <c r="AY317" s="144">
        <v>77</v>
      </c>
      <c r="AZ317" s="144">
        <v>967</v>
      </c>
      <c r="BA317" s="144">
        <v>0</v>
      </c>
      <c r="BB317">
        <v>257</v>
      </c>
      <c r="BC317">
        <v>258</v>
      </c>
      <c r="BD317">
        <v>0</v>
      </c>
      <c r="BE317">
        <v>0</v>
      </c>
      <c r="BF317">
        <v>7614</v>
      </c>
      <c r="BG317">
        <v>0</v>
      </c>
      <c r="BH317">
        <v>0</v>
      </c>
      <c r="BI317">
        <v>0</v>
      </c>
      <c r="BJ317">
        <v>49</v>
      </c>
      <c r="BK317">
        <v>5253</v>
      </c>
      <c r="BL317">
        <v>2</v>
      </c>
      <c r="BM317">
        <v>568</v>
      </c>
      <c r="BN317">
        <v>5</v>
      </c>
      <c r="BO317">
        <v>63292</v>
      </c>
      <c r="BP317">
        <v>81420</v>
      </c>
      <c r="BQ317">
        <v>338</v>
      </c>
      <c r="BR317">
        <v>88</v>
      </c>
      <c r="BS317">
        <v>12811</v>
      </c>
      <c r="BT317">
        <v>64</v>
      </c>
      <c r="BU317">
        <v>2</v>
      </c>
      <c r="BV317">
        <v>4</v>
      </c>
      <c r="BW317">
        <v>18</v>
      </c>
      <c r="BY317">
        <v>19</v>
      </c>
      <c r="BZ317">
        <v>0</v>
      </c>
      <c r="CA317">
        <v>22757</v>
      </c>
      <c r="CB317">
        <v>16677</v>
      </c>
      <c r="CC317">
        <v>141915</v>
      </c>
      <c r="CD317">
        <v>264335</v>
      </c>
      <c r="CE317">
        <v>26504</v>
      </c>
      <c r="CF317">
        <v>50421</v>
      </c>
      <c r="CG317">
        <v>0</v>
      </c>
      <c r="CH317">
        <v>38</v>
      </c>
      <c r="CI317">
        <v>4</v>
      </c>
      <c r="CJ317">
        <v>23</v>
      </c>
      <c r="CY317">
        <v>0</v>
      </c>
      <c r="CZ317">
        <v>0</v>
      </c>
      <c r="DA317">
        <v>0</v>
      </c>
      <c r="DB317">
        <v>16</v>
      </c>
      <c r="DC317">
        <v>0</v>
      </c>
      <c r="DD317">
        <v>29</v>
      </c>
      <c r="DE317">
        <f t="shared" si="77"/>
        <v>1029189</v>
      </c>
      <c r="DF317" s="1"/>
      <c r="DG317" s="1">
        <f t="shared" si="105"/>
        <v>694602</v>
      </c>
      <c r="DH317" s="1">
        <f t="shared" si="106"/>
        <v>270025</v>
      </c>
      <c r="DI317" s="1">
        <f t="shared" si="107"/>
        <v>964627</v>
      </c>
      <c r="DK317" s="1">
        <f t="shared" si="108"/>
        <v>57298</v>
      </c>
      <c r="DL317" s="1">
        <f t="shared" si="80"/>
        <v>151297</v>
      </c>
      <c r="DM317" s="1">
        <f t="shared" si="109"/>
        <v>11627</v>
      </c>
      <c r="DN317" s="1">
        <f t="shared" si="110"/>
        <v>49778</v>
      </c>
      <c r="DO317" s="1">
        <f t="shared" si="111"/>
        <v>456151</v>
      </c>
      <c r="DP317" s="1">
        <f t="shared" si="84"/>
        <v>95134</v>
      </c>
      <c r="DQ317" s="1">
        <f t="shared" si="91"/>
        <v>0</v>
      </c>
      <c r="DR317" s="1">
        <f t="shared" si="112"/>
        <v>16740</v>
      </c>
      <c r="DS317" s="1">
        <f t="shared" si="113"/>
        <v>63294</v>
      </c>
      <c r="DT317" s="1">
        <f t="shared" si="114"/>
        <v>12887</v>
      </c>
      <c r="DU317" s="1"/>
      <c r="DV317" s="1"/>
      <c r="DW317" s="1"/>
      <c r="DX317" s="1">
        <f t="shared" si="92"/>
        <v>914206</v>
      </c>
      <c r="DZ317" s="1">
        <f t="shared" si="93"/>
        <v>50421</v>
      </c>
      <c r="EA317" s="1">
        <f t="shared" si="115"/>
        <v>64562</v>
      </c>
      <c r="EC317" s="1">
        <f t="shared" si="94"/>
        <v>1029189</v>
      </c>
      <c r="ED317" s="1">
        <f t="shared" si="89"/>
        <v>0</v>
      </c>
      <c r="EE317" s="1"/>
    </row>
    <row r="318" spans="1:135" x14ac:dyDescent="0.25">
      <c r="A318" s="10">
        <v>41883</v>
      </c>
      <c r="B318">
        <v>0</v>
      </c>
      <c r="C318">
        <v>0</v>
      </c>
      <c r="D318">
        <v>0</v>
      </c>
      <c r="E318">
        <v>0</v>
      </c>
      <c r="F318">
        <v>83</v>
      </c>
      <c r="G318">
        <v>15995</v>
      </c>
      <c r="H318">
        <v>35707</v>
      </c>
      <c r="I318">
        <v>3295</v>
      </c>
      <c r="J318">
        <v>7475</v>
      </c>
      <c r="K318">
        <v>1087</v>
      </c>
      <c r="L318">
        <v>23985</v>
      </c>
      <c r="M318">
        <v>1370</v>
      </c>
      <c r="N318" s="22">
        <v>0</v>
      </c>
      <c r="O318">
        <v>1407</v>
      </c>
      <c r="P318">
        <v>11656</v>
      </c>
      <c r="Q318">
        <v>304</v>
      </c>
      <c r="R318">
        <v>7417</v>
      </c>
      <c r="S318">
        <v>11570</v>
      </c>
      <c r="T318">
        <v>38</v>
      </c>
      <c r="U318">
        <v>1171</v>
      </c>
      <c r="V318">
        <v>263</v>
      </c>
      <c r="W318">
        <v>9715</v>
      </c>
      <c r="X318">
        <v>350</v>
      </c>
      <c r="Y318">
        <v>10</v>
      </c>
      <c r="Z318" s="144">
        <v>13</v>
      </c>
      <c r="AA318">
        <v>6</v>
      </c>
      <c r="AB318">
        <v>291</v>
      </c>
      <c r="AC318">
        <v>25</v>
      </c>
      <c r="AD318">
        <v>33</v>
      </c>
      <c r="AE318">
        <v>41</v>
      </c>
      <c r="AF318">
        <v>73</v>
      </c>
      <c r="AG318">
        <v>64</v>
      </c>
      <c r="AH318">
        <v>543</v>
      </c>
      <c r="AI318">
        <v>14</v>
      </c>
      <c r="AJ318">
        <v>13667</v>
      </c>
      <c r="AK318">
        <v>113578</v>
      </c>
      <c r="AL318">
        <v>2874</v>
      </c>
      <c r="AM318">
        <v>21884</v>
      </c>
      <c r="AN318">
        <v>20</v>
      </c>
      <c r="AO318">
        <v>2</v>
      </c>
      <c r="AP318">
        <v>11140</v>
      </c>
      <c r="AQ318">
        <v>0</v>
      </c>
      <c r="AR318">
        <v>1044</v>
      </c>
      <c r="AS318">
        <v>43</v>
      </c>
      <c r="AT318">
        <v>9743</v>
      </c>
      <c r="AU318">
        <v>2555</v>
      </c>
      <c r="AV318">
        <v>5087</v>
      </c>
      <c r="AW318">
        <v>16800</v>
      </c>
      <c r="AX318" s="144">
        <v>45</v>
      </c>
      <c r="AY318" s="144">
        <v>78</v>
      </c>
      <c r="AZ318" s="144">
        <v>976</v>
      </c>
      <c r="BA318" s="144">
        <v>0</v>
      </c>
      <c r="BB318">
        <v>250</v>
      </c>
      <c r="BC318">
        <v>300</v>
      </c>
      <c r="BD318">
        <v>0</v>
      </c>
      <c r="BE318">
        <v>0</v>
      </c>
      <c r="BF318">
        <v>7606</v>
      </c>
      <c r="BG318">
        <v>0</v>
      </c>
      <c r="BH318">
        <v>0</v>
      </c>
      <c r="BI318">
        <v>0</v>
      </c>
      <c r="BJ318">
        <v>54</v>
      </c>
      <c r="BK318">
        <v>5254</v>
      </c>
      <c r="BL318">
        <v>2</v>
      </c>
      <c r="BM318">
        <v>561</v>
      </c>
      <c r="BN318">
        <v>5</v>
      </c>
      <c r="BO318">
        <v>65610</v>
      </c>
      <c r="BP318">
        <v>79541</v>
      </c>
      <c r="BQ318">
        <v>344</v>
      </c>
      <c r="BR318">
        <v>90</v>
      </c>
      <c r="BS318">
        <v>13969</v>
      </c>
      <c r="BT318">
        <v>67</v>
      </c>
      <c r="BU318">
        <v>2</v>
      </c>
      <c r="BV318">
        <v>4</v>
      </c>
      <c r="BW318">
        <v>16</v>
      </c>
      <c r="BY318">
        <v>18</v>
      </c>
      <c r="BZ318">
        <v>0</v>
      </c>
      <c r="CA318">
        <v>22275</v>
      </c>
      <c r="CB318">
        <v>16685</v>
      </c>
      <c r="CC318">
        <v>139508</v>
      </c>
      <c r="CD318">
        <v>261587</v>
      </c>
      <c r="CE318">
        <v>26361</v>
      </c>
      <c r="CF318">
        <v>48922</v>
      </c>
      <c r="CG318">
        <v>0</v>
      </c>
      <c r="CH318">
        <v>28</v>
      </c>
      <c r="CI318">
        <v>5</v>
      </c>
      <c r="CJ318">
        <v>13</v>
      </c>
      <c r="CY318">
        <v>0</v>
      </c>
      <c r="CZ318">
        <v>0</v>
      </c>
      <c r="DA318">
        <v>0</v>
      </c>
      <c r="DB318">
        <v>16</v>
      </c>
      <c r="DC318">
        <v>0</v>
      </c>
      <c r="DD318">
        <v>29</v>
      </c>
      <c r="DE318">
        <f t="shared" si="77"/>
        <v>1022614</v>
      </c>
      <c r="DF318" s="1"/>
      <c r="DG318" s="1">
        <f t="shared" si="105"/>
        <v>688950</v>
      </c>
      <c r="DH318" s="1">
        <f t="shared" si="106"/>
        <v>270022</v>
      </c>
      <c r="DI318" s="1">
        <f t="shared" si="107"/>
        <v>958972</v>
      </c>
      <c r="DK318" s="1">
        <f t="shared" si="108"/>
        <v>57326</v>
      </c>
      <c r="DL318" s="1">
        <f t="shared" si="80"/>
        <v>151214</v>
      </c>
      <c r="DM318" s="1">
        <f t="shared" si="109"/>
        <v>11570</v>
      </c>
      <c r="DN318" s="1">
        <f t="shared" si="110"/>
        <v>49899</v>
      </c>
      <c r="DO318" s="1">
        <f t="shared" si="111"/>
        <v>450376</v>
      </c>
      <c r="DP318" s="1">
        <f t="shared" si="84"/>
        <v>94449</v>
      </c>
      <c r="DQ318" s="1">
        <f t="shared" si="91"/>
        <v>0</v>
      </c>
      <c r="DR318" s="1">
        <f t="shared" si="112"/>
        <v>16726</v>
      </c>
      <c r="DS318" s="1">
        <f t="shared" si="113"/>
        <v>65612</v>
      </c>
      <c r="DT318" s="1">
        <f t="shared" si="114"/>
        <v>12878</v>
      </c>
      <c r="DU318" s="1"/>
      <c r="DV318" s="1"/>
      <c r="DW318" s="1"/>
      <c r="DX318" s="1">
        <f t="shared" si="92"/>
        <v>910050</v>
      </c>
      <c r="DZ318" s="1">
        <f t="shared" si="93"/>
        <v>48922</v>
      </c>
      <c r="EA318" s="1">
        <f t="shared" si="115"/>
        <v>63642</v>
      </c>
      <c r="EC318" s="1">
        <f t="shared" si="94"/>
        <v>1022614</v>
      </c>
      <c r="ED318" s="1">
        <f>EC318-DE318</f>
        <v>0</v>
      </c>
      <c r="EE318" s="1"/>
    </row>
    <row r="319" spans="1:135" x14ac:dyDescent="0.25">
      <c r="A319" s="10">
        <v>41913</v>
      </c>
      <c r="B319">
        <v>0</v>
      </c>
      <c r="C319">
        <v>0</v>
      </c>
      <c r="D319">
        <v>0</v>
      </c>
      <c r="E319">
        <v>0</v>
      </c>
      <c r="F319">
        <v>23</v>
      </c>
      <c r="G319">
        <v>15983</v>
      </c>
      <c r="H319">
        <v>36138</v>
      </c>
      <c r="I319">
        <v>3059</v>
      </c>
      <c r="J319">
        <v>7049</v>
      </c>
      <c r="K319">
        <v>1080</v>
      </c>
      <c r="L319">
        <v>23960</v>
      </c>
      <c r="M319">
        <v>1375</v>
      </c>
      <c r="N319" s="22">
        <v>0</v>
      </c>
      <c r="O319">
        <v>1359</v>
      </c>
      <c r="P319">
        <v>11767</v>
      </c>
      <c r="Q319">
        <v>301</v>
      </c>
      <c r="R319">
        <v>7392</v>
      </c>
      <c r="S319">
        <v>11579</v>
      </c>
      <c r="T319">
        <v>31</v>
      </c>
      <c r="U319">
        <v>1215</v>
      </c>
      <c r="V319">
        <v>248</v>
      </c>
      <c r="W319">
        <v>9885</v>
      </c>
      <c r="X319">
        <v>356</v>
      </c>
      <c r="Y319">
        <v>11</v>
      </c>
      <c r="Z319" s="144">
        <v>17</v>
      </c>
      <c r="AA319">
        <v>8</v>
      </c>
      <c r="AB319">
        <v>303</v>
      </c>
      <c r="AC319">
        <v>23</v>
      </c>
      <c r="AD319">
        <v>33</v>
      </c>
      <c r="AE319">
        <v>43</v>
      </c>
      <c r="AF319">
        <v>77</v>
      </c>
      <c r="AG319">
        <v>58</v>
      </c>
      <c r="AH319">
        <v>578</v>
      </c>
      <c r="AI319">
        <v>14</v>
      </c>
      <c r="AJ319">
        <v>13768</v>
      </c>
      <c r="AK319">
        <v>113772</v>
      </c>
      <c r="AL319">
        <v>2862</v>
      </c>
      <c r="AM319">
        <v>21815</v>
      </c>
      <c r="AN319">
        <v>21</v>
      </c>
      <c r="AO319">
        <v>3</v>
      </c>
      <c r="AP319">
        <v>11283</v>
      </c>
      <c r="AQ319">
        <v>0</v>
      </c>
      <c r="AR319">
        <v>1023</v>
      </c>
      <c r="AS319">
        <v>43</v>
      </c>
      <c r="AT319">
        <v>9882</v>
      </c>
      <c r="AU319">
        <v>2567</v>
      </c>
      <c r="AV319">
        <v>5127</v>
      </c>
      <c r="AW319">
        <v>16804</v>
      </c>
      <c r="AX319" s="144">
        <v>50</v>
      </c>
      <c r="AY319" s="144">
        <v>71</v>
      </c>
      <c r="AZ319" s="144">
        <v>958</v>
      </c>
      <c r="BA319" s="144">
        <v>0</v>
      </c>
      <c r="BB319">
        <v>244</v>
      </c>
      <c r="BC319">
        <v>331</v>
      </c>
      <c r="BD319">
        <v>0</v>
      </c>
      <c r="BE319">
        <v>0</v>
      </c>
      <c r="BF319">
        <v>7644</v>
      </c>
      <c r="BG319">
        <v>0</v>
      </c>
      <c r="BH319">
        <v>0</v>
      </c>
      <c r="BI319">
        <v>0</v>
      </c>
      <c r="BJ319">
        <v>59</v>
      </c>
      <c r="BK319">
        <v>5302</v>
      </c>
      <c r="BL319">
        <v>3</v>
      </c>
      <c r="BM319">
        <v>528</v>
      </c>
      <c r="BN319">
        <v>5</v>
      </c>
      <c r="BO319">
        <v>69148</v>
      </c>
      <c r="BP319">
        <v>79323</v>
      </c>
      <c r="BQ319">
        <v>326</v>
      </c>
      <c r="BR319">
        <v>100</v>
      </c>
      <c r="BS319">
        <v>15294</v>
      </c>
      <c r="BT319">
        <v>66</v>
      </c>
      <c r="BU319">
        <v>0</v>
      </c>
      <c r="BV319">
        <v>4</v>
      </c>
      <c r="BW319">
        <v>13</v>
      </c>
      <c r="BY319">
        <v>20</v>
      </c>
      <c r="BZ319">
        <v>0</v>
      </c>
      <c r="CA319">
        <v>22238</v>
      </c>
      <c r="CB319">
        <v>16528</v>
      </c>
      <c r="CC319">
        <v>139855</v>
      </c>
      <c r="CD319">
        <v>264884</v>
      </c>
      <c r="CE319">
        <v>27166</v>
      </c>
      <c r="CF319">
        <v>48799</v>
      </c>
      <c r="CG319">
        <v>0</v>
      </c>
      <c r="CH319">
        <v>28</v>
      </c>
      <c r="CI319">
        <v>5</v>
      </c>
      <c r="CJ319">
        <v>15</v>
      </c>
      <c r="CQ319">
        <v>4</v>
      </c>
      <c r="CY319">
        <v>0</v>
      </c>
      <c r="CZ319">
        <v>0</v>
      </c>
      <c r="DA319">
        <v>0</v>
      </c>
      <c r="DB319">
        <v>16</v>
      </c>
      <c r="DC319">
        <v>0</v>
      </c>
      <c r="DD319">
        <v>29</v>
      </c>
      <c r="DE319">
        <f t="shared" si="77"/>
        <v>1031946</v>
      </c>
      <c r="DF319" s="1"/>
      <c r="DG319" s="1">
        <f t="shared" si="105"/>
        <v>697805</v>
      </c>
      <c r="DH319" s="1">
        <f t="shared" si="106"/>
        <v>270809</v>
      </c>
      <c r="DI319" s="1">
        <f t="shared" si="107"/>
        <v>968614</v>
      </c>
      <c r="DK319" s="1">
        <f t="shared" si="108"/>
        <v>57533</v>
      </c>
      <c r="DL319" s="1">
        <f t="shared" si="80"/>
        <v>151694</v>
      </c>
      <c r="DM319" s="1">
        <f t="shared" si="109"/>
        <v>11579</v>
      </c>
      <c r="DN319" s="1">
        <f t="shared" si="110"/>
        <v>49982</v>
      </c>
      <c r="DO319" s="1">
        <f t="shared" si="111"/>
        <v>454793</v>
      </c>
      <c r="DP319" s="1">
        <f t="shared" si="84"/>
        <v>95547</v>
      </c>
      <c r="DQ319" s="1">
        <f t="shared" si="91"/>
        <v>4</v>
      </c>
      <c r="DR319" s="1">
        <f t="shared" si="112"/>
        <v>16573</v>
      </c>
      <c r="DS319" s="1">
        <f t="shared" si="113"/>
        <v>69148</v>
      </c>
      <c r="DT319" s="1">
        <f t="shared" si="114"/>
        <v>12962</v>
      </c>
      <c r="DU319" s="1"/>
      <c r="DV319" s="1"/>
      <c r="DW319" s="1"/>
      <c r="DX319" s="1">
        <f t="shared" si="92"/>
        <v>919815</v>
      </c>
      <c r="DZ319" s="1">
        <f t="shared" si="93"/>
        <v>48799</v>
      </c>
      <c r="EA319" s="1">
        <f t="shared" si="115"/>
        <v>63332</v>
      </c>
      <c r="EC319" s="1">
        <f t="shared" si="94"/>
        <v>1031946</v>
      </c>
      <c r="ED319" s="1">
        <f t="shared" si="89"/>
        <v>0</v>
      </c>
      <c r="EE319" s="1"/>
    </row>
    <row r="320" spans="1:135" x14ac:dyDescent="0.25">
      <c r="A320" s="10">
        <v>41944</v>
      </c>
      <c r="B320">
        <v>0</v>
      </c>
      <c r="C320">
        <v>0</v>
      </c>
      <c r="D320">
        <v>0</v>
      </c>
      <c r="E320">
        <v>0</v>
      </c>
      <c r="F320">
        <v>7</v>
      </c>
      <c r="G320">
        <v>15973</v>
      </c>
      <c r="H320">
        <v>36626</v>
      </c>
      <c r="I320">
        <v>2779</v>
      </c>
      <c r="J320">
        <v>6506</v>
      </c>
      <c r="K320">
        <v>944</v>
      </c>
      <c r="L320">
        <v>23956</v>
      </c>
      <c r="M320">
        <v>1389</v>
      </c>
      <c r="N320" s="22">
        <v>0</v>
      </c>
      <c r="O320">
        <v>1294</v>
      </c>
      <c r="P320">
        <v>11830</v>
      </c>
      <c r="Q320">
        <v>297</v>
      </c>
      <c r="R320">
        <v>7398</v>
      </c>
      <c r="S320">
        <v>11558</v>
      </c>
      <c r="T320">
        <v>33</v>
      </c>
      <c r="U320">
        <v>1250</v>
      </c>
      <c r="V320">
        <v>220</v>
      </c>
      <c r="W320">
        <v>9995</v>
      </c>
      <c r="X320">
        <v>357</v>
      </c>
      <c r="Y320">
        <v>10</v>
      </c>
      <c r="Z320" s="144">
        <v>15</v>
      </c>
      <c r="AA320">
        <v>7</v>
      </c>
      <c r="AB320">
        <v>304</v>
      </c>
      <c r="AC320">
        <v>24</v>
      </c>
      <c r="AD320">
        <v>34</v>
      </c>
      <c r="AE320">
        <v>42</v>
      </c>
      <c r="AF320">
        <v>78</v>
      </c>
      <c r="AG320">
        <v>55</v>
      </c>
      <c r="AH320">
        <v>618</v>
      </c>
      <c r="AI320">
        <v>14</v>
      </c>
      <c r="AJ320">
        <v>13913</v>
      </c>
      <c r="AK320">
        <v>113893</v>
      </c>
      <c r="AL320">
        <v>2859</v>
      </c>
      <c r="AM320">
        <v>21849</v>
      </c>
      <c r="AN320">
        <v>20</v>
      </c>
      <c r="AO320">
        <v>4</v>
      </c>
      <c r="AP320">
        <v>11476</v>
      </c>
      <c r="AQ320">
        <v>0</v>
      </c>
      <c r="AR320">
        <v>1067</v>
      </c>
      <c r="AS320">
        <v>43</v>
      </c>
      <c r="AT320">
        <v>10090</v>
      </c>
      <c r="AU320">
        <v>2579</v>
      </c>
      <c r="AV320">
        <v>5165</v>
      </c>
      <c r="AW320">
        <v>16794</v>
      </c>
      <c r="AX320" s="144">
        <v>50</v>
      </c>
      <c r="AY320" s="144">
        <v>62</v>
      </c>
      <c r="AZ320" s="144">
        <v>971</v>
      </c>
      <c r="BA320" s="144">
        <v>0</v>
      </c>
      <c r="BB320">
        <v>251</v>
      </c>
      <c r="BC320">
        <v>369</v>
      </c>
      <c r="BD320">
        <v>0</v>
      </c>
      <c r="BE320">
        <v>0</v>
      </c>
      <c r="BF320">
        <v>7671</v>
      </c>
      <c r="BG320">
        <v>0</v>
      </c>
      <c r="BH320">
        <v>0</v>
      </c>
      <c r="BI320">
        <v>0</v>
      </c>
      <c r="BJ320">
        <v>63</v>
      </c>
      <c r="BK320">
        <v>5340</v>
      </c>
      <c r="BL320">
        <v>2</v>
      </c>
      <c r="BM320">
        <v>535</v>
      </c>
      <c r="BN320">
        <v>5</v>
      </c>
      <c r="BO320">
        <v>73679</v>
      </c>
      <c r="BP320">
        <v>79089</v>
      </c>
      <c r="BQ320">
        <v>319</v>
      </c>
      <c r="BR320">
        <v>120</v>
      </c>
      <c r="BS320">
        <v>16938</v>
      </c>
      <c r="BT320">
        <v>73</v>
      </c>
      <c r="BU320">
        <v>0</v>
      </c>
      <c r="BV320">
        <v>4</v>
      </c>
      <c r="BW320">
        <v>13</v>
      </c>
      <c r="BY320">
        <v>18</v>
      </c>
      <c r="BZ320">
        <v>0</v>
      </c>
      <c r="CA320">
        <v>22270</v>
      </c>
      <c r="CB320">
        <v>16449</v>
      </c>
      <c r="CC320">
        <v>140311</v>
      </c>
      <c r="CD320">
        <v>268157</v>
      </c>
      <c r="CE320">
        <v>27896</v>
      </c>
      <c r="CF320">
        <v>48257</v>
      </c>
      <c r="CG320">
        <v>0</v>
      </c>
      <c r="CH320">
        <v>28</v>
      </c>
      <c r="CI320">
        <v>6</v>
      </c>
      <c r="CJ320">
        <v>19</v>
      </c>
      <c r="CQ320">
        <v>28</v>
      </c>
      <c r="CY320">
        <v>0</v>
      </c>
      <c r="CZ320">
        <v>0</v>
      </c>
      <c r="DA320">
        <v>0</v>
      </c>
      <c r="DB320">
        <v>16</v>
      </c>
      <c r="DC320">
        <v>0</v>
      </c>
      <c r="DD320">
        <v>29</v>
      </c>
      <c r="DE320">
        <f t="shared" si="77"/>
        <v>1042358</v>
      </c>
      <c r="DF320" s="1"/>
      <c r="DG320" s="1">
        <f t="shared" si="105"/>
        <v>707743</v>
      </c>
      <c r="DH320" s="1">
        <f t="shared" si="106"/>
        <v>271780</v>
      </c>
      <c r="DI320" s="1">
        <f t="shared" ref="DI320:DI351" si="116">SUM(DG320:DH320)</f>
        <v>979523</v>
      </c>
      <c r="DK320" s="1">
        <f t="shared" si="108"/>
        <v>57662</v>
      </c>
      <c r="DL320" s="1">
        <f t="shared" si="80"/>
        <v>152316</v>
      </c>
      <c r="DM320" s="1">
        <f t="shared" si="109"/>
        <v>11558</v>
      </c>
      <c r="DN320" s="1">
        <f t="shared" si="110"/>
        <v>50201</v>
      </c>
      <c r="DO320" s="1">
        <f t="shared" si="111"/>
        <v>459311</v>
      </c>
      <c r="DP320" s="1">
        <f t="shared" si="84"/>
        <v>96993</v>
      </c>
      <c r="DQ320" s="1">
        <f t="shared" si="91"/>
        <v>28</v>
      </c>
      <c r="DR320" s="1">
        <f t="shared" si="112"/>
        <v>16492</v>
      </c>
      <c r="DS320" s="1">
        <f t="shared" si="113"/>
        <v>73679</v>
      </c>
      <c r="DT320" s="1">
        <f t="shared" si="114"/>
        <v>13026</v>
      </c>
      <c r="DU320" s="1"/>
      <c r="DV320" s="1"/>
      <c r="DW320" s="1"/>
      <c r="DX320" s="1">
        <f t="shared" si="92"/>
        <v>931266</v>
      </c>
      <c r="DZ320" s="1">
        <f t="shared" si="93"/>
        <v>48257</v>
      </c>
      <c r="EA320" s="1">
        <f t="shared" si="115"/>
        <v>62835</v>
      </c>
      <c r="EC320" s="1">
        <f t="shared" si="94"/>
        <v>1042358</v>
      </c>
      <c r="ED320" s="1">
        <f t="shared" si="89"/>
        <v>0</v>
      </c>
      <c r="EE320" s="1"/>
    </row>
    <row r="321" spans="1:135" x14ac:dyDescent="0.25">
      <c r="A321" s="10">
        <v>41974</v>
      </c>
      <c r="B321">
        <v>0</v>
      </c>
      <c r="C321">
        <v>0</v>
      </c>
      <c r="D321">
        <v>0</v>
      </c>
      <c r="E321">
        <v>0</v>
      </c>
      <c r="F321">
        <v>3</v>
      </c>
      <c r="G321">
        <v>16020</v>
      </c>
      <c r="H321">
        <v>36977</v>
      </c>
      <c r="I321">
        <v>2508</v>
      </c>
      <c r="J321">
        <v>5911</v>
      </c>
      <c r="K321">
        <v>818</v>
      </c>
      <c r="L321">
        <v>23913</v>
      </c>
      <c r="M321">
        <v>1396</v>
      </c>
      <c r="N321" s="22">
        <v>0</v>
      </c>
      <c r="O321">
        <v>1272</v>
      </c>
      <c r="P321">
        <v>11836</v>
      </c>
      <c r="Q321">
        <v>295</v>
      </c>
      <c r="R321">
        <v>7381</v>
      </c>
      <c r="S321">
        <v>11547</v>
      </c>
      <c r="T321">
        <v>27</v>
      </c>
      <c r="U321">
        <v>1295</v>
      </c>
      <c r="V321">
        <v>207</v>
      </c>
      <c r="W321">
        <v>9969</v>
      </c>
      <c r="X321">
        <v>354</v>
      </c>
      <c r="Y321">
        <v>10</v>
      </c>
      <c r="Z321" s="144">
        <v>11</v>
      </c>
      <c r="AA321">
        <v>7</v>
      </c>
      <c r="AB321">
        <v>295</v>
      </c>
      <c r="AC321">
        <v>24</v>
      </c>
      <c r="AD321">
        <v>34</v>
      </c>
      <c r="AE321">
        <v>41</v>
      </c>
      <c r="AF321">
        <v>75</v>
      </c>
      <c r="AG321">
        <v>52</v>
      </c>
      <c r="AH321">
        <v>635</v>
      </c>
      <c r="AI321">
        <v>8</v>
      </c>
      <c r="AJ321">
        <v>13824</v>
      </c>
      <c r="AK321">
        <v>114000</v>
      </c>
      <c r="AL321">
        <v>2857</v>
      </c>
      <c r="AM321">
        <v>21755</v>
      </c>
      <c r="AN321">
        <v>18</v>
      </c>
      <c r="AO321">
        <v>4</v>
      </c>
      <c r="AP321">
        <v>11597</v>
      </c>
      <c r="AQ321">
        <v>0</v>
      </c>
      <c r="AR321">
        <v>1015</v>
      </c>
      <c r="AS321">
        <v>44</v>
      </c>
      <c r="AT321">
        <v>10253</v>
      </c>
      <c r="AU321">
        <v>2573</v>
      </c>
      <c r="AV321">
        <v>5171</v>
      </c>
      <c r="AW321">
        <v>16718</v>
      </c>
      <c r="AX321" s="144">
        <v>29</v>
      </c>
      <c r="AY321" s="144">
        <v>42</v>
      </c>
      <c r="AZ321" s="144">
        <v>964</v>
      </c>
      <c r="BA321" s="144">
        <v>0</v>
      </c>
      <c r="BB321">
        <v>242</v>
      </c>
      <c r="BC321">
        <v>390</v>
      </c>
      <c r="BD321">
        <v>0</v>
      </c>
      <c r="BE321">
        <v>0</v>
      </c>
      <c r="BF321">
        <v>7676</v>
      </c>
      <c r="BG321">
        <v>0</v>
      </c>
      <c r="BH321">
        <v>0</v>
      </c>
      <c r="BI321">
        <v>0</v>
      </c>
      <c r="BJ321">
        <v>62</v>
      </c>
      <c r="BK321">
        <v>5319</v>
      </c>
      <c r="BL321">
        <v>0</v>
      </c>
      <c r="BM321">
        <v>492</v>
      </c>
      <c r="BN321">
        <v>5</v>
      </c>
      <c r="BO321">
        <v>75438</v>
      </c>
      <c r="BP321">
        <v>78131</v>
      </c>
      <c r="BQ321">
        <v>282</v>
      </c>
      <c r="BR321">
        <v>127</v>
      </c>
      <c r="BS321">
        <v>18029</v>
      </c>
      <c r="BT321">
        <v>69</v>
      </c>
      <c r="BU321">
        <v>0</v>
      </c>
      <c r="BV321">
        <v>4</v>
      </c>
      <c r="BW321">
        <v>13</v>
      </c>
      <c r="BY321">
        <v>17</v>
      </c>
      <c r="BZ321">
        <v>0</v>
      </c>
      <c r="CA321">
        <v>21982</v>
      </c>
      <c r="CB321">
        <v>15917</v>
      </c>
      <c r="CC321">
        <v>138908</v>
      </c>
      <c r="CD321">
        <v>267819</v>
      </c>
      <c r="CE321">
        <v>27779</v>
      </c>
      <c r="CF321">
        <v>47393</v>
      </c>
      <c r="CG321">
        <v>0</v>
      </c>
      <c r="CH321">
        <v>21</v>
      </c>
      <c r="CI321">
        <v>6</v>
      </c>
      <c r="CJ321">
        <v>22</v>
      </c>
      <c r="CQ321">
        <v>39</v>
      </c>
      <c r="CY321">
        <v>0</v>
      </c>
      <c r="CZ321">
        <v>0</v>
      </c>
      <c r="DA321">
        <v>0</v>
      </c>
      <c r="DB321">
        <v>16</v>
      </c>
      <c r="DC321">
        <v>0</v>
      </c>
      <c r="DD321">
        <v>29</v>
      </c>
      <c r="DE321">
        <f t="shared" si="77"/>
        <v>1039967</v>
      </c>
      <c r="DF321" s="1"/>
      <c r="DG321" s="1">
        <f t="shared" si="105"/>
        <v>705972</v>
      </c>
      <c r="DH321" s="1">
        <f t="shared" si="106"/>
        <v>271758</v>
      </c>
      <c r="DI321" s="1">
        <f t="shared" si="116"/>
        <v>977730</v>
      </c>
      <c r="DK321" s="1">
        <f t="shared" si="108"/>
        <v>57591</v>
      </c>
      <c r="DL321" s="1">
        <f t="shared" si="80"/>
        <v>152421</v>
      </c>
      <c r="DM321" s="1">
        <f t="shared" si="109"/>
        <v>11547</v>
      </c>
      <c r="DN321" s="1">
        <f t="shared" si="110"/>
        <v>50149</v>
      </c>
      <c r="DO321" s="1">
        <f t="shared" si="111"/>
        <v>457111</v>
      </c>
      <c r="DP321" s="1">
        <f t="shared" si="84"/>
        <v>97084</v>
      </c>
      <c r="DQ321" s="1">
        <f t="shared" si="91"/>
        <v>39</v>
      </c>
      <c r="DR321" s="1">
        <f t="shared" si="112"/>
        <v>15949</v>
      </c>
      <c r="DS321" s="1">
        <f t="shared" si="113"/>
        <v>75438</v>
      </c>
      <c r="DT321" s="1">
        <f t="shared" si="114"/>
        <v>13008</v>
      </c>
      <c r="DU321" s="1"/>
      <c r="DV321" s="1"/>
      <c r="DW321" s="1"/>
      <c r="DX321" s="1">
        <f t="shared" si="92"/>
        <v>930337</v>
      </c>
      <c r="DZ321" s="1">
        <f t="shared" si="93"/>
        <v>47393</v>
      </c>
      <c r="EA321" s="1">
        <f t="shared" si="115"/>
        <v>62237</v>
      </c>
      <c r="EC321" s="1">
        <f t="shared" si="94"/>
        <v>1039967</v>
      </c>
      <c r="ED321" s="1">
        <f t="shared" si="89"/>
        <v>0</v>
      </c>
      <c r="EE321" s="1"/>
    </row>
    <row r="322" spans="1:135" x14ac:dyDescent="0.25">
      <c r="A322" s="10">
        <v>42005</v>
      </c>
      <c r="B322">
        <v>0</v>
      </c>
      <c r="C322">
        <v>0</v>
      </c>
      <c r="D322">
        <v>0</v>
      </c>
      <c r="E322">
        <v>0</v>
      </c>
      <c r="F322">
        <v>173</v>
      </c>
      <c r="G322">
        <v>15897</v>
      </c>
      <c r="H322">
        <v>37610</v>
      </c>
      <c r="I322">
        <v>2273</v>
      </c>
      <c r="J322">
        <v>5602</v>
      </c>
      <c r="K322">
        <v>652</v>
      </c>
      <c r="L322">
        <v>23858</v>
      </c>
      <c r="M322">
        <v>1402</v>
      </c>
      <c r="N322" s="22">
        <v>0</v>
      </c>
      <c r="O322">
        <v>1221</v>
      </c>
      <c r="P322">
        <v>11794</v>
      </c>
      <c r="Q322">
        <v>285</v>
      </c>
      <c r="R322">
        <v>7335</v>
      </c>
      <c r="S322">
        <v>11536</v>
      </c>
      <c r="T322">
        <v>27</v>
      </c>
      <c r="U322">
        <v>1333</v>
      </c>
      <c r="V322">
        <v>195</v>
      </c>
      <c r="W322">
        <v>9980</v>
      </c>
      <c r="X322">
        <v>352</v>
      </c>
      <c r="Y322">
        <v>11</v>
      </c>
      <c r="Z322" s="144">
        <v>16</v>
      </c>
      <c r="AA322">
        <v>6</v>
      </c>
      <c r="AB322">
        <v>293</v>
      </c>
      <c r="AC322">
        <v>24</v>
      </c>
      <c r="AD322">
        <v>35</v>
      </c>
      <c r="AE322">
        <v>43</v>
      </c>
      <c r="AF322">
        <v>79</v>
      </c>
      <c r="AG322">
        <v>48</v>
      </c>
      <c r="AH322">
        <v>651</v>
      </c>
      <c r="AI322">
        <v>9</v>
      </c>
      <c r="AJ322">
        <v>13853</v>
      </c>
      <c r="AK322">
        <v>114090</v>
      </c>
      <c r="AL322">
        <v>2862</v>
      </c>
      <c r="AM322">
        <v>21738</v>
      </c>
      <c r="AN322">
        <v>15</v>
      </c>
      <c r="AO322">
        <v>2</v>
      </c>
      <c r="AP322">
        <v>0</v>
      </c>
      <c r="AQ322">
        <v>0</v>
      </c>
      <c r="AR322">
        <v>922</v>
      </c>
      <c r="AS322">
        <v>46</v>
      </c>
      <c r="AT322">
        <v>10415</v>
      </c>
      <c r="AU322">
        <v>2586</v>
      </c>
      <c r="AV322">
        <v>5137</v>
      </c>
      <c r="AW322">
        <v>16774</v>
      </c>
      <c r="AX322" s="144">
        <v>34</v>
      </c>
      <c r="AY322" s="144">
        <v>52</v>
      </c>
      <c r="AZ322" s="144">
        <v>968</v>
      </c>
      <c r="BA322" s="144">
        <v>0</v>
      </c>
      <c r="BB322">
        <v>225</v>
      </c>
      <c r="BC322">
        <v>412</v>
      </c>
      <c r="BD322">
        <v>0</v>
      </c>
      <c r="BE322">
        <v>0</v>
      </c>
      <c r="BF322">
        <v>7691</v>
      </c>
      <c r="BG322">
        <v>0</v>
      </c>
      <c r="BH322">
        <v>0</v>
      </c>
      <c r="BI322">
        <v>0</v>
      </c>
      <c r="BJ322">
        <v>64</v>
      </c>
      <c r="BK322">
        <v>5346</v>
      </c>
      <c r="BL322">
        <v>0</v>
      </c>
      <c r="BM322">
        <v>449</v>
      </c>
      <c r="BN322">
        <v>5</v>
      </c>
      <c r="BO322">
        <v>76649</v>
      </c>
      <c r="BP322">
        <v>77123</v>
      </c>
      <c r="BQ322">
        <v>292</v>
      </c>
      <c r="BR322">
        <v>129</v>
      </c>
      <c r="BS322">
        <v>19107</v>
      </c>
      <c r="BT322">
        <v>67</v>
      </c>
      <c r="BU322">
        <v>0</v>
      </c>
      <c r="BV322">
        <v>4</v>
      </c>
      <c r="BW322">
        <v>13</v>
      </c>
      <c r="BY322">
        <v>18</v>
      </c>
      <c r="BZ322">
        <v>0</v>
      </c>
      <c r="CA322">
        <v>21830</v>
      </c>
      <c r="CB322">
        <v>15890</v>
      </c>
      <c r="CC322">
        <v>137851</v>
      </c>
      <c r="CD322">
        <v>268156</v>
      </c>
      <c r="CE322">
        <v>28071</v>
      </c>
      <c r="CF322">
        <v>46690</v>
      </c>
      <c r="CG322">
        <v>0</v>
      </c>
      <c r="CH322">
        <v>24</v>
      </c>
      <c r="CI322">
        <v>5</v>
      </c>
      <c r="CJ322">
        <v>23</v>
      </c>
      <c r="CQ322">
        <v>53</v>
      </c>
      <c r="CY322">
        <v>0</v>
      </c>
      <c r="CZ322">
        <v>0</v>
      </c>
      <c r="DA322">
        <v>0</v>
      </c>
      <c r="DB322">
        <v>16</v>
      </c>
      <c r="DC322">
        <v>0</v>
      </c>
      <c r="DD322">
        <v>29</v>
      </c>
      <c r="DE322">
        <f t="shared" si="77"/>
        <v>1028421</v>
      </c>
      <c r="DF322" s="1"/>
      <c r="DG322" s="1">
        <f t="shared" si="105"/>
        <v>705995</v>
      </c>
      <c r="DH322" s="1">
        <f t="shared" si="106"/>
        <v>260219</v>
      </c>
      <c r="DI322" s="1">
        <f t="shared" si="116"/>
        <v>966214</v>
      </c>
      <c r="DK322" s="1">
        <f t="shared" si="108"/>
        <v>57430</v>
      </c>
      <c r="DL322" s="1">
        <f t="shared" si="80"/>
        <v>152591</v>
      </c>
      <c r="DM322" s="1">
        <f t="shared" si="109"/>
        <v>11536</v>
      </c>
      <c r="DN322" s="1">
        <f t="shared" si="110"/>
        <v>38593</v>
      </c>
      <c r="DO322" s="1">
        <f t="shared" si="111"/>
        <v>456549</v>
      </c>
      <c r="DP322" s="1">
        <f t="shared" si="84"/>
        <v>97143</v>
      </c>
      <c r="DQ322" s="1">
        <f t="shared" si="91"/>
        <v>53</v>
      </c>
      <c r="DR322" s="1">
        <f t="shared" si="112"/>
        <v>15930</v>
      </c>
      <c r="DS322" s="1">
        <f t="shared" si="113"/>
        <v>76649</v>
      </c>
      <c r="DT322" s="1">
        <f t="shared" si="114"/>
        <v>13050</v>
      </c>
      <c r="DU322" s="1"/>
      <c r="DV322" s="1"/>
      <c r="DW322" s="1"/>
      <c r="DX322" s="1">
        <f t="shared" si="92"/>
        <v>919524</v>
      </c>
      <c r="DZ322" s="1">
        <f t="shared" si="93"/>
        <v>46690</v>
      </c>
      <c r="EA322" s="1">
        <f t="shared" si="115"/>
        <v>62207</v>
      </c>
      <c r="EC322" s="1">
        <f t="shared" si="94"/>
        <v>1028421</v>
      </c>
      <c r="ED322" s="1">
        <f t="shared" si="89"/>
        <v>0</v>
      </c>
      <c r="EE322" s="1"/>
    </row>
    <row r="323" spans="1:135" x14ac:dyDescent="0.25">
      <c r="A323" s="10">
        <v>42036</v>
      </c>
      <c r="B323">
        <v>0</v>
      </c>
      <c r="C323">
        <v>0</v>
      </c>
      <c r="D323">
        <v>0</v>
      </c>
      <c r="E323">
        <v>0</v>
      </c>
      <c r="F323">
        <v>326</v>
      </c>
      <c r="G323">
        <v>16294</v>
      </c>
      <c r="H323">
        <v>37844</v>
      </c>
      <c r="I323">
        <v>2165</v>
      </c>
      <c r="J323">
        <v>5261</v>
      </c>
      <c r="K323">
        <v>535</v>
      </c>
      <c r="L323">
        <v>23801</v>
      </c>
      <c r="M323">
        <v>1375</v>
      </c>
      <c r="N323">
        <v>4</v>
      </c>
      <c r="O323">
        <v>1203</v>
      </c>
      <c r="P323">
        <v>11733</v>
      </c>
      <c r="Q323">
        <v>284</v>
      </c>
      <c r="R323">
        <v>7291</v>
      </c>
      <c r="S323">
        <v>11578</v>
      </c>
      <c r="T323">
        <v>27</v>
      </c>
      <c r="U323">
        <v>1372</v>
      </c>
      <c r="V323">
        <v>193</v>
      </c>
      <c r="W323">
        <v>10096</v>
      </c>
      <c r="X323">
        <v>353</v>
      </c>
      <c r="Y323">
        <v>11</v>
      </c>
      <c r="Z323" s="144">
        <v>15</v>
      </c>
      <c r="AA323">
        <v>5</v>
      </c>
      <c r="AB323">
        <v>286</v>
      </c>
      <c r="AC323">
        <v>24</v>
      </c>
      <c r="AD323">
        <v>39</v>
      </c>
      <c r="AE323">
        <v>41</v>
      </c>
      <c r="AF323">
        <v>80</v>
      </c>
      <c r="AG323">
        <v>51</v>
      </c>
      <c r="AH323">
        <v>674</v>
      </c>
      <c r="AI323">
        <v>9</v>
      </c>
      <c r="AJ323">
        <v>13959</v>
      </c>
      <c r="AK323">
        <v>114330</v>
      </c>
      <c r="AL323">
        <v>2857</v>
      </c>
      <c r="AM323">
        <v>21823</v>
      </c>
      <c r="AN323">
        <v>15</v>
      </c>
      <c r="AO323">
        <v>4</v>
      </c>
      <c r="AP323">
        <v>8423</v>
      </c>
      <c r="AQ323">
        <v>0</v>
      </c>
      <c r="AR323">
        <v>835</v>
      </c>
      <c r="AS323">
        <v>48</v>
      </c>
      <c r="AT323">
        <v>10536</v>
      </c>
      <c r="AU323">
        <v>2579</v>
      </c>
      <c r="AV323">
        <v>5155</v>
      </c>
      <c r="AW323">
        <v>16851</v>
      </c>
      <c r="AX323" s="144">
        <v>56</v>
      </c>
      <c r="AY323" s="144">
        <v>87</v>
      </c>
      <c r="AZ323" s="144">
        <v>969</v>
      </c>
      <c r="BA323" s="144">
        <v>0</v>
      </c>
      <c r="BB323">
        <v>221</v>
      </c>
      <c r="BC323">
        <v>455</v>
      </c>
      <c r="BD323">
        <v>0</v>
      </c>
      <c r="BE323">
        <v>0</v>
      </c>
      <c r="BF323">
        <v>7703</v>
      </c>
      <c r="BG323">
        <v>0</v>
      </c>
      <c r="BH323">
        <v>0</v>
      </c>
      <c r="BI323">
        <v>0</v>
      </c>
      <c r="BJ323">
        <v>70</v>
      </c>
      <c r="BK323">
        <v>5354</v>
      </c>
      <c r="BL323">
        <v>0</v>
      </c>
      <c r="BM323">
        <v>424</v>
      </c>
      <c r="BN323">
        <v>5</v>
      </c>
      <c r="BO323">
        <v>81157</v>
      </c>
      <c r="BP323">
        <v>77442</v>
      </c>
      <c r="BQ323">
        <v>265</v>
      </c>
      <c r="BR323">
        <v>142</v>
      </c>
      <c r="BS323">
        <v>20304</v>
      </c>
      <c r="BT323">
        <v>65</v>
      </c>
      <c r="BU323">
        <v>0</v>
      </c>
      <c r="BV323">
        <v>4</v>
      </c>
      <c r="BW323">
        <v>12</v>
      </c>
      <c r="BX323">
        <v>112</v>
      </c>
      <c r="BY323">
        <v>14</v>
      </c>
      <c r="BZ323">
        <v>0</v>
      </c>
      <c r="CA323">
        <v>22060</v>
      </c>
      <c r="CB323">
        <v>16379</v>
      </c>
      <c r="CC323">
        <v>138725</v>
      </c>
      <c r="CD323">
        <v>271765</v>
      </c>
      <c r="CE323">
        <v>28501</v>
      </c>
      <c r="CF323">
        <v>46946</v>
      </c>
      <c r="CG323">
        <v>0</v>
      </c>
      <c r="CH323">
        <v>25</v>
      </c>
      <c r="CI323">
        <v>6</v>
      </c>
      <c r="CJ323">
        <v>18</v>
      </c>
      <c r="CQ323">
        <v>71</v>
      </c>
      <c r="CY323">
        <v>0</v>
      </c>
      <c r="CZ323">
        <v>0</v>
      </c>
      <c r="DA323">
        <v>0</v>
      </c>
      <c r="DB323">
        <v>16</v>
      </c>
      <c r="DC323">
        <v>0</v>
      </c>
      <c r="DD323">
        <v>29</v>
      </c>
      <c r="DE323">
        <f t="shared" si="77"/>
        <v>1049742</v>
      </c>
      <c r="DF323" s="1"/>
      <c r="DG323" s="1">
        <f t="shared" si="105"/>
        <v>718096</v>
      </c>
      <c r="DH323" s="1">
        <f t="shared" si="106"/>
        <v>269217</v>
      </c>
      <c r="DI323" s="1">
        <f t="shared" si="116"/>
        <v>987313</v>
      </c>
      <c r="DK323" s="1">
        <f t="shared" si="108"/>
        <v>57375</v>
      </c>
      <c r="DL323" s="1">
        <f t="shared" si="80"/>
        <v>152997</v>
      </c>
      <c r="DM323" s="1">
        <f t="shared" si="109"/>
        <v>11578</v>
      </c>
      <c r="DN323" s="1">
        <f t="shared" si="110"/>
        <v>47181</v>
      </c>
      <c r="DO323" s="1">
        <f t="shared" si="111"/>
        <v>461696</v>
      </c>
      <c r="DP323" s="1">
        <f t="shared" si="84"/>
        <v>98712</v>
      </c>
      <c r="DQ323" s="1">
        <f t="shared" si="91"/>
        <v>183</v>
      </c>
      <c r="DR323" s="1">
        <f t="shared" si="112"/>
        <v>16419</v>
      </c>
      <c r="DS323" s="1">
        <f t="shared" si="113"/>
        <v>81157</v>
      </c>
      <c r="DT323" s="1">
        <f t="shared" si="114"/>
        <v>13069</v>
      </c>
      <c r="DU323" s="1"/>
      <c r="DV323" s="1"/>
      <c r="DW323" s="1"/>
      <c r="DX323" s="1">
        <f t="shared" si="92"/>
        <v>940367</v>
      </c>
      <c r="DZ323" s="1">
        <f t="shared" si="93"/>
        <v>46946</v>
      </c>
      <c r="EA323" s="1">
        <f t="shared" si="115"/>
        <v>62429</v>
      </c>
      <c r="EC323" s="1">
        <f t="shared" si="94"/>
        <v>1049742</v>
      </c>
      <c r="ED323" s="1">
        <f t="shared" si="89"/>
        <v>0</v>
      </c>
      <c r="EE323" s="1"/>
    </row>
    <row r="324" spans="1:135" x14ac:dyDescent="0.25">
      <c r="A324" s="10">
        <v>42064</v>
      </c>
      <c r="B324">
        <v>0</v>
      </c>
      <c r="C324">
        <v>0</v>
      </c>
      <c r="D324">
        <v>0</v>
      </c>
      <c r="E324">
        <v>0</v>
      </c>
      <c r="F324">
        <v>493</v>
      </c>
      <c r="G324">
        <v>16228</v>
      </c>
      <c r="H324">
        <v>37790</v>
      </c>
      <c r="I324">
        <v>1964</v>
      </c>
      <c r="J324">
        <v>4820</v>
      </c>
      <c r="K324">
        <v>420</v>
      </c>
      <c r="L324">
        <v>23730</v>
      </c>
      <c r="M324">
        <v>1378</v>
      </c>
      <c r="N324">
        <v>17</v>
      </c>
      <c r="O324">
        <v>1164</v>
      </c>
      <c r="P324">
        <v>11658</v>
      </c>
      <c r="Q324">
        <v>284</v>
      </c>
      <c r="R324">
        <v>7230</v>
      </c>
      <c r="S324">
        <v>11562</v>
      </c>
      <c r="T324">
        <v>24</v>
      </c>
      <c r="U324">
        <v>1405</v>
      </c>
      <c r="V324">
        <v>189</v>
      </c>
      <c r="W324">
        <v>10172</v>
      </c>
      <c r="X324">
        <v>352</v>
      </c>
      <c r="Y324">
        <v>11</v>
      </c>
      <c r="Z324" s="144">
        <v>9</v>
      </c>
      <c r="AA324">
        <v>4</v>
      </c>
      <c r="AB324">
        <v>286</v>
      </c>
      <c r="AC324">
        <v>23</v>
      </c>
      <c r="AD324">
        <v>38</v>
      </c>
      <c r="AE324">
        <v>42</v>
      </c>
      <c r="AF324">
        <v>76</v>
      </c>
      <c r="AG324">
        <v>50</v>
      </c>
      <c r="AH324">
        <v>698</v>
      </c>
      <c r="AI324">
        <v>9</v>
      </c>
      <c r="AJ324">
        <v>13959</v>
      </c>
      <c r="AK324">
        <v>114481</v>
      </c>
      <c r="AL324">
        <v>2829</v>
      </c>
      <c r="AM324">
        <v>21897</v>
      </c>
      <c r="AN324">
        <v>17</v>
      </c>
      <c r="AO324">
        <v>6</v>
      </c>
      <c r="AP324">
        <v>9339</v>
      </c>
      <c r="AQ324">
        <v>0</v>
      </c>
      <c r="AR324">
        <v>833</v>
      </c>
      <c r="AS324">
        <v>46</v>
      </c>
      <c r="AT324">
        <v>10590</v>
      </c>
      <c r="AU324">
        <v>2593</v>
      </c>
      <c r="AV324">
        <v>5164</v>
      </c>
      <c r="AW324">
        <v>16876</v>
      </c>
      <c r="AX324" s="144">
        <v>38</v>
      </c>
      <c r="AY324" s="144">
        <v>66</v>
      </c>
      <c r="AZ324" s="144">
        <v>962</v>
      </c>
      <c r="BA324" s="144">
        <v>0</v>
      </c>
      <c r="BB324">
        <v>212</v>
      </c>
      <c r="BC324">
        <v>476</v>
      </c>
      <c r="BD324">
        <v>0</v>
      </c>
      <c r="BE324">
        <v>0</v>
      </c>
      <c r="BF324">
        <v>7704</v>
      </c>
      <c r="BG324">
        <v>0</v>
      </c>
      <c r="BH324">
        <v>0</v>
      </c>
      <c r="BI324">
        <v>0</v>
      </c>
      <c r="BJ324">
        <v>75</v>
      </c>
      <c r="BK324">
        <v>5320</v>
      </c>
      <c r="BL324">
        <v>0</v>
      </c>
      <c r="BM324">
        <v>386</v>
      </c>
      <c r="BN324">
        <v>3</v>
      </c>
      <c r="BO324">
        <v>86313</v>
      </c>
      <c r="BP324">
        <v>76978</v>
      </c>
      <c r="BQ324">
        <v>263</v>
      </c>
      <c r="BR324">
        <v>133</v>
      </c>
      <c r="BS324">
        <v>21317</v>
      </c>
      <c r="BT324">
        <v>67</v>
      </c>
      <c r="BU324">
        <v>1</v>
      </c>
      <c r="BV324">
        <v>5</v>
      </c>
      <c r="BW324">
        <v>11</v>
      </c>
      <c r="BX324">
        <v>696</v>
      </c>
      <c r="BY324">
        <v>15</v>
      </c>
      <c r="BZ324">
        <v>0</v>
      </c>
      <c r="CA324">
        <v>22118</v>
      </c>
      <c r="CB324">
        <v>16112</v>
      </c>
      <c r="CC324">
        <v>138906</v>
      </c>
      <c r="CD324">
        <v>273308</v>
      </c>
      <c r="CE324">
        <v>28580</v>
      </c>
      <c r="CF324">
        <v>47065</v>
      </c>
      <c r="CG324">
        <v>0</v>
      </c>
      <c r="CH324">
        <v>26</v>
      </c>
      <c r="CI324">
        <v>5</v>
      </c>
      <c r="CJ324">
        <v>17</v>
      </c>
      <c r="CQ324">
        <v>86</v>
      </c>
      <c r="CY324">
        <v>0</v>
      </c>
      <c r="CZ324">
        <v>0</v>
      </c>
      <c r="DA324">
        <v>0</v>
      </c>
      <c r="DB324">
        <v>15</v>
      </c>
      <c r="DC324">
        <v>0</v>
      </c>
      <c r="DD324">
        <v>28</v>
      </c>
      <c r="DE324">
        <f t="shared" ref="DE324:DE387" si="117">SUM(B324:CX324)</f>
        <v>1058020</v>
      </c>
      <c r="DF324" s="1"/>
      <c r="DG324" s="1">
        <f t="shared" si="105"/>
        <v>726004</v>
      </c>
      <c r="DH324" s="1">
        <f t="shared" si="106"/>
        <v>270284</v>
      </c>
      <c r="DI324" s="1">
        <f t="shared" si="116"/>
        <v>996288</v>
      </c>
      <c r="DK324" s="1">
        <f t="shared" si="108"/>
        <v>57234</v>
      </c>
      <c r="DL324" s="1">
        <f t="shared" ref="DL324:DL387" si="118">SUM(X324:Y324,AA324:AE324,AG324:AL324,AN324,AR324:AV324,AZ324:BB324)</f>
        <v>153199</v>
      </c>
      <c r="DM324" s="1">
        <f t="shared" si="109"/>
        <v>11562</v>
      </c>
      <c r="DN324" s="1">
        <f t="shared" si="110"/>
        <v>48194</v>
      </c>
      <c r="DO324" s="1">
        <f t="shared" si="111"/>
        <v>463533</v>
      </c>
      <c r="DP324" s="1">
        <f t="shared" ref="DP324:DP387" si="119">SUM(AY324,BC324:BD324,BG324,BM324,BP324,BS324)</f>
        <v>99223</v>
      </c>
      <c r="DQ324" s="1">
        <f t="shared" si="91"/>
        <v>782</v>
      </c>
      <c r="DR324" s="1">
        <f t="shared" si="112"/>
        <v>16147</v>
      </c>
      <c r="DS324" s="1">
        <f t="shared" si="113"/>
        <v>86314</v>
      </c>
      <c r="DT324" s="1">
        <f t="shared" si="114"/>
        <v>13035</v>
      </c>
      <c r="DU324" s="1"/>
      <c r="DV324" s="1"/>
      <c r="DW324" s="1"/>
      <c r="DX324" s="1">
        <f t="shared" si="92"/>
        <v>949223</v>
      </c>
      <c r="DZ324" s="1">
        <f t="shared" si="93"/>
        <v>47065</v>
      </c>
      <c r="EA324" s="1">
        <f t="shared" si="115"/>
        <v>61732</v>
      </c>
      <c r="EC324" s="1">
        <f t="shared" si="94"/>
        <v>1058020</v>
      </c>
      <c r="ED324" s="1">
        <f t="shared" ref="ED324:ED387" si="120">EC324-DE324</f>
        <v>0</v>
      </c>
      <c r="EE324" s="1"/>
    </row>
    <row r="325" spans="1:135" x14ac:dyDescent="0.25">
      <c r="A325" s="10">
        <v>42095</v>
      </c>
      <c r="B325">
        <v>0</v>
      </c>
      <c r="C325">
        <v>0</v>
      </c>
      <c r="D325">
        <v>0</v>
      </c>
      <c r="E325">
        <v>0</v>
      </c>
      <c r="F325">
        <v>658</v>
      </c>
      <c r="G325">
        <v>16165</v>
      </c>
      <c r="H325">
        <v>37360</v>
      </c>
      <c r="I325">
        <v>1743</v>
      </c>
      <c r="J325">
        <v>4400</v>
      </c>
      <c r="K325">
        <v>325</v>
      </c>
      <c r="L325">
        <v>23698</v>
      </c>
      <c r="M325">
        <v>1372</v>
      </c>
      <c r="N325">
        <v>34</v>
      </c>
      <c r="O325">
        <v>1172</v>
      </c>
      <c r="P325">
        <v>11704</v>
      </c>
      <c r="Q325">
        <v>280</v>
      </c>
      <c r="R325">
        <v>7215</v>
      </c>
      <c r="S325">
        <v>11574</v>
      </c>
      <c r="T325">
        <v>26</v>
      </c>
      <c r="U325">
        <v>1470</v>
      </c>
      <c r="V325">
        <v>198</v>
      </c>
      <c r="W325">
        <v>10338</v>
      </c>
      <c r="X325">
        <v>348</v>
      </c>
      <c r="Y325">
        <v>12</v>
      </c>
      <c r="Z325" s="144">
        <v>11</v>
      </c>
      <c r="AA325">
        <v>3</v>
      </c>
      <c r="AB325">
        <v>281</v>
      </c>
      <c r="AC325">
        <v>24</v>
      </c>
      <c r="AD325">
        <v>37</v>
      </c>
      <c r="AE325">
        <v>40</v>
      </c>
      <c r="AF325">
        <v>75</v>
      </c>
      <c r="AG325">
        <v>52</v>
      </c>
      <c r="AH325">
        <v>722</v>
      </c>
      <c r="AI325">
        <v>10</v>
      </c>
      <c r="AJ325">
        <v>14055</v>
      </c>
      <c r="AK325">
        <v>114805</v>
      </c>
      <c r="AL325">
        <v>2820</v>
      </c>
      <c r="AM325">
        <v>21952</v>
      </c>
      <c r="AN325">
        <v>19</v>
      </c>
      <c r="AO325">
        <v>10</v>
      </c>
      <c r="AP325">
        <v>9906</v>
      </c>
      <c r="AQ325">
        <v>0</v>
      </c>
      <c r="AR325">
        <v>863</v>
      </c>
      <c r="AS325">
        <v>47</v>
      </c>
      <c r="AT325">
        <v>10682</v>
      </c>
      <c r="AU325">
        <v>2616</v>
      </c>
      <c r="AV325">
        <v>5217</v>
      </c>
      <c r="AW325">
        <v>16912</v>
      </c>
      <c r="AX325" s="144">
        <v>56</v>
      </c>
      <c r="AY325" s="144">
        <v>71</v>
      </c>
      <c r="AZ325" s="144">
        <v>987</v>
      </c>
      <c r="BA325" s="144">
        <v>0</v>
      </c>
      <c r="BB325">
        <v>211</v>
      </c>
      <c r="BC325">
        <v>504</v>
      </c>
      <c r="BD325">
        <v>0</v>
      </c>
      <c r="BE325">
        <v>0</v>
      </c>
      <c r="BF325">
        <v>7727</v>
      </c>
      <c r="BG325">
        <v>0</v>
      </c>
      <c r="BH325">
        <v>0</v>
      </c>
      <c r="BI325">
        <v>0</v>
      </c>
      <c r="BJ325">
        <v>76</v>
      </c>
      <c r="BK325">
        <v>5315</v>
      </c>
      <c r="BL325">
        <v>1</v>
      </c>
      <c r="BM325">
        <v>404</v>
      </c>
      <c r="BN325">
        <v>3</v>
      </c>
      <c r="BO325">
        <v>91901</v>
      </c>
      <c r="BP325">
        <v>77743</v>
      </c>
      <c r="BQ325">
        <v>240</v>
      </c>
      <c r="BR325">
        <v>139</v>
      </c>
      <c r="BS325">
        <v>22456</v>
      </c>
      <c r="BT325">
        <v>69</v>
      </c>
      <c r="BU325">
        <v>1</v>
      </c>
      <c r="BV325">
        <v>2</v>
      </c>
      <c r="BW325">
        <v>12</v>
      </c>
      <c r="BX325">
        <v>1671</v>
      </c>
      <c r="BY325">
        <v>17</v>
      </c>
      <c r="BZ325">
        <v>0</v>
      </c>
      <c r="CA325">
        <v>22319</v>
      </c>
      <c r="CB325">
        <v>16330</v>
      </c>
      <c r="CC325">
        <v>140498</v>
      </c>
      <c r="CD325">
        <v>276617</v>
      </c>
      <c r="CE325">
        <v>29293</v>
      </c>
      <c r="CF325">
        <v>47507</v>
      </c>
      <c r="CG325">
        <v>0</v>
      </c>
      <c r="CH325">
        <v>26</v>
      </c>
      <c r="CI325">
        <v>6</v>
      </c>
      <c r="CJ325">
        <v>19</v>
      </c>
      <c r="CQ325">
        <v>97</v>
      </c>
      <c r="CY325">
        <v>0</v>
      </c>
      <c r="CZ325">
        <v>0</v>
      </c>
      <c r="DA325">
        <v>0</v>
      </c>
      <c r="DB325">
        <v>15</v>
      </c>
      <c r="DC325">
        <v>0</v>
      </c>
      <c r="DD325">
        <v>28</v>
      </c>
      <c r="DE325">
        <f t="shared" si="117"/>
        <v>1073569</v>
      </c>
      <c r="DF325" s="1"/>
      <c r="DG325" s="1">
        <f t="shared" si="105"/>
        <v>741023</v>
      </c>
      <c r="DH325" s="1">
        <f t="shared" si="106"/>
        <v>271861</v>
      </c>
      <c r="DI325" s="1">
        <f t="shared" si="116"/>
        <v>1012884</v>
      </c>
      <c r="DJ325" s="1"/>
      <c r="DK325" s="1">
        <f t="shared" si="108"/>
        <v>57473</v>
      </c>
      <c r="DL325" s="1">
        <f t="shared" si="118"/>
        <v>153851</v>
      </c>
      <c r="DM325" s="1">
        <f t="shared" si="109"/>
        <v>11574</v>
      </c>
      <c r="DN325" s="1">
        <f t="shared" si="110"/>
        <v>48855</v>
      </c>
      <c r="DO325" s="1">
        <f t="shared" si="111"/>
        <v>469354</v>
      </c>
      <c r="DP325" s="1">
        <f t="shared" si="119"/>
        <v>101178</v>
      </c>
      <c r="DQ325" s="1">
        <f t="shared" ref="DQ325:DQ388" si="121">SUM(BX325,CQ325,CR325,CW325,CX325)</f>
        <v>1768</v>
      </c>
      <c r="DR325" s="1">
        <f t="shared" si="112"/>
        <v>16367</v>
      </c>
      <c r="DS325" s="1">
        <f t="shared" si="113"/>
        <v>91902</v>
      </c>
      <c r="DT325" s="1">
        <f t="shared" si="114"/>
        <v>13055</v>
      </c>
      <c r="DU325" s="1"/>
      <c r="DV325" s="1"/>
      <c r="DW325" s="1"/>
      <c r="DX325" s="1">
        <f t="shared" ref="DX325:DX388" si="122">SUM(DK325:DW325)</f>
        <v>965377</v>
      </c>
      <c r="DZ325" s="1">
        <f t="shared" ref="DZ325:DZ388" si="123">CF325</f>
        <v>47507</v>
      </c>
      <c r="EA325" s="1">
        <f t="shared" si="115"/>
        <v>60685</v>
      </c>
      <c r="EC325" s="1">
        <f t="shared" ref="EC325:EC388" si="124">DX325+EA325+DZ325</f>
        <v>1073569</v>
      </c>
      <c r="ED325" s="1">
        <f t="shared" si="120"/>
        <v>0</v>
      </c>
      <c r="EE325" s="1"/>
    </row>
    <row r="326" spans="1:135" x14ac:dyDescent="0.25">
      <c r="A326" s="10">
        <v>42125</v>
      </c>
      <c r="B326">
        <v>0</v>
      </c>
      <c r="C326">
        <v>0</v>
      </c>
      <c r="D326">
        <v>0</v>
      </c>
      <c r="E326">
        <v>0</v>
      </c>
      <c r="F326">
        <v>807</v>
      </c>
      <c r="G326">
        <v>15843</v>
      </c>
      <c r="H326">
        <v>36146</v>
      </c>
      <c r="I326">
        <v>1552</v>
      </c>
      <c r="J326">
        <v>3773</v>
      </c>
      <c r="K326">
        <v>276</v>
      </c>
      <c r="L326">
        <v>23592</v>
      </c>
      <c r="M326">
        <v>1366</v>
      </c>
      <c r="N326">
        <v>55</v>
      </c>
      <c r="O326">
        <v>1136</v>
      </c>
      <c r="P326">
        <v>11670</v>
      </c>
      <c r="Q326">
        <v>277</v>
      </c>
      <c r="R326">
        <v>7139</v>
      </c>
      <c r="S326">
        <v>11572</v>
      </c>
      <c r="T326">
        <v>27</v>
      </c>
      <c r="U326">
        <v>1507</v>
      </c>
      <c r="V326">
        <v>186</v>
      </c>
      <c r="W326">
        <v>10457</v>
      </c>
      <c r="X326">
        <v>350</v>
      </c>
      <c r="Y326">
        <v>12</v>
      </c>
      <c r="Z326" s="144">
        <v>15</v>
      </c>
      <c r="AA326">
        <v>3</v>
      </c>
      <c r="AB326">
        <v>274</v>
      </c>
      <c r="AC326">
        <v>24</v>
      </c>
      <c r="AD326">
        <v>38</v>
      </c>
      <c r="AE326">
        <v>40</v>
      </c>
      <c r="AF326">
        <v>74</v>
      </c>
      <c r="AG326">
        <v>58</v>
      </c>
      <c r="AH326">
        <v>741</v>
      </c>
      <c r="AI326">
        <v>12</v>
      </c>
      <c r="AJ326">
        <v>14061</v>
      </c>
      <c r="AK326">
        <v>114860</v>
      </c>
      <c r="AL326">
        <v>2830</v>
      </c>
      <c r="AM326">
        <v>21990</v>
      </c>
      <c r="AN326">
        <v>17</v>
      </c>
      <c r="AO326">
        <v>5</v>
      </c>
      <c r="AP326">
        <v>10286</v>
      </c>
      <c r="AQ326">
        <v>0</v>
      </c>
      <c r="AR326">
        <v>886</v>
      </c>
      <c r="AS326">
        <v>48</v>
      </c>
      <c r="AT326">
        <v>10793</v>
      </c>
      <c r="AU326">
        <v>2615</v>
      </c>
      <c r="AV326">
        <v>5176</v>
      </c>
      <c r="AW326">
        <v>16982</v>
      </c>
      <c r="AX326" s="144">
        <v>30</v>
      </c>
      <c r="AY326" s="144">
        <v>50</v>
      </c>
      <c r="AZ326" s="144">
        <v>993</v>
      </c>
      <c r="BA326" s="144">
        <v>0</v>
      </c>
      <c r="BB326">
        <v>224</v>
      </c>
      <c r="BC326">
        <v>524</v>
      </c>
      <c r="BD326">
        <v>0</v>
      </c>
      <c r="BE326">
        <v>0</v>
      </c>
      <c r="BF326">
        <v>7714</v>
      </c>
      <c r="BG326">
        <v>0</v>
      </c>
      <c r="BH326">
        <v>0</v>
      </c>
      <c r="BI326">
        <v>0</v>
      </c>
      <c r="BJ326">
        <v>76</v>
      </c>
      <c r="BK326">
        <v>5328</v>
      </c>
      <c r="BL326">
        <v>0</v>
      </c>
      <c r="BM326">
        <v>375</v>
      </c>
      <c r="BN326">
        <v>3</v>
      </c>
      <c r="BO326">
        <v>96147</v>
      </c>
      <c r="BP326">
        <v>77853</v>
      </c>
      <c r="BQ326">
        <v>238</v>
      </c>
      <c r="BR326">
        <v>144</v>
      </c>
      <c r="BS326">
        <v>22951</v>
      </c>
      <c r="BT326">
        <v>71</v>
      </c>
      <c r="BU326">
        <v>4</v>
      </c>
      <c r="BV326">
        <v>3</v>
      </c>
      <c r="BW326">
        <v>12</v>
      </c>
      <c r="BX326">
        <v>2464</v>
      </c>
      <c r="BY326">
        <v>15</v>
      </c>
      <c r="BZ326">
        <v>0</v>
      </c>
      <c r="CA326">
        <v>22636</v>
      </c>
      <c r="CB326">
        <v>16705</v>
      </c>
      <c r="CC326">
        <v>141192</v>
      </c>
      <c r="CD326">
        <v>278433</v>
      </c>
      <c r="CE326">
        <v>29597</v>
      </c>
      <c r="CF326">
        <v>48182</v>
      </c>
      <c r="CG326">
        <v>0</v>
      </c>
      <c r="CH326">
        <v>22</v>
      </c>
      <c r="CI326">
        <v>5</v>
      </c>
      <c r="CJ326">
        <v>20</v>
      </c>
      <c r="CQ326">
        <v>112</v>
      </c>
      <c r="CR326">
        <v>1</v>
      </c>
      <c r="CY326">
        <v>0</v>
      </c>
      <c r="CZ326">
        <v>0</v>
      </c>
      <c r="DA326">
        <v>0</v>
      </c>
      <c r="DB326">
        <v>15</v>
      </c>
      <c r="DC326">
        <v>0</v>
      </c>
      <c r="DD326">
        <v>28</v>
      </c>
      <c r="DE326">
        <f t="shared" si="117"/>
        <v>1081695</v>
      </c>
      <c r="DF326" s="1"/>
      <c r="DG326" s="1">
        <f t="shared" si="105"/>
        <v>750794</v>
      </c>
      <c r="DH326" s="1">
        <f t="shared" si="106"/>
        <v>272449</v>
      </c>
      <c r="DI326" s="1">
        <f t="shared" si="116"/>
        <v>1023243</v>
      </c>
      <c r="DK326" s="1">
        <f t="shared" si="108"/>
        <v>57357</v>
      </c>
      <c r="DL326" s="1">
        <f t="shared" si="118"/>
        <v>154055</v>
      </c>
      <c r="DM326" s="1">
        <f t="shared" si="109"/>
        <v>11572</v>
      </c>
      <c r="DN326" s="1">
        <f t="shared" si="110"/>
        <v>49337</v>
      </c>
      <c r="DO326" s="1">
        <f t="shared" si="111"/>
        <v>472463</v>
      </c>
      <c r="DP326" s="1">
        <f t="shared" si="119"/>
        <v>101753</v>
      </c>
      <c r="DQ326" s="1">
        <f t="shared" si="121"/>
        <v>2577</v>
      </c>
      <c r="DR326" s="1">
        <f t="shared" si="112"/>
        <v>16742</v>
      </c>
      <c r="DS326" s="1">
        <f t="shared" si="113"/>
        <v>96151</v>
      </c>
      <c r="DT326" s="1">
        <f t="shared" si="114"/>
        <v>13054</v>
      </c>
      <c r="DU326" s="1"/>
      <c r="DV326" s="1"/>
      <c r="DW326" s="1"/>
      <c r="DX326" s="1">
        <f t="shared" si="122"/>
        <v>975061</v>
      </c>
      <c r="DZ326" s="1">
        <f t="shared" si="123"/>
        <v>48182</v>
      </c>
      <c r="EA326" s="1">
        <f t="shared" si="115"/>
        <v>58452</v>
      </c>
      <c r="EC326" s="1">
        <f t="shared" si="124"/>
        <v>1081695</v>
      </c>
      <c r="ED326" s="1">
        <f t="shared" si="120"/>
        <v>0</v>
      </c>
      <c r="EE326" s="1"/>
    </row>
    <row r="327" spans="1:135" x14ac:dyDescent="0.25">
      <c r="A327" s="10">
        <v>42156</v>
      </c>
      <c r="B327">
        <v>0</v>
      </c>
      <c r="C327">
        <v>0</v>
      </c>
      <c r="D327">
        <v>0</v>
      </c>
      <c r="E327">
        <v>0</v>
      </c>
      <c r="F327">
        <v>885</v>
      </c>
      <c r="G327">
        <v>15800</v>
      </c>
      <c r="H327">
        <v>36089</v>
      </c>
      <c r="I327">
        <v>1421</v>
      </c>
      <c r="J327">
        <v>3418</v>
      </c>
      <c r="K327">
        <v>249</v>
      </c>
      <c r="L327">
        <v>23526</v>
      </c>
      <c r="M327">
        <v>1359</v>
      </c>
      <c r="N327">
        <v>76</v>
      </c>
      <c r="O327">
        <v>1124</v>
      </c>
      <c r="P327">
        <v>11577</v>
      </c>
      <c r="Q327">
        <v>274</v>
      </c>
      <c r="R327">
        <v>7076</v>
      </c>
      <c r="S327">
        <v>11540</v>
      </c>
      <c r="T327">
        <v>32</v>
      </c>
      <c r="U327">
        <v>1573</v>
      </c>
      <c r="V327">
        <v>186</v>
      </c>
      <c r="W327">
        <v>10447</v>
      </c>
      <c r="X327">
        <v>350</v>
      </c>
      <c r="Y327">
        <v>12</v>
      </c>
      <c r="Z327" s="144">
        <v>10</v>
      </c>
      <c r="AA327">
        <v>3</v>
      </c>
      <c r="AB327">
        <v>268</v>
      </c>
      <c r="AC327">
        <v>23</v>
      </c>
      <c r="AD327">
        <v>39</v>
      </c>
      <c r="AE327">
        <v>35</v>
      </c>
      <c r="AF327">
        <v>77</v>
      </c>
      <c r="AG327">
        <v>58</v>
      </c>
      <c r="AH327">
        <v>769</v>
      </c>
      <c r="AI327">
        <v>13</v>
      </c>
      <c r="AJ327">
        <v>14021</v>
      </c>
      <c r="AK327">
        <v>114789</v>
      </c>
      <c r="AL327">
        <v>2814</v>
      </c>
      <c r="AM327">
        <v>21928</v>
      </c>
      <c r="AN327">
        <v>17</v>
      </c>
      <c r="AO327">
        <v>5</v>
      </c>
      <c r="AP327">
        <v>10553</v>
      </c>
      <c r="AQ327">
        <v>0</v>
      </c>
      <c r="AR327">
        <v>915</v>
      </c>
      <c r="AS327">
        <v>47</v>
      </c>
      <c r="AT327">
        <v>10906</v>
      </c>
      <c r="AU327">
        <v>2628</v>
      </c>
      <c r="AV327">
        <v>5180</v>
      </c>
      <c r="AW327">
        <v>16948</v>
      </c>
      <c r="AX327" s="144">
        <v>27</v>
      </c>
      <c r="AY327" s="144">
        <v>33</v>
      </c>
      <c r="AZ327" s="144">
        <v>994</v>
      </c>
      <c r="BA327" s="144">
        <v>0</v>
      </c>
      <c r="BB327">
        <v>228</v>
      </c>
      <c r="BC327">
        <v>544</v>
      </c>
      <c r="BD327">
        <v>0</v>
      </c>
      <c r="BE327">
        <v>0</v>
      </c>
      <c r="BF327">
        <v>7701</v>
      </c>
      <c r="BG327">
        <v>0</v>
      </c>
      <c r="BH327">
        <v>0</v>
      </c>
      <c r="BI327">
        <v>0</v>
      </c>
      <c r="BJ327">
        <v>75</v>
      </c>
      <c r="BK327">
        <v>5340</v>
      </c>
      <c r="BL327">
        <v>0</v>
      </c>
      <c r="BM327">
        <v>333</v>
      </c>
      <c r="BN327">
        <v>3</v>
      </c>
      <c r="BO327">
        <v>99698</v>
      </c>
      <c r="BP327">
        <v>77930</v>
      </c>
      <c r="BQ327">
        <v>227</v>
      </c>
      <c r="BR327">
        <v>134</v>
      </c>
      <c r="BS327">
        <v>23092</v>
      </c>
      <c r="BT327">
        <v>78</v>
      </c>
      <c r="BU327">
        <v>0</v>
      </c>
      <c r="BV327">
        <v>3</v>
      </c>
      <c r="BW327">
        <v>12</v>
      </c>
      <c r="BX327">
        <v>3154</v>
      </c>
      <c r="BY327">
        <v>14</v>
      </c>
      <c r="BZ327">
        <v>0</v>
      </c>
      <c r="CA327">
        <v>22991</v>
      </c>
      <c r="CB327">
        <v>16531</v>
      </c>
      <c r="CC327">
        <v>141319</v>
      </c>
      <c r="CD327">
        <v>280510</v>
      </c>
      <c r="CE327">
        <v>29361</v>
      </c>
      <c r="CF327">
        <v>48765</v>
      </c>
      <c r="CG327">
        <v>0</v>
      </c>
      <c r="CH327">
        <v>26</v>
      </c>
      <c r="CI327">
        <v>4</v>
      </c>
      <c r="CJ327">
        <v>21</v>
      </c>
      <c r="CQ327">
        <v>117</v>
      </c>
      <c r="CR327">
        <v>0</v>
      </c>
      <c r="CY327">
        <v>0</v>
      </c>
      <c r="CZ327">
        <v>0</v>
      </c>
      <c r="DA327">
        <v>0</v>
      </c>
      <c r="DB327">
        <v>15</v>
      </c>
      <c r="DC327">
        <v>0</v>
      </c>
      <c r="DD327">
        <v>28</v>
      </c>
      <c r="DE327">
        <f t="shared" si="117"/>
        <v>1088325</v>
      </c>
      <c r="DF327" s="1"/>
      <c r="DG327" s="1">
        <f t="shared" si="105"/>
        <v>757926</v>
      </c>
      <c r="DH327" s="1">
        <f t="shared" si="106"/>
        <v>272461</v>
      </c>
      <c r="DI327" s="1">
        <f t="shared" si="116"/>
        <v>1030387</v>
      </c>
      <c r="DK327" s="1">
        <f t="shared" si="108"/>
        <v>57174</v>
      </c>
      <c r="DL327" s="1">
        <f t="shared" si="118"/>
        <v>154109</v>
      </c>
      <c r="DM327" s="1">
        <f t="shared" si="109"/>
        <v>11540</v>
      </c>
      <c r="DN327" s="1">
        <f t="shared" si="110"/>
        <v>49511</v>
      </c>
      <c r="DO327" s="1">
        <f t="shared" si="111"/>
        <v>474767</v>
      </c>
      <c r="DP327" s="1">
        <f t="shared" si="119"/>
        <v>101932</v>
      </c>
      <c r="DQ327" s="1">
        <f t="shared" si="121"/>
        <v>3271</v>
      </c>
      <c r="DR327" s="1">
        <f t="shared" si="112"/>
        <v>16567</v>
      </c>
      <c r="DS327" s="1">
        <f t="shared" si="113"/>
        <v>99698</v>
      </c>
      <c r="DT327" s="1">
        <f t="shared" si="114"/>
        <v>13053</v>
      </c>
      <c r="DU327" s="1"/>
      <c r="DV327" s="1"/>
      <c r="DW327" s="1"/>
      <c r="DX327" s="1">
        <f t="shared" si="122"/>
        <v>981622</v>
      </c>
      <c r="DZ327" s="1">
        <f t="shared" si="123"/>
        <v>48765</v>
      </c>
      <c r="EA327" s="1">
        <f t="shared" si="115"/>
        <v>57938</v>
      </c>
      <c r="EC327" s="1">
        <f t="shared" si="124"/>
        <v>1088325</v>
      </c>
      <c r="ED327" s="1">
        <f t="shared" si="120"/>
        <v>0</v>
      </c>
      <c r="EE327" s="1"/>
    </row>
    <row r="328" spans="1:135" x14ac:dyDescent="0.25">
      <c r="A328" s="10">
        <v>42186</v>
      </c>
      <c r="B328">
        <v>0</v>
      </c>
      <c r="C328">
        <v>0</v>
      </c>
      <c r="D328">
        <v>0</v>
      </c>
      <c r="E328">
        <v>0</v>
      </c>
      <c r="F328">
        <v>937</v>
      </c>
      <c r="G328">
        <v>16016</v>
      </c>
      <c r="H328">
        <v>36755</v>
      </c>
      <c r="I328">
        <v>1354</v>
      </c>
      <c r="J328">
        <v>3204</v>
      </c>
      <c r="K328">
        <v>255</v>
      </c>
      <c r="L328">
        <v>23503</v>
      </c>
      <c r="M328">
        <v>1356</v>
      </c>
      <c r="N328">
        <v>111</v>
      </c>
      <c r="O328">
        <v>1118</v>
      </c>
      <c r="P328">
        <v>11338</v>
      </c>
      <c r="Q328">
        <v>280</v>
      </c>
      <c r="R328">
        <v>7146</v>
      </c>
      <c r="S328">
        <v>11517</v>
      </c>
      <c r="T328">
        <v>34</v>
      </c>
      <c r="U328">
        <v>1872</v>
      </c>
      <c r="V328">
        <v>174</v>
      </c>
      <c r="W328">
        <v>10553</v>
      </c>
      <c r="X328">
        <v>349</v>
      </c>
      <c r="Y328">
        <v>13</v>
      </c>
      <c r="Z328" s="144">
        <v>10</v>
      </c>
      <c r="AA328">
        <v>3</v>
      </c>
      <c r="AB328">
        <v>260</v>
      </c>
      <c r="AC328">
        <v>24</v>
      </c>
      <c r="AD328">
        <v>40</v>
      </c>
      <c r="AE328">
        <v>38</v>
      </c>
      <c r="AF328">
        <v>74</v>
      </c>
      <c r="AG328">
        <v>58</v>
      </c>
      <c r="AH328">
        <v>788</v>
      </c>
      <c r="AI328">
        <v>15</v>
      </c>
      <c r="AJ328">
        <v>13997</v>
      </c>
      <c r="AK328">
        <v>114701</v>
      </c>
      <c r="AL328">
        <v>2818</v>
      </c>
      <c r="AM328">
        <v>21983</v>
      </c>
      <c r="AN328">
        <v>20</v>
      </c>
      <c r="AO328">
        <v>4</v>
      </c>
      <c r="AP328">
        <v>10808</v>
      </c>
      <c r="AQ328">
        <v>0</v>
      </c>
      <c r="AR328">
        <v>865</v>
      </c>
      <c r="AS328">
        <v>48</v>
      </c>
      <c r="AT328">
        <v>10962</v>
      </c>
      <c r="AU328">
        <v>2635</v>
      </c>
      <c r="AV328">
        <v>5189</v>
      </c>
      <c r="AW328">
        <v>16942</v>
      </c>
      <c r="AX328" s="144">
        <v>19</v>
      </c>
      <c r="AY328" s="144">
        <v>36</v>
      </c>
      <c r="AZ328" s="144">
        <v>992</v>
      </c>
      <c r="BA328" s="144">
        <v>0</v>
      </c>
      <c r="BB328">
        <v>210</v>
      </c>
      <c r="BC328">
        <v>556</v>
      </c>
      <c r="BD328">
        <v>0</v>
      </c>
      <c r="BE328">
        <v>0</v>
      </c>
      <c r="BF328">
        <v>7718</v>
      </c>
      <c r="BG328">
        <v>0</v>
      </c>
      <c r="BH328">
        <v>0</v>
      </c>
      <c r="BI328">
        <v>0</v>
      </c>
      <c r="BJ328">
        <v>74</v>
      </c>
      <c r="BK328">
        <v>5407</v>
      </c>
      <c r="BL328">
        <v>0</v>
      </c>
      <c r="BM328">
        <v>321</v>
      </c>
      <c r="BN328">
        <v>3</v>
      </c>
      <c r="BO328">
        <v>103045</v>
      </c>
      <c r="BP328">
        <v>77635</v>
      </c>
      <c r="BQ328">
        <v>211</v>
      </c>
      <c r="BR328">
        <v>136</v>
      </c>
      <c r="BS328">
        <v>23227</v>
      </c>
      <c r="BT328">
        <v>84</v>
      </c>
      <c r="BU328">
        <v>1</v>
      </c>
      <c r="BV328">
        <v>3</v>
      </c>
      <c r="BW328">
        <v>12</v>
      </c>
      <c r="BX328">
        <v>3734</v>
      </c>
      <c r="BY328">
        <v>14</v>
      </c>
      <c r="BZ328">
        <v>0</v>
      </c>
      <c r="CA328">
        <v>23071</v>
      </c>
      <c r="CB328">
        <v>16663</v>
      </c>
      <c r="CC328">
        <v>140506</v>
      </c>
      <c r="CD328">
        <v>279783</v>
      </c>
      <c r="CE328">
        <v>29465</v>
      </c>
      <c r="CF328">
        <v>49018</v>
      </c>
      <c r="CG328">
        <v>0</v>
      </c>
      <c r="CH328">
        <v>25</v>
      </c>
      <c r="CI328">
        <v>3</v>
      </c>
      <c r="CJ328">
        <v>16</v>
      </c>
      <c r="CQ328">
        <v>128</v>
      </c>
      <c r="CR328">
        <v>1</v>
      </c>
      <c r="CY328">
        <v>0</v>
      </c>
      <c r="CZ328">
        <v>0</v>
      </c>
      <c r="DA328">
        <v>0</v>
      </c>
      <c r="DB328">
        <v>15</v>
      </c>
      <c r="DC328">
        <v>0</v>
      </c>
      <c r="DD328">
        <v>28</v>
      </c>
      <c r="DE328">
        <f t="shared" si="117"/>
        <v>1092284</v>
      </c>
      <c r="DF328" s="1"/>
      <c r="DG328" s="1">
        <f t="shared" si="105"/>
        <v>760786</v>
      </c>
      <c r="DH328" s="1">
        <f t="shared" si="106"/>
        <v>272866</v>
      </c>
      <c r="DI328" s="1">
        <f t="shared" si="116"/>
        <v>1033652</v>
      </c>
      <c r="DK328" s="1">
        <f t="shared" si="108"/>
        <v>57374</v>
      </c>
      <c r="DL328" s="1">
        <f t="shared" si="118"/>
        <v>154025</v>
      </c>
      <c r="DM328" s="1">
        <f t="shared" si="109"/>
        <v>11517</v>
      </c>
      <c r="DN328" s="1">
        <f t="shared" si="110"/>
        <v>49811</v>
      </c>
      <c r="DO328" s="1">
        <f t="shared" si="111"/>
        <v>473388</v>
      </c>
      <c r="DP328" s="1">
        <f t="shared" si="119"/>
        <v>101775</v>
      </c>
      <c r="DQ328" s="1">
        <f t="shared" si="121"/>
        <v>3863</v>
      </c>
      <c r="DR328" s="1">
        <f t="shared" si="112"/>
        <v>16698</v>
      </c>
      <c r="DS328" s="1">
        <f t="shared" si="113"/>
        <v>103046</v>
      </c>
      <c r="DT328" s="1">
        <f t="shared" si="114"/>
        <v>13137</v>
      </c>
      <c r="DU328" s="1"/>
      <c r="DV328" s="1"/>
      <c r="DW328" s="1"/>
      <c r="DX328" s="1">
        <f t="shared" si="122"/>
        <v>984634</v>
      </c>
      <c r="DZ328" s="1">
        <f t="shared" si="123"/>
        <v>49018</v>
      </c>
      <c r="EA328" s="1">
        <f t="shared" si="115"/>
        <v>58632</v>
      </c>
      <c r="EC328" s="1">
        <f t="shared" si="124"/>
        <v>1092284</v>
      </c>
      <c r="ED328" s="1">
        <f t="shared" si="120"/>
        <v>0</v>
      </c>
      <c r="EE328" s="1"/>
    </row>
    <row r="329" spans="1:135" x14ac:dyDescent="0.25">
      <c r="A329" s="10">
        <v>42217</v>
      </c>
      <c r="B329">
        <v>0</v>
      </c>
      <c r="C329">
        <v>0</v>
      </c>
      <c r="D329">
        <v>0</v>
      </c>
      <c r="E329">
        <v>0</v>
      </c>
      <c r="F329">
        <v>1037</v>
      </c>
      <c r="G329">
        <v>16087</v>
      </c>
      <c r="H329">
        <v>36731</v>
      </c>
      <c r="I329">
        <v>1313</v>
      </c>
      <c r="J329">
        <v>3075</v>
      </c>
      <c r="K329">
        <v>281</v>
      </c>
      <c r="L329">
        <v>23469</v>
      </c>
      <c r="M329">
        <v>1358</v>
      </c>
      <c r="N329">
        <v>135</v>
      </c>
      <c r="O329">
        <v>1089</v>
      </c>
      <c r="P329">
        <v>11378</v>
      </c>
      <c r="Q329">
        <v>281</v>
      </c>
      <c r="R329">
        <v>7102</v>
      </c>
      <c r="S329">
        <v>11522</v>
      </c>
      <c r="T329">
        <v>28</v>
      </c>
      <c r="U329">
        <v>1929</v>
      </c>
      <c r="V329">
        <v>167</v>
      </c>
      <c r="W329">
        <v>10645</v>
      </c>
      <c r="X329">
        <v>349</v>
      </c>
      <c r="Y329">
        <v>13</v>
      </c>
      <c r="Z329" s="144">
        <v>8</v>
      </c>
      <c r="AA329">
        <v>4</v>
      </c>
      <c r="AB329">
        <v>260</v>
      </c>
      <c r="AC329">
        <v>25</v>
      </c>
      <c r="AD329">
        <v>39</v>
      </c>
      <c r="AE329">
        <v>37</v>
      </c>
      <c r="AF329">
        <v>76</v>
      </c>
      <c r="AG329">
        <v>58</v>
      </c>
      <c r="AH329">
        <v>817</v>
      </c>
      <c r="AI329">
        <v>7</v>
      </c>
      <c r="AJ329">
        <v>13961</v>
      </c>
      <c r="AK329">
        <v>114305</v>
      </c>
      <c r="AL329">
        <v>2797</v>
      </c>
      <c r="AM329">
        <v>21935</v>
      </c>
      <c r="AN329">
        <v>20</v>
      </c>
      <c r="AO329">
        <v>4</v>
      </c>
      <c r="AP329">
        <v>11010</v>
      </c>
      <c r="AQ329">
        <v>0</v>
      </c>
      <c r="AR329">
        <v>863</v>
      </c>
      <c r="AS329">
        <v>46</v>
      </c>
      <c r="AT329">
        <v>11037</v>
      </c>
      <c r="AU329">
        <v>2634</v>
      </c>
      <c r="AV329">
        <v>5194</v>
      </c>
      <c r="AW329">
        <v>16950</v>
      </c>
      <c r="AX329" s="144">
        <v>31</v>
      </c>
      <c r="AY329" s="144">
        <v>44</v>
      </c>
      <c r="AZ329" s="144">
        <v>1006</v>
      </c>
      <c r="BA329" s="144">
        <v>0</v>
      </c>
      <c r="BB329">
        <v>196</v>
      </c>
      <c r="BC329">
        <v>582</v>
      </c>
      <c r="BD329">
        <v>0</v>
      </c>
      <c r="BE329">
        <v>0</v>
      </c>
      <c r="BF329">
        <v>7684</v>
      </c>
      <c r="BG329">
        <v>0</v>
      </c>
      <c r="BH329">
        <v>0</v>
      </c>
      <c r="BI329">
        <v>0</v>
      </c>
      <c r="BJ329">
        <v>71</v>
      </c>
      <c r="BK329">
        <v>5448</v>
      </c>
      <c r="BL329">
        <v>0</v>
      </c>
      <c r="BM329">
        <v>325</v>
      </c>
      <c r="BN329">
        <v>3</v>
      </c>
      <c r="BO329">
        <v>107121</v>
      </c>
      <c r="BP329">
        <v>77021</v>
      </c>
      <c r="BQ329">
        <v>236</v>
      </c>
      <c r="BR329">
        <v>138</v>
      </c>
      <c r="BS329">
        <v>23295</v>
      </c>
      <c r="BT329">
        <v>78</v>
      </c>
      <c r="BU329">
        <v>1</v>
      </c>
      <c r="BV329">
        <v>3</v>
      </c>
      <c r="BW329">
        <v>4</v>
      </c>
      <c r="BX329">
        <v>4225</v>
      </c>
      <c r="BY329">
        <v>12</v>
      </c>
      <c r="BZ329">
        <v>0</v>
      </c>
      <c r="CA329">
        <v>23071</v>
      </c>
      <c r="CB329">
        <v>16918</v>
      </c>
      <c r="CC329">
        <v>139294</v>
      </c>
      <c r="CD329">
        <v>278192</v>
      </c>
      <c r="CE329">
        <v>29330</v>
      </c>
      <c r="CF329">
        <v>48956</v>
      </c>
      <c r="CG329">
        <v>0</v>
      </c>
      <c r="CH329">
        <v>17</v>
      </c>
      <c r="CI329">
        <v>2</v>
      </c>
      <c r="CJ329">
        <v>15</v>
      </c>
      <c r="CQ329">
        <v>133</v>
      </c>
      <c r="CR329">
        <v>1</v>
      </c>
      <c r="CY329">
        <v>0</v>
      </c>
      <c r="CZ329">
        <v>0</v>
      </c>
      <c r="DA329">
        <v>0</v>
      </c>
      <c r="DB329">
        <v>15</v>
      </c>
      <c r="DC329">
        <v>0</v>
      </c>
      <c r="DD329">
        <v>27</v>
      </c>
      <c r="DE329">
        <f t="shared" si="117"/>
        <v>1093529</v>
      </c>
      <c r="DF329" s="1"/>
      <c r="DG329" s="1">
        <f t="shared" si="105"/>
        <v>762117</v>
      </c>
      <c r="DH329" s="1">
        <f t="shared" si="106"/>
        <v>272753</v>
      </c>
      <c r="DI329" s="1">
        <f t="shared" si="116"/>
        <v>1034870</v>
      </c>
      <c r="DK329" s="1">
        <f t="shared" si="108"/>
        <v>57446</v>
      </c>
      <c r="DL329" s="1">
        <f t="shared" si="118"/>
        <v>153668</v>
      </c>
      <c r="DM329" s="1">
        <f t="shared" si="109"/>
        <v>11522</v>
      </c>
      <c r="DN329" s="1">
        <f t="shared" si="110"/>
        <v>49975</v>
      </c>
      <c r="DO329" s="1">
        <f t="shared" si="111"/>
        <v>470476</v>
      </c>
      <c r="DP329" s="1">
        <f t="shared" si="119"/>
        <v>101267</v>
      </c>
      <c r="DQ329" s="1">
        <f t="shared" si="121"/>
        <v>4359</v>
      </c>
      <c r="DR329" s="1">
        <f t="shared" si="112"/>
        <v>16943</v>
      </c>
      <c r="DS329" s="1">
        <f t="shared" si="113"/>
        <v>107122</v>
      </c>
      <c r="DT329" s="1">
        <f t="shared" si="114"/>
        <v>13136</v>
      </c>
      <c r="DU329" s="1"/>
      <c r="DV329" s="1"/>
      <c r="DW329" s="1"/>
      <c r="DX329" s="1">
        <f t="shared" si="122"/>
        <v>985914</v>
      </c>
      <c r="DZ329" s="1">
        <f t="shared" si="123"/>
        <v>48956</v>
      </c>
      <c r="EA329" s="1">
        <f t="shared" si="115"/>
        <v>58659</v>
      </c>
      <c r="EC329" s="1">
        <f t="shared" si="124"/>
        <v>1093529</v>
      </c>
      <c r="ED329" s="1">
        <f t="shared" si="120"/>
        <v>0</v>
      </c>
      <c r="EE329" s="1"/>
    </row>
    <row r="330" spans="1:135" x14ac:dyDescent="0.25">
      <c r="A330" s="10">
        <v>42248</v>
      </c>
      <c r="B330">
        <v>0</v>
      </c>
      <c r="C330">
        <v>0</v>
      </c>
      <c r="D330">
        <v>0</v>
      </c>
      <c r="E330">
        <v>0</v>
      </c>
      <c r="F330">
        <v>1121</v>
      </c>
      <c r="G330">
        <v>16133</v>
      </c>
      <c r="H330">
        <v>36878</v>
      </c>
      <c r="I330">
        <v>1291</v>
      </c>
      <c r="J330">
        <v>2990</v>
      </c>
      <c r="K330">
        <v>316</v>
      </c>
      <c r="L330">
        <v>23434</v>
      </c>
      <c r="M330">
        <v>1358</v>
      </c>
      <c r="N330">
        <v>171</v>
      </c>
      <c r="O330">
        <v>1080</v>
      </c>
      <c r="P330">
        <v>11433</v>
      </c>
      <c r="Q330">
        <v>280</v>
      </c>
      <c r="R330">
        <v>7109</v>
      </c>
      <c r="S330">
        <v>11521</v>
      </c>
      <c r="T330">
        <v>33</v>
      </c>
      <c r="U330">
        <v>1951</v>
      </c>
      <c r="V330">
        <v>133</v>
      </c>
      <c r="W330">
        <v>10713</v>
      </c>
      <c r="X330">
        <v>343</v>
      </c>
      <c r="Y330">
        <v>13</v>
      </c>
      <c r="Z330" s="144">
        <v>4</v>
      </c>
      <c r="AA330">
        <v>5</v>
      </c>
      <c r="AB330">
        <v>257</v>
      </c>
      <c r="AC330">
        <v>24</v>
      </c>
      <c r="AD330">
        <v>40</v>
      </c>
      <c r="AE330">
        <v>37</v>
      </c>
      <c r="AF330">
        <v>77</v>
      </c>
      <c r="AG330">
        <v>54</v>
      </c>
      <c r="AH330">
        <v>839</v>
      </c>
      <c r="AI330">
        <v>8</v>
      </c>
      <c r="AJ330">
        <v>14001</v>
      </c>
      <c r="AK330">
        <v>114674</v>
      </c>
      <c r="AL330">
        <v>2832</v>
      </c>
      <c r="AM330">
        <v>21891</v>
      </c>
      <c r="AN330">
        <v>21</v>
      </c>
      <c r="AO330">
        <v>6</v>
      </c>
      <c r="AP330">
        <v>11174</v>
      </c>
      <c r="AQ330">
        <v>0</v>
      </c>
      <c r="AR330">
        <v>863</v>
      </c>
      <c r="AS330">
        <v>48</v>
      </c>
      <c r="AT330">
        <v>11099</v>
      </c>
      <c r="AU330">
        <v>2626</v>
      </c>
      <c r="AV330">
        <v>5211</v>
      </c>
      <c r="AW330">
        <v>16868</v>
      </c>
      <c r="AX330" s="144">
        <v>27</v>
      </c>
      <c r="AY330" s="144">
        <v>33</v>
      </c>
      <c r="AZ330" s="144">
        <v>1003</v>
      </c>
      <c r="BA330" s="144">
        <v>0</v>
      </c>
      <c r="BB330">
        <v>169</v>
      </c>
      <c r="BC330">
        <v>601</v>
      </c>
      <c r="BD330">
        <v>0</v>
      </c>
      <c r="BE330">
        <v>0</v>
      </c>
      <c r="BF330">
        <v>7700</v>
      </c>
      <c r="BG330">
        <v>0</v>
      </c>
      <c r="BH330">
        <v>0</v>
      </c>
      <c r="BI330">
        <v>0</v>
      </c>
      <c r="BJ330">
        <v>67</v>
      </c>
      <c r="BK330">
        <v>5485</v>
      </c>
      <c r="BL330">
        <v>1</v>
      </c>
      <c r="BM330">
        <v>298</v>
      </c>
      <c r="BN330">
        <v>3</v>
      </c>
      <c r="BO330">
        <v>110462</v>
      </c>
      <c r="BP330">
        <v>77094</v>
      </c>
      <c r="BQ330">
        <v>230</v>
      </c>
      <c r="BR330">
        <v>132</v>
      </c>
      <c r="BS330">
        <v>23421</v>
      </c>
      <c r="BT330">
        <v>80</v>
      </c>
      <c r="BU330">
        <v>4</v>
      </c>
      <c r="BV330">
        <v>2</v>
      </c>
      <c r="BW330">
        <v>4</v>
      </c>
      <c r="BX330">
        <v>4665</v>
      </c>
      <c r="BY330">
        <v>11</v>
      </c>
      <c r="BZ330">
        <v>0</v>
      </c>
      <c r="CA330">
        <v>23218</v>
      </c>
      <c r="CB330">
        <v>17057</v>
      </c>
      <c r="CC330">
        <v>139094</v>
      </c>
      <c r="CD330">
        <v>278791</v>
      </c>
      <c r="CE330">
        <v>29249</v>
      </c>
      <c r="CF330">
        <v>49239</v>
      </c>
      <c r="CG330">
        <v>0</v>
      </c>
      <c r="CH330">
        <v>15</v>
      </c>
      <c r="CI330">
        <v>2</v>
      </c>
      <c r="CJ330">
        <v>12</v>
      </c>
      <c r="CQ330">
        <v>145</v>
      </c>
      <c r="CR330">
        <v>2</v>
      </c>
      <c r="CY330">
        <v>0</v>
      </c>
      <c r="CZ330">
        <v>0</v>
      </c>
      <c r="DA330">
        <v>0</v>
      </c>
      <c r="DB330">
        <v>15</v>
      </c>
      <c r="DC330">
        <v>0</v>
      </c>
      <c r="DD330">
        <v>27</v>
      </c>
      <c r="DE330">
        <f t="shared" si="117"/>
        <v>1099276</v>
      </c>
      <c r="DF330" s="1"/>
      <c r="DG330" s="1">
        <f t="shared" si="105"/>
        <v>766997</v>
      </c>
      <c r="DH330" s="1">
        <f t="shared" si="106"/>
        <v>273379</v>
      </c>
      <c r="DI330" s="1">
        <f t="shared" si="116"/>
        <v>1040376</v>
      </c>
      <c r="DK330" s="1">
        <f t="shared" si="108"/>
        <v>57524</v>
      </c>
      <c r="DL330" s="1">
        <f t="shared" si="118"/>
        <v>154167</v>
      </c>
      <c r="DM330" s="1">
        <f t="shared" si="109"/>
        <v>11521</v>
      </c>
      <c r="DN330" s="1">
        <f t="shared" si="110"/>
        <v>50016</v>
      </c>
      <c r="DO330" s="1">
        <f t="shared" si="111"/>
        <v>470918</v>
      </c>
      <c r="DP330" s="1">
        <f t="shared" si="119"/>
        <v>101447</v>
      </c>
      <c r="DQ330" s="1">
        <f t="shared" si="121"/>
        <v>4812</v>
      </c>
      <c r="DR330" s="1">
        <f t="shared" si="112"/>
        <v>17076</v>
      </c>
      <c r="DS330" s="1">
        <f t="shared" si="113"/>
        <v>110466</v>
      </c>
      <c r="DT330" s="1">
        <f t="shared" si="114"/>
        <v>13190</v>
      </c>
      <c r="DU330" s="1"/>
      <c r="DV330" s="1"/>
      <c r="DW330" s="1"/>
      <c r="DX330" s="1">
        <f t="shared" si="122"/>
        <v>991137</v>
      </c>
      <c r="DZ330" s="1">
        <f t="shared" si="123"/>
        <v>49239</v>
      </c>
      <c r="EA330" s="1">
        <f t="shared" si="115"/>
        <v>58900</v>
      </c>
      <c r="EC330" s="1">
        <f t="shared" si="124"/>
        <v>1099276</v>
      </c>
      <c r="ED330" s="1">
        <f t="shared" si="120"/>
        <v>0</v>
      </c>
      <c r="EE330" s="1"/>
    </row>
    <row r="331" spans="1:135" x14ac:dyDescent="0.25">
      <c r="A331" s="10">
        <v>42278</v>
      </c>
      <c r="B331">
        <v>0</v>
      </c>
      <c r="C331">
        <v>0</v>
      </c>
      <c r="D331">
        <v>0</v>
      </c>
      <c r="E331">
        <v>0</v>
      </c>
      <c r="F331">
        <v>1083</v>
      </c>
      <c r="G331">
        <v>15955</v>
      </c>
      <c r="H331">
        <v>36932</v>
      </c>
      <c r="I331">
        <v>1224</v>
      </c>
      <c r="J331">
        <v>2868</v>
      </c>
      <c r="K331">
        <v>401</v>
      </c>
      <c r="L331">
        <v>23412</v>
      </c>
      <c r="M331">
        <v>1353</v>
      </c>
      <c r="N331">
        <v>213</v>
      </c>
      <c r="O331">
        <v>1053</v>
      </c>
      <c r="P331">
        <v>11440</v>
      </c>
      <c r="Q331">
        <v>286</v>
      </c>
      <c r="R331">
        <v>7100</v>
      </c>
      <c r="S331">
        <v>11499</v>
      </c>
      <c r="T331">
        <v>30</v>
      </c>
      <c r="U331">
        <v>1970</v>
      </c>
      <c r="V331">
        <v>105</v>
      </c>
      <c r="W331">
        <v>10828</v>
      </c>
      <c r="X331">
        <v>348</v>
      </c>
      <c r="Y331">
        <v>13</v>
      </c>
      <c r="Z331" s="144">
        <v>8</v>
      </c>
      <c r="AA331">
        <v>5</v>
      </c>
      <c r="AB331">
        <v>248</v>
      </c>
      <c r="AC331">
        <v>26</v>
      </c>
      <c r="AD331">
        <v>37</v>
      </c>
      <c r="AE331">
        <v>38</v>
      </c>
      <c r="AF331">
        <v>77</v>
      </c>
      <c r="AG331">
        <v>43</v>
      </c>
      <c r="AH331">
        <v>875</v>
      </c>
      <c r="AI331">
        <v>8</v>
      </c>
      <c r="AJ331">
        <v>13942</v>
      </c>
      <c r="AK331">
        <v>114698</v>
      </c>
      <c r="AL331">
        <v>2819</v>
      </c>
      <c r="AM331">
        <v>21830</v>
      </c>
      <c r="AN331">
        <v>19</v>
      </c>
      <c r="AO331">
        <v>7</v>
      </c>
      <c r="AP331">
        <v>11386</v>
      </c>
      <c r="AQ331">
        <v>0</v>
      </c>
      <c r="AR331">
        <v>886</v>
      </c>
      <c r="AS331">
        <v>47</v>
      </c>
      <c r="AT331">
        <v>11189</v>
      </c>
      <c r="AU331">
        <v>2623</v>
      </c>
      <c r="AV331">
        <v>5191</v>
      </c>
      <c r="AW331">
        <v>16774</v>
      </c>
      <c r="AX331" s="144">
        <v>40</v>
      </c>
      <c r="AY331" s="144">
        <v>26</v>
      </c>
      <c r="AZ331" s="144">
        <v>1008</v>
      </c>
      <c r="BA331" s="144">
        <v>0</v>
      </c>
      <c r="BB331">
        <v>155</v>
      </c>
      <c r="BC331">
        <v>612</v>
      </c>
      <c r="BD331">
        <v>0</v>
      </c>
      <c r="BE331">
        <v>0</v>
      </c>
      <c r="BF331">
        <v>7729</v>
      </c>
      <c r="BG331">
        <v>0</v>
      </c>
      <c r="BH331">
        <v>0</v>
      </c>
      <c r="BI331">
        <v>0</v>
      </c>
      <c r="BJ331">
        <v>66</v>
      </c>
      <c r="BK331">
        <v>5395</v>
      </c>
      <c r="BL331">
        <v>2</v>
      </c>
      <c r="BM331">
        <v>295</v>
      </c>
      <c r="BN331">
        <v>3</v>
      </c>
      <c r="BO331">
        <v>111639</v>
      </c>
      <c r="BP331">
        <v>77040</v>
      </c>
      <c r="BQ331">
        <v>297</v>
      </c>
      <c r="BR331">
        <v>132</v>
      </c>
      <c r="BS331">
        <v>23721</v>
      </c>
      <c r="BT331">
        <v>114</v>
      </c>
      <c r="BU331">
        <v>6</v>
      </c>
      <c r="BV331">
        <v>2</v>
      </c>
      <c r="BW331">
        <v>4</v>
      </c>
      <c r="BX331">
        <v>5103</v>
      </c>
      <c r="BY331">
        <v>18</v>
      </c>
      <c r="BZ331">
        <v>0</v>
      </c>
      <c r="CA331">
        <v>23300</v>
      </c>
      <c r="CB331">
        <v>16664</v>
      </c>
      <c r="CC331">
        <v>138150</v>
      </c>
      <c r="CD331">
        <v>277911</v>
      </c>
      <c r="CE331">
        <v>29309</v>
      </c>
      <c r="CF331">
        <v>49255</v>
      </c>
      <c r="CG331">
        <v>0</v>
      </c>
      <c r="CH331">
        <v>12</v>
      </c>
      <c r="CI331">
        <v>1</v>
      </c>
      <c r="CJ331">
        <v>15</v>
      </c>
      <c r="CQ331">
        <v>163</v>
      </c>
      <c r="CR331">
        <v>3</v>
      </c>
      <c r="CY331">
        <v>0</v>
      </c>
      <c r="CZ331">
        <v>0</v>
      </c>
      <c r="DA331">
        <v>0</v>
      </c>
      <c r="DB331">
        <v>15</v>
      </c>
      <c r="DC331">
        <v>0</v>
      </c>
      <c r="DD331">
        <v>27</v>
      </c>
      <c r="DE331">
        <f t="shared" si="117"/>
        <v>1099079</v>
      </c>
      <c r="DF331" s="1"/>
      <c r="DG331" s="1">
        <f t="shared" si="105"/>
        <v>766861</v>
      </c>
      <c r="DH331" s="1">
        <f t="shared" si="106"/>
        <v>273542</v>
      </c>
      <c r="DI331" s="1">
        <f t="shared" si="116"/>
        <v>1040403</v>
      </c>
      <c r="DK331" s="1">
        <f t="shared" si="108"/>
        <v>57577</v>
      </c>
      <c r="DL331" s="1">
        <f t="shared" si="118"/>
        <v>154218</v>
      </c>
      <c r="DM331" s="1">
        <f t="shared" si="109"/>
        <v>11499</v>
      </c>
      <c r="DN331" s="1">
        <f t="shared" si="110"/>
        <v>50074</v>
      </c>
      <c r="DO331" s="1">
        <f t="shared" si="111"/>
        <v>469358</v>
      </c>
      <c r="DP331" s="1">
        <f t="shared" si="119"/>
        <v>101694</v>
      </c>
      <c r="DQ331" s="1">
        <f t="shared" si="121"/>
        <v>5269</v>
      </c>
      <c r="DR331" s="1">
        <f t="shared" si="112"/>
        <v>16684</v>
      </c>
      <c r="DS331" s="1">
        <f t="shared" si="113"/>
        <v>111645</v>
      </c>
      <c r="DT331" s="1">
        <f t="shared" si="114"/>
        <v>13130</v>
      </c>
      <c r="DU331" s="1"/>
      <c r="DV331" s="1"/>
      <c r="DW331" s="1"/>
      <c r="DX331" s="1">
        <f t="shared" si="122"/>
        <v>991148</v>
      </c>
      <c r="DZ331" s="1">
        <f t="shared" si="123"/>
        <v>49255</v>
      </c>
      <c r="EA331" s="1">
        <f t="shared" si="115"/>
        <v>58676</v>
      </c>
      <c r="EC331" s="1">
        <f t="shared" si="124"/>
        <v>1099079</v>
      </c>
      <c r="ED331" s="1">
        <f t="shared" si="120"/>
        <v>0</v>
      </c>
      <c r="EE331" s="1"/>
    </row>
    <row r="332" spans="1:135" x14ac:dyDescent="0.25">
      <c r="A332" s="10">
        <v>42309</v>
      </c>
      <c r="B332">
        <v>0</v>
      </c>
      <c r="C332">
        <v>0</v>
      </c>
      <c r="D332">
        <v>0</v>
      </c>
      <c r="E332">
        <v>0</v>
      </c>
      <c r="F332">
        <v>1070</v>
      </c>
      <c r="G332">
        <v>15852</v>
      </c>
      <c r="H332">
        <v>36820</v>
      </c>
      <c r="I332">
        <v>1176</v>
      </c>
      <c r="J332">
        <v>2765</v>
      </c>
      <c r="K332">
        <v>466</v>
      </c>
      <c r="L332">
        <v>23528</v>
      </c>
      <c r="M332">
        <v>1341</v>
      </c>
      <c r="N332">
        <v>248</v>
      </c>
      <c r="O332">
        <v>1052</v>
      </c>
      <c r="P332">
        <v>11510</v>
      </c>
      <c r="Q332">
        <v>278</v>
      </c>
      <c r="R332">
        <v>7110</v>
      </c>
      <c r="S332">
        <v>11555</v>
      </c>
      <c r="T332">
        <v>30</v>
      </c>
      <c r="U332">
        <v>2047</v>
      </c>
      <c r="V332">
        <v>101</v>
      </c>
      <c r="W332">
        <v>10944</v>
      </c>
      <c r="X332">
        <v>364</v>
      </c>
      <c r="Y332">
        <v>13</v>
      </c>
      <c r="Z332" s="144">
        <v>12</v>
      </c>
      <c r="AA332">
        <v>7</v>
      </c>
      <c r="AB332">
        <v>242</v>
      </c>
      <c r="AC332">
        <v>28</v>
      </c>
      <c r="AD332">
        <v>39</v>
      </c>
      <c r="AE332">
        <v>38</v>
      </c>
      <c r="AF332">
        <v>76</v>
      </c>
      <c r="AG332">
        <v>49</v>
      </c>
      <c r="AH332">
        <v>913</v>
      </c>
      <c r="AI332">
        <v>9</v>
      </c>
      <c r="AJ332">
        <v>13989</v>
      </c>
      <c r="AK332">
        <v>115062</v>
      </c>
      <c r="AL332">
        <v>2797</v>
      </c>
      <c r="AM332">
        <v>21936</v>
      </c>
      <c r="AN332">
        <v>20</v>
      </c>
      <c r="AO332">
        <v>10</v>
      </c>
      <c r="AP332">
        <v>11602</v>
      </c>
      <c r="AQ332">
        <v>0</v>
      </c>
      <c r="AR332">
        <v>878</v>
      </c>
      <c r="AS332">
        <v>47</v>
      </c>
      <c r="AT332">
        <v>11283</v>
      </c>
      <c r="AU332">
        <v>2638</v>
      </c>
      <c r="AV332">
        <v>5201</v>
      </c>
      <c r="AW332">
        <v>16770</v>
      </c>
      <c r="AX332" s="144">
        <v>34</v>
      </c>
      <c r="AY332" s="144">
        <v>34</v>
      </c>
      <c r="AZ332" s="144">
        <v>1031</v>
      </c>
      <c r="BA332" s="144">
        <v>0</v>
      </c>
      <c r="BB332">
        <v>158</v>
      </c>
      <c r="BC332">
        <v>616</v>
      </c>
      <c r="BD332">
        <v>0</v>
      </c>
      <c r="BE332">
        <v>0</v>
      </c>
      <c r="BF332">
        <v>7704</v>
      </c>
      <c r="BG332">
        <v>0</v>
      </c>
      <c r="BH332">
        <v>0</v>
      </c>
      <c r="BI332">
        <v>0</v>
      </c>
      <c r="BJ332">
        <v>69</v>
      </c>
      <c r="BK332">
        <v>5322</v>
      </c>
      <c r="BL332">
        <v>0</v>
      </c>
      <c r="BM332">
        <v>319</v>
      </c>
      <c r="BN332">
        <v>3</v>
      </c>
      <c r="BO332">
        <v>112586</v>
      </c>
      <c r="BP332">
        <v>76966</v>
      </c>
      <c r="BQ332">
        <v>460</v>
      </c>
      <c r="BR332">
        <v>124</v>
      </c>
      <c r="BS332">
        <v>24057</v>
      </c>
      <c r="BT332">
        <v>212</v>
      </c>
      <c r="BU332">
        <v>16</v>
      </c>
      <c r="BV332">
        <v>2</v>
      </c>
      <c r="BW332">
        <v>4</v>
      </c>
      <c r="BX332">
        <v>5428</v>
      </c>
      <c r="BY332">
        <v>35</v>
      </c>
      <c r="BZ332">
        <v>0</v>
      </c>
      <c r="CA332">
        <v>23207</v>
      </c>
      <c r="CB332">
        <v>16451</v>
      </c>
      <c r="CC332">
        <v>137432</v>
      </c>
      <c r="CD332">
        <v>277161</v>
      </c>
      <c r="CE332">
        <v>29556</v>
      </c>
      <c r="CF332">
        <v>49246</v>
      </c>
      <c r="CG332">
        <v>0</v>
      </c>
      <c r="CH332">
        <v>16</v>
      </c>
      <c r="CI332">
        <v>1</v>
      </c>
      <c r="CJ332">
        <v>17</v>
      </c>
      <c r="CQ332">
        <v>179</v>
      </c>
      <c r="CR332">
        <v>4</v>
      </c>
      <c r="CY332">
        <v>0</v>
      </c>
      <c r="CZ332">
        <v>0</v>
      </c>
      <c r="DA332">
        <v>0</v>
      </c>
      <c r="DB332">
        <v>15</v>
      </c>
      <c r="DC332">
        <v>0</v>
      </c>
      <c r="DD332">
        <v>27</v>
      </c>
      <c r="DE332">
        <f t="shared" si="117"/>
        <v>1100366</v>
      </c>
      <c r="DF332" s="1"/>
      <c r="DG332" s="1">
        <f t="shared" si="105"/>
        <v>767078</v>
      </c>
      <c r="DH332" s="1">
        <f t="shared" si="106"/>
        <v>274891</v>
      </c>
      <c r="DI332" s="1">
        <f t="shared" si="116"/>
        <v>1041969</v>
      </c>
      <c r="DK332" s="1">
        <f t="shared" si="108"/>
        <v>57941</v>
      </c>
      <c r="DL332" s="1">
        <f t="shared" si="118"/>
        <v>154806</v>
      </c>
      <c r="DM332" s="1">
        <f t="shared" si="109"/>
        <v>11555</v>
      </c>
      <c r="DN332" s="1">
        <f t="shared" si="110"/>
        <v>50394</v>
      </c>
      <c r="DO332" s="1">
        <f t="shared" si="111"/>
        <v>468313</v>
      </c>
      <c r="DP332" s="1">
        <f t="shared" si="119"/>
        <v>101992</v>
      </c>
      <c r="DQ332" s="1">
        <f t="shared" si="121"/>
        <v>5611</v>
      </c>
      <c r="DR332" s="1">
        <f t="shared" si="112"/>
        <v>16479</v>
      </c>
      <c r="DS332" s="1">
        <f t="shared" si="113"/>
        <v>112602</v>
      </c>
      <c r="DT332" s="1">
        <f t="shared" si="114"/>
        <v>13030</v>
      </c>
      <c r="DU332" s="1"/>
      <c r="DV332" s="1"/>
      <c r="DW332" s="1"/>
      <c r="DX332" s="1">
        <f t="shared" si="122"/>
        <v>992723</v>
      </c>
      <c r="DZ332" s="1">
        <f t="shared" si="123"/>
        <v>49246</v>
      </c>
      <c r="EA332" s="1">
        <f t="shared" si="115"/>
        <v>58397</v>
      </c>
      <c r="EC332" s="1">
        <f t="shared" si="124"/>
        <v>1100366</v>
      </c>
      <c r="ED332" s="1">
        <f t="shared" si="120"/>
        <v>0</v>
      </c>
      <c r="EE332" s="1"/>
    </row>
    <row r="333" spans="1:135" x14ac:dyDescent="0.25">
      <c r="A333" s="10">
        <v>42339</v>
      </c>
      <c r="B333">
        <v>0</v>
      </c>
      <c r="C333">
        <v>0</v>
      </c>
      <c r="D333">
        <v>0</v>
      </c>
      <c r="E333">
        <v>0</v>
      </c>
      <c r="F333">
        <v>1042</v>
      </c>
      <c r="G333">
        <v>15686</v>
      </c>
      <c r="H333">
        <v>36513</v>
      </c>
      <c r="I333">
        <v>1141</v>
      </c>
      <c r="J333">
        <v>2646</v>
      </c>
      <c r="K333">
        <v>531</v>
      </c>
      <c r="L333">
        <v>23592</v>
      </c>
      <c r="M333">
        <v>1343</v>
      </c>
      <c r="N333">
        <v>296</v>
      </c>
      <c r="O333">
        <v>1055</v>
      </c>
      <c r="P333">
        <v>11554</v>
      </c>
      <c r="Q333">
        <v>277</v>
      </c>
      <c r="R333">
        <v>7101</v>
      </c>
      <c r="S333">
        <v>11551</v>
      </c>
      <c r="T333">
        <v>30</v>
      </c>
      <c r="U333">
        <v>2064</v>
      </c>
      <c r="V333">
        <v>94</v>
      </c>
      <c r="W333">
        <v>11008</v>
      </c>
      <c r="X333">
        <v>385</v>
      </c>
      <c r="Y333">
        <v>13</v>
      </c>
      <c r="Z333">
        <v>15</v>
      </c>
      <c r="AA333">
        <v>7</v>
      </c>
      <c r="AB333">
        <v>245</v>
      </c>
      <c r="AC333">
        <v>28</v>
      </c>
      <c r="AD333">
        <v>38</v>
      </c>
      <c r="AE333">
        <v>39</v>
      </c>
      <c r="AF333">
        <v>74</v>
      </c>
      <c r="AG333">
        <v>48</v>
      </c>
      <c r="AH333">
        <v>941</v>
      </c>
      <c r="AI333">
        <v>7</v>
      </c>
      <c r="AJ333">
        <v>13951</v>
      </c>
      <c r="AK333">
        <v>115238</v>
      </c>
      <c r="AL333">
        <v>2785</v>
      </c>
      <c r="AM333">
        <v>21996</v>
      </c>
      <c r="AN333">
        <v>19</v>
      </c>
      <c r="AO333">
        <v>12</v>
      </c>
      <c r="AP333">
        <v>11707</v>
      </c>
      <c r="AQ333">
        <v>0</v>
      </c>
      <c r="AR333">
        <v>835</v>
      </c>
      <c r="AS333">
        <v>48</v>
      </c>
      <c r="AT333">
        <v>11360</v>
      </c>
      <c r="AU333">
        <v>2632</v>
      </c>
      <c r="AV333">
        <v>5219</v>
      </c>
      <c r="AW333">
        <v>16801</v>
      </c>
      <c r="AX333">
        <v>38</v>
      </c>
      <c r="AY333">
        <v>17</v>
      </c>
      <c r="AZ333">
        <v>1016</v>
      </c>
      <c r="BA333">
        <v>0</v>
      </c>
      <c r="BB333">
        <v>143</v>
      </c>
      <c r="BC333">
        <v>621</v>
      </c>
      <c r="BD333">
        <v>0</v>
      </c>
      <c r="BE333">
        <v>0</v>
      </c>
      <c r="BF333">
        <v>7691</v>
      </c>
      <c r="BG333">
        <v>0</v>
      </c>
      <c r="BH333">
        <v>0</v>
      </c>
      <c r="BI333">
        <v>0</v>
      </c>
      <c r="BJ333">
        <v>66</v>
      </c>
      <c r="BK333">
        <v>5422</v>
      </c>
      <c r="BL333">
        <v>0</v>
      </c>
      <c r="BM333">
        <v>306</v>
      </c>
      <c r="BN333">
        <v>3</v>
      </c>
      <c r="BO333">
        <v>112314</v>
      </c>
      <c r="BP333">
        <v>76706</v>
      </c>
      <c r="BQ333">
        <v>604</v>
      </c>
      <c r="BR333">
        <v>114</v>
      </c>
      <c r="BS333">
        <v>24284</v>
      </c>
      <c r="BT333">
        <v>344</v>
      </c>
      <c r="BU333">
        <v>4</v>
      </c>
      <c r="BV333">
        <v>2</v>
      </c>
      <c r="BW333">
        <v>4</v>
      </c>
      <c r="BX333">
        <v>5650</v>
      </c>
      <c r="BY333">
        <v>71</v>
      </c>
      <c r="BZ333">
        <v>0</v>
      </c>
      <c r="CA333">
        <v>23062</v>
      </c>
      <c r="CB333">
        <v>16132</v>
      </c>
      <c r="CC333">
        <v>135745</v>
      </c>
      <c r="CD333">
        <v>274755</v>
      </c>
      <c r="CE333">
        <v>29523</v>
      </c>
      <c r="CF333">
        <v>49195</v>
      </c>
      <c r="CG333">
        <v>0</v>
      </c>
      <c r="CH333">
        <v>14</v>
      </c>
      <c r="CI333">
        <v>2</v>
      </c>
      <c r="CJ333">
        <v>22</v>
      </c>
      <c r="CQ333">
        <v>198</v>
      </c>
      <c r="CR333">
        <v>7</v>
      </c>
      <c r="CY333">
        <v>0</v>
      </c>
      <c r="CZ333">
        <v>0</v>
      </c>
      <c r="DA333">
        <v>0</v>
      </c>
      <c r="DB333">
        <v>15</v>
      </c>
      <c r="DC333">
        <v>0</v>
      </c>
      <c r="DD333">
        <v>27</v>
      </c>
      <c r="DE333">
        <f t="shared" si="117"/>
        <v>1096042</v>
      </c>
      <c r="DF333" s="1"/>
      <c r="DG333" s="1">
        <f t="shared" si="105"/>
        <v>762711</v>
      </c>
      <c r="DH333" s="1">
        <f t="shared" si="106"/>
        <v>275476</v>
      </c>
      <c r="DI333" s="1">
        <f t="shared" si="116"/>
        <v>1038187</v>
      </c>
      <c r="DK333" s="1">
        <f t="shared" si="108"/>
        <v>58118</v>
      </c>
      <c r="DL333" s="1">
        <f t="shared" si="118"/>
        <v>154997</v>
      </c>
      <c r="DM333" s="1">
        <f t="shared" si="109"/>
        <v>11551</v>
      </c>
      <c r="DN333" s="1">
        <f t="shared" si="110"/>
        <v>50590</v>
      </c>
      <c r="DO333" s="1">
        <f t="shared" si="111"/>
        <v>464351</v>
      </c>
      <c r="DP333" s="1">
        <f t="shared" si="119"/>
        <v>101934</v>
      </c>
      <c r="DQ333" s="1">
        <f t="shared" si="121"/>
        <v>5855</v>
      </c>
      <c r="DR333" s="1">
        <f t="shared" si="112"/>
        <v>16161</v>
      </c>
      <c r="DS333" s="1">
        <f t="shared" si="113"/>
        <v>112318</v>
      </c>
      <c r="DT333" s="1">
        <f t="shared" si="114"/>
        <v>13117</v>
      </c>
      <c r="DU333" s="1"/>
      <c r="DV333" s="1"/>
      <c r="DW333" s="1"/>
      <c r="DX333" s="1">
        <f t="shared" si="122"/>
        <v>988992</v>
      </c>
      <c r="DZ333" s="1">
        <f t="shared" si="123"/>
        <v>49195</v>
      </c>
      <c r="EA333" s="1">
        <f t="shared" si="115"/>
        <v>57855</v>
      </c>
      <c r="EC333" s="1">
        <f t="shared" si="124"/>
        <v>1096042</v>
      </c>
      <c r="ED333" s="1">
        <f t="shared" si="120"/>
        <v>0</v>
      </c>
      <c r="EE333" s="1"/>
    </row>
    <row r="334" spans="1:135" x14ac:dyDescent="0.25">
      <c r="A334" s="10">
        <v>42370</v>
      </c>
      <c r="B334">
        <v>0</v>
      </c>
      <c r="C334">
        <v>0</v>
      </c>
      <c r="D334">
        <v>0</v>
      </c>
      <c r="E334">
        <v>0</v>
      </c>
      <c r="F334">
        <v>1053</v>
      </c>
      <c r="G334">
        <v>15689</v>
      </c>
      <c r="H334">
        <v>36612</v>
      </c>
      <c r="I334">
        <v>1114</v>
      </c>
      <c r="J334">
        <v>2511</v>
      </c>
      <c r="K334">
        <v>586</v>
      </c>
      <c r="L334">
        <v>23685</v>
      </c>
      <c r="M334">
        <v>1350</v>
      </c>
      <c r="N334">
        <v>330</v>
      </c>
      <c r="O334">
        <v>1083</v>
      </c>
      <c r="P334">
        <v>11517</v>
      </c>
      <c r="Q334">
        <v>283</v>
      </c>
      <c r="R334">
        <v>7081</v>
      </c>
      <c r="S334">
        <v>11583</v>
      </c>
      <c r="T334">
        <v>25</v>
      </c>
      <c r="U334">
        <v>2097</v>
      </c>
      <c r="V334">
        <v>87</v>
      </c>
      <c r="W334">
        <v>11124</v>
      </c>
      <c r="X334">
        <v>392</v>
      </c>
      <c r="Y334">
        <v>15</v>
      </c>
      <c r="Z334" s="144">
        <v>20</v>
      </c>
      <c r="AA334">
        <v>7</v>
      </c>
      <c r="AB334">
        <v>250</v>
      </c>
      <c r="AC334">
        <v>27</v>
      </c>
      <c r="AD334">
        <v>40</v>
      </c>
      <c r="AE334">
        <v>37</v>
      </c>
      <c r="AF334">
        <v>74</v>
      </c>
      <c r="AG334">
        <v>42</v>
      </c>
      <c r="AH334">
        <v>963</v>
      </c>
      <c r="AI334">
        <v>8</v>
      </c>
      <c r="AJ334">
        <v>13982</v>
      </c>
      <c r="AK334">
        <v>115690</v>
      </c>
      <c r="AL334">
        <v>2805</v>
      </c>
      <c r="AM334">
        <v>21979</v>
      </c>
      <c r="AN334">
        <v>20</v>
      </c>
      <c r="AO334">
        <v>20</v>
      </c>
      <c r="AP334">
        <v>9577</v>
      </c>
      <c r="AQ334">
        <v>0</v>
      </c>
      <c r="AR334">
        <v>819</v>
      </c>
      <c r="AS334">
        <v>50</v>
      </c>
      <c r="AT334">
        <v>11443</v>
      </c>
      <c r="AU334">
        <v>2631</v>
      </c>
      <c r="AV334">
        <v>5221</v>
      </c>
      <c r="AW334">
        <v>16796</v>
      </c>
      <c r="AX334" s="144">
        <v>35</v>
      </c>
      <c r="AY334" s="144">
        <v>26</v>
      </c>
      <c r="AZ334" s="144">
        <v>1015</v>
      </c>
      <c r="BA334" s="144">
        <v>0</v>
      </c>
      <c r="BB334">
        <v>139</v>
      </c>
      <c r="BC334">
        <v>621</v>
      </c>
      <c r="BD334">
        <v>0</v>
      </c>
      <c r="BE334">
        <v>0</v>
      </c>
      <c r="BF334">
        <v>7665</v>
      </c>
      <c r="BG334">
        <v>0</v>
      </c>
      <c r="BH334">
        <v>0</v>
      </c>
      <c r="BI334">
        <v>0</v>
      </c>
      <c r="BJ334">
        <v>64</v>
      </c>
      <c r="BK334">
        <v>5454</v>
      </c>
      <c r="BL334">
        <v>1</v>
      </c>
      <c r="BM334">
        <v>325</v>
      </c>
      <c r="BN334">
        <v>2</v>
      </c>
      <c r="BO334">
        <v>111504</v>
      </c>
      <c r="BP334">
        <v>76921</v>
      </c>
      <c r="BQ334">
        <v>757</v>
      </c>
      <c r="BR334">
        <v>110</v>
      </c>
      <c r="BS334">
        <v>24725</v>
      </c>
      <c r="BT334">
        <v>456</v>
      </c>
      <c r="BU334">
        <v>11</v>
      </c>
      <c r="BV334">
        <v>2</v>
      </c>
      <c r="BW334">
        <v>5</v>
      </c>
      <c r="BX334">
        <v>5951</v>
      </c>
      <c r="BY334">
        <v>147</v>
      </c>
      <c r="BZ334">
        <v>0</v>
      </c>
      <c r="CA334">
        <v>23139</v>
      </c>
      <c r="CB334">
        <v>16196</v>
      </c>
      <c r="CC334">
        <v>134878</v>
      </c>
      <c r="CD334">
        <v>274263</v>
      </c>
      <c r="CE334">
        <v>29684</v>
      </c>
      <c r="CF334">
        <v>49535</v>
      </c>
      <c r="CG334">
        <v>0</v>
      </c>
      <c r="CH334">
        <v>15</v>
      </c>
      <c r="CI334">
        <v>2</v>
      </c>
      <c r="CJ334">
        <v>24</v>
      </c>
      <c r="CQ334">
        <v>215</v>
      </c>
      <c r="CR334">
        <v>6</v>
      </c>
      <c r="CY334">
        <v>0</v>
      </c>
      <c r="CZ334">
        <v>0</v>
      </c>
      <c r="DA334">
        <v>0</v>
      </c>
      <c r="DB334">
        <v>15</v>
      </c>
      <c r="DC334">
        <v>0</v>
      </c>
      <c r="DD334">
        <v>27</v>
      </c>
      <c r="DE334">
        <f t="shared" si="117"/>
        <v>1094611</v>
      </c>
      <c r="DF334" s="1"/>
      <c r="DG334" s="1">
        <f t="shared" si="105"/>
        <v>762518</v>
      </c>
      <c r="DH334" s="1">
        <f t="shared" si="106"/>
        <v>274198</v>
      </c>
      <c r="DI334" s="1">
        <f t="shared" si="116"/>
        <v>1036716</v>
      </c>
      <c r="DK334" s="1">
        <f t="shared" si="108"/>
        <v>58332</v>
      </c>
      <c r="DL334" s="1">
        <f t="shared" si="118"/>
        <v>155596</v>
      </c>
      <c r="DM334" s="1">
        <f t="shared" si="109"/>
        <v>11583</v>
      </c>
      <c r="DN334" s="1">
        <f t="shared" si="110"/>
        <v>48446</v>
      </c>
      <c r="DO334" s="1">
        <f t="shared" si="111"/>
        <v>463563</v>
      </c>
      <c r="DP334" s="1">
        <f t="shared" si="119"/>
        <v>102618</v>
      </c>
      <c r="DQ334" s="1">
        <f t="shared" si="121"/>
        <v>6172</v>
      </c>
      <c r="DR334" s="1">
        <f t="shared" si="112"/>
        <v>16231</v>
      </c>
      <c r="DS334" s="1">
        <f t="shared" si="113"/>
        <v>111515</v>
      </c>
      <c r="DT334" s="1">
        <f t="shared" si="114"/>
        <v>13125</v>
      </c>
      <c r="DU334" s="1"/>
      <c r="DV334" s="1"/>
      <c r="DW334" s="1"/>
      <c r="DX334" s="1">
        <f t="shared" si="122"/>
        <v>987181</v>
      </c>
      <c r="DZ334" s="1">
        <f t="shared" si="123"/>
        <v>49535</v>
      </c>
      <c r="EA334" s="1">
        <f t="shared" si="115"/>
        <v>57895</v>
      </c>
      <c r="EC334" s="1">
        <f t="shared" si="124"/>
        <v>1094611</v>
      </c>
      <c r="ED334" s="1">
        <f t="shared" si="120"/>
        <v>0</v>
      </c>
      <c r="EE334" s="1"/>
    </row>
    <row r="335" spans="1:135" x14ac:dyDescent="0.25">
      <c r="A335" s="10">
        <v>42401</v>
      </c>
      <c r="B335">
        <v>0</v>
      </c>
      <c r="C335">
        <v>0</v>
      </c>
      <c r="D335">
        <v>0</v>
      </c>
      <c r="E335">
        <v>0</v>
      </c>
      <c r="F335">
        <v>1040</v>
      </c>
      <c r="G335">
        <v>15698</v>
      </c>
      <c r="H335">
        <v>36655</v>
      </c>
      <c r="I335">
        <v>1078</v>
      </c>
      <c r="J335">
        <v>2457</v>
      </c>
      <c r="K335">
        <v>637</v>
      </c>
      <c r="L335">
        <v>23850</v>
      </c>
      <c r="M335">
        <v>1342</v>
      </c>
      <c r="N335">
        <v>357</v>
      </c>
      <c r="O335">
        <v>1068</v>
      </c>
      <c r="P335">
        <v>11554</v>
      </c>
      <c r="Q335">
        <v>278</v>
      </c>
      <c r="R335">
        <v>7087</v>
      </c>
      <c r="S335">
        <v>11615</v>
      </c>
      <c r="T335">
        <v>27</v>
      </c>
      <c r="U335">
        <v>2122</v>
      </c>
      <c r="V335">
        <v>88</v>
      </c>
      <c r="W335">
        <v>11230</v>
      </c>
      <c r="X335">
        <v>408</v>
      </c>
      <c r="Y335">
        <v>13</v>
      </c>
      <c r="Z335" s="144">
        <v>11</v>
      </c>
      <c r="AA335">
        <v>7</v>
      </c>
      <c r="AB335">
        <v>255</v>
      </c>
      <c r="AC335">
        <v>26</v>
      </c>
      <c r="AD335">
        <v>40</v>
      </c>
      <c r="AE335">
        <v>34</v>
      </c>
      <c r="AF335">
        <v>72</v>
      </c>
      <c r="AG335">
        <v>38</v>
      </c>
      <c r="AH335">
        <v>979</v>
      </c>
      <c r="AI335">
        <v>7</v>
      </c>
      <c r="AJ335">
        <v>14039</v>
      </c>
      <c r="AK335">
        <v>115858</v>
      </c>
      <c r="AL335">
        <v>2783</v>
      </c>
      <c r="AM335">
        <v>22047</v>
      </c>
      <c r="AN335">
        <v>22</v>
      </c>
      <c r="AO335">
        <v>20</v>
      </c>
      <c r="AP335">
        <v>10325</v>
      </c>
      <c r="AQ335">
        <v>0</v>
      </c>
      <c r="AR335">
        <v>806</v>
      </c>
      <c r="AS335">
        <v>52</v>
      </c>
      <c r="AT335">
        <v>11517</v>
      </c>
      <c r="AU335">
        <v>2640</v>
      </c>
      <c r="AV335">
        <v>5211</v>
      </c>
      <c r="AW335">
        <v>16808</v>
      </c>
      <c r="AX335" s="144">
        <v>42</v>
      </c>
      <c r="AY335" s="144">
        <v>23</v>
      </c>
      <c r="AZ335" s="144">
        <v>1000</v>
      </c>
      <c r="BA335" s="144">
        <v>0</v>
      </c>
      <c r="BB335">
        <v>139</v>
      </c>
      <c r="BC335">
        <v>614</v>
      </c>
      <c r="BD335">
        <v>0</v>
      </c>
      <c r="BE335">
        <v>0</v>
      </c>
      <c r="BF335">
        <v>7662</v>
      </c>
      <c r="BG335">
        <v>0</v>
      </c>
      <c r="BH335">
        <v>0</v>
      </c>
      <c r="BI335">
        <v>0</v>
      </c>
      <c r="BJ335">
        <v>62</v>
      </c>
      <c r="BK335">
        <v>5449</v>
      </c>
      <c r="BL335">
        <v>0</v>
      </c>
      <c r="BM335">
        <v>354</v>
      </c>
      <c r="BN335">
        <v>2</v>
      </c>
      <c r="BO335">
        <v>111206</v>
      </c>
      <c r="BP335">
        <v>76755</v>
      </c>
      <c r="BQ335">
        <v>741</v>
      </c>
      <c r="BR335">
        <v>100</v>
      </c>
      <c r="BS335">
        <v>25058</v>
      </c>
      <c r="BT335">
        <v>446</v>
      </c>
      <c r="BU335">
        <v>9</v>
      </c>
      <c r="BV335">
        <v>2</v>
      </c>
      <c r="BW335">
        <v>5</v>
      </c>
      <c r="BX335">
        <v>5987</v>
      </c>
      <c r="BY335">
        <v>196</v>
      </c>
      <c r="BZ335">
        <v>0</v>
      </c>
      <c r="CA335">
        <v>23094</v>
      </c>
      <c r="CB335">
        <v>16138</v>
      </c>
      <c r="CC335">
        <v>134686</v>
      </c>
      <c r="CD335">
        <v>274738</v>
      </c>
      <c r="CE335">
        <v>29726</v>
      </c>
      <c r="CF335">
        <v>49810</v>
      </c>
      <c r="CG335">
        <v>0</v>
      </c>
      <c r="CH335">
        <v>17</v>
      </c>
      <c r="CI335">
        <v>2</v>
      </c>
      <c r="CJ335">
        <v>25</v>
      </c>
      <c r="CQ335">
        <v>213</v>
      </c>
      <c r="CR335">
        <v>6</v>
      </c>
      <c r="CY335">
        <v>0</v>
      </c>
      <c r="CZ335">
        <v>0</v>
      </c>
      <c r="DA335">
        <v>0</v>
      </c>
      <c r="DB335">
        <v>15</v>
      </c>
      <c r="DC335">
        <v>0</v>
      </c>
      <c r="DD335">
        <v>27</v>
      </c>
      <c r="DE335">
        <f t="shared" si="117"/>
        <v>1096508</v>
      </c>
      <c r="DF335" s="1"/>
      <c r="DG335" s="1">
        <f t="shared" si="105"/>
        <v>762949</v>
      </c>
      <c r="DH335" s="1">
        <f t="shared" si="106"/>
        <v>275637</v>
      </c>
      <c r="DI335" s="1">
        <f t="shared" si="116"/>
        <v>1038586</v>
      </c>
      <c r="DK335" s="1">
        <f t="shared" si="108"/>
        <v>58646</v>
      </c>
      <c r="DL335" s="1">
        <f t="shared" si="118"/>
        <v>155874</v>
      </c>
      <c r="DM335" s="1">
        <f t="shared" si="109"/>
        <v>11615</v>
      </c>
      <c r="DN335" s="1">
        <f t="shared" si="110"/>
        <v>49272</v>
      </c>
      <c r="DO335" s="1">
        <f t="shared" si="111"/>
        <v>463862</v>
      </c>
      <c r="DP335" s="1">
        <f t="shared" si="119"/>
        <v>102804</v>
      </c>
      <c r="DQ335" s="1">
        <f t="shared" si="121"/>
        <v>6206</v>
      </c>
      <c r="DR335" s="1">
        <f t="shared" si="112"/>
        <v>16166</v>
      </c>
      <c r="DS335" s="1">
        <f t="shared" si="113"/>
        <v>111215</v>
      </c>
      <c r="DT335" s="1">
        <f t="shared" si="114"/>
        <v>13116</v>
      </c>
      <c r="DU335" s="1"/>
      <c r="DV335" s="1"/>
      <c r="DW335" s="1"/>
      <c r="DX335" s="1">
        <f t="shared" si="122"/>
        <v>988776</v>
      </c>
      <c r="DZ335" s="1">
        <f t="shared" si="123"/>
        <v>49810</v>
      </c>
      <c r="EA335" s="1">
        <f t="shared" si="115"/>
        <v>57922</v>
      </c>
      <c r="EC335" s="1">
        <f t="shared" si="124"/>
        <v>1096508</v>
      </c>
      <c r="ED335" s="1">
        <f t="shared" si="120"/>
        <v>0</v>
      </c>
      <c r="EE335" s="1"/>
    </row>
    <row r="336" spans="1:135" x14ac:dyDescent="0.25">
      <c r="A336" s="10">
        <v>42430</v>
      </c>
      <c r="B336">
        <v>0</v>
      </c>
      <c r="C336">
        <v>0</v>
      </c>
      <c r="D336">
        <v>0</v>
      </c>
      <c r="E336">
        <v>0</v>
      </c>
      <c r="F336">
        <v>1070</v>
      </c>
      <c r="G336">
        <v>15881</v>
      </c>
      <c r="H336">
        <v>36989</v>
      </c>
      <c r="I336">
        <v>1054</v>
      </c>
      <c r="J336">
        <v>2406</v>
      </c>
      <c r="K336">
        <v>705</v>
      </c>
      <c r="L336">
        <v>24025</v>
      </c>
      <c r="M336">
        <v>1337</v>
      </c>
      <c r="N336">
        <v>395</v>
      </c>
      <c r="O336">
        <v>1080</v>
      </c>
      <c r="P336">
        <v>11597</v>
      </c>
      <c r="Q336">
        <v>278</v>
      </c>
      <c r="R336">
        <v>7026</v>
      </c>
      <c r="S336">
        <v>11601</v>
      </c>
      <c r="T336">
        <v>27</v>
      </c>
      <c r="U336">
        <v>2162</v>
      </c>
      <c r="V336">
        <v>93</v>
      </c>
      <c r="W336">
        <v>11420</v>
      </c>
      <c r="X336">
        <v>429</v>
      </c>
      <c r="Y336">
        <v>11</v>
      </c>
      <c r="Z336">
        <v>10</v>
      </c>
      <c r="AA336">
        <v>7</v>
      </c>
      <c r="AB336">
        <v>251</v>
      </c>
      <c r="AC336">
        <v>26</v>
      </c>
      <c r="AD336">
        <v>40</v>
      </c>
      <c r="AE336">
        <v>37</v>
      </c>
      <c r="AF336">
        <v>70</v>
      </c>
      <c r="AG336">
        <v>42</v>
      </c>
      <c r="AH336">
        <v>998</v>
      </c>
      <c r="AI336">
        <v>6</v>
      </c>
      <c r="AJ336">
        <v>14178</v>
      </c>
      <c r="AK336">
        <v>115834</v>
      </c>
      <c r="AL336">
        <v>2779</v>
      </c>
      <c r="AM336">
        <v>22138</v>
      </c>
      <c r="AN336">
        <v>21</v>
      </c>
      <c r="AO336">
        <v>25</v>
      </c>
      <c r="AP336">
        <v>10629</v>
      </c>
      <c r="AQ336">
        <v>0</v>
      </c>
      <c r="AR336">
        <v>836</v>
      </c>
      <c r="AS336">
        <v>54</v>
      </c>
      <c r="AT336">
        <v>11605</v>
      </c>
      <c r="AU336">
        <v>2644</v>
      </c>
      <c r="AV336">
        <v>5179</v>
      </c>
      <c r="AW336">
        <v>16768</v>
      </c>
      <c r="AX336">
        <v>36</v>
      </c>
      <c r="AY336">
        <v>17</v>
      </c>
      <c r="AZ336">
        <v>1011</v>
      </c>
      <c r="BA336">
        <v>0</v>
      </c>
      <c r="BB336">
        <v>145</v>
      </c>
      <c r="BC336">
        <v>622</v>
      </c>
      <c r="BD336">
        <v>0</v>
      </c>
      <c r="BE336">
        <v>0</v>
      </c>
      <c r="BF336">
        <v>7651</v>
      </c>
      <c r="BG336">
        <v>0</v>
      </c>
      <c r="BH336">
        <v>0</v>
      </c>
      <c r="BI336">
        <v>0</v>
      </c>
      <c r="BJ336">
        <v>58</v>
      </c>
      <c r="BK336">
        <v>5517</v>
      </c>
      <c r="BL336">
        <v>0</v>
      </c>
      <c r="BM336">
        <v>374</v>
      </c>
      <c r="BN336">
        <v>2</v>
      </c>
      <c r="BO336">
        <v>112462</v>
      </c>
      <c r="BP336">
        <v>76769</v>
      </c>
      <c r="BQ336">
        <v>685</v>
      </c>
      <c r="BR336">
        <v>94</v>
      </c>
      <c r="BS336">
        <v>25262</v>
      </c>
      <c r="BT336">
        <v>461</v>
      </c>
      <c r="BU336">
        <v>8</v>
      </c>
      <c r="BV336">
        <v>1</v>
      </c>
      <c r="BW336">
        <v>4</v>
      </c>
      <c r="BX336">
        <v>6073</v>
      </c>
      <c r="BY336">
        <v>210</v>
      </c>
      <c r="BZ336">
        <v>0</v>
      </c>
      <c r="CA336">
        <v>23378</v>
      </c>
      <c r="CB336">
        <v>15983</v>
      </c>
      <c r="CC336">
        <v>134885</v>
      </c>
      <c r="CD336">
        <v>275120</v>
      </c>
      <c r="CE336">
        <v>30315</v>
      </c>
      <c r="CF336">
        <v>50110</v>
      </c>
      <c r="CG336">
        <v>0</v>
      </c>
      <c r="CH336">
        <v>17</v>
      </c>
      <c r="CI336">
        <v>3</v>
      </c>
      <c r="CJ336">
        <v>27</v>
      </c>
      <c r="CQ336">
        <v>244</v>
      </c>
      <c r="CR336">
        <v>8</v>
      </c>
      <c r="CY336">
        <v>0</v>
      </c>
      <c r="CZ336">
        <v>0</v>
      </c>
      <c r="DA336">
        <v>0</v>
      </c>
      <c r="DB336">
        <v>15</v>
      </c>
      <c r="DC336">
        <v>0</v>
      </c>
      <c r="DD336">
        <v>27</v>
      </c>
      <c r="DE336">
        <f t="shared" si="117"/>
        <v>1101315</v>
      </c>
      <c r="DF336" s="1"/>
      <c r="DG336" s="1">
        <f t="shared" si="105"/>
        <v>766144</v>
      </c>
      <c r="DH336" s="1">
        <f t="shared" si="106"/>
        <v>276671</v>
      </c>
      <c r="DI336" s="1">
        <f t="shared" si="116"/>
        <v>1042815</v>
      </c>
      <c r="DK336" s="1">
        <f t="shared" si="108"/>
        <v>59045</v>
      </c>
      <c r="DL336" s="1">
        <f t="shared" si="118"/>
        <v>156133</v>
      </c>
      <c r="DM336" s="1">
        <f t="shared" si="109"/>
        <v>11601</v>
      </c>
      <c r="DN336" s="1">
        <f t="shared" si="110"/>
        <v>49630</v>
      </c>
      <c r="DO336" s="1">
        <f t="shared" si="111"/>
        <v>465275</v>
      </c>
      <c r="DP336" s="1">
        <f t="shared" si="119"/>
        <v>103044</v>
      </c>
      <c r="DQ336" s="1">
        <f t="shared" si="121"/>
        <v>6325</v>
      </c>
      <c r="DR336" s="1">
        <f t="shared" si="112"/>
        <v>16010</v>
      </c>
      <c r="DS336" s="1">
        <f t="shared" si="113"/>
        <v>112470</v>
      </c>
      <c r="DT336" s="1">
        <f t="shared" si="114"/>
        <v>13172</v>
      </c>
      <c r="DU336" s="1"/>
      <c r="DV336" s="1"/>
      <c r="DW336" s="1"/>
      <c r="DX336" s="1">
        <f t="shared" si="122"/>
        <v>992705</v>
      </c>
      <c r="DZ336" s="1">
        <f t="shared" si="123"/>
        <v>50110</v>
      </c>
      <c r="EA336" s="1">
        <f t="shared" si="115"/>
        <v>58500</v>
      </c>
      <c r="EC336" s="1">
        <f t="shared" si="124"/>
        <v>1101315</v>
      </c>
      <c r="ED336" s="1">
        <f t="shared" si="120"/>
        <v>0</v>
      </c>
      <c r="EE336" s="1"/>
    </row>
    <row r="337" spans="1:135" x14ac:dyDescent="0.25">
      <c r="A337" s="10">
        <v>42461</v>
      </c>
      <c r="B337">
        <v>0</v>
      </c>
      <c r="C337">
        <v>0</v>
      </c>
      <c r="D337">
        <v>0</v>
      </c>
      <c r="E337">
        <v>0</v>
      </c>
      <c r="F337">
        <v>1098</v>
      </c>
      <c r="G337">
        <v>15966</v>
      </c>
      <c r="H337">
        <v>37476</v>
      </c>
      <c r="I337">
        <v>1048</v>
      </c>
      <c r="J337">
        <v>2407</v>
      </c>
      <c r="K337">
        <v>782</v>
      </c>
      <c r="L337">
        <v>24406</v>
      </c>
      <c r="M337">
        <v>1346</v>
      </c>
      <c r="N337">
        <v>434</v>
      </c>
      <c r="O337">
        <v>1124</v>
      </c>
      <c r="P337">
        <v>11550</v>
      </c>
      <c r="Q337">
        <v>281</v>
      </c>
      <c r="R337">
        <v>7007</v>
      </c>
      <c r="S337">
        <v>11726</v>
      </c>
      <c r="T337">
        <v>32</v>
      </c>
      <c r="U337">
        <v>2225</v>
      </c>
      <c r="V337">
        <v>93</v>
      </c>
      <c r="W337">
        <v>11674</v>
      </c>
      <c r="X337">
        <v>458</v>
      </c>
      <c r="Y337">
        <v>10</v>
      </c>
      <c r="Z337">
        <v>9</v>
      </c>
      <c r="AA337">
        <v>7</v>
      </c>
      <c r="AB337">
        <v>252</v>
      </c>
      <c r="AC337">
        <v>26</v>
      </c>
      <c r="AD337">
        <v>39</v>
      </c>
      <c r="AE337">
        <v>35</v>
      </c>
      <c r="AF337">
        <v>73</v>
      </c>
      <c r="AG337">
        <v>52</v>
      </c>
      <c r="AH337">
        <v>1038</v>
      </c>
      <c r="AI337">
        <v>7</v>
      </c>
      <c r="AJ337">
        <v>14325</v>
      </c>
      <c r="AK337">
        <v>115768</v>
      </c>
      <c r="AL337">
        <v>2766</v>
      </c>
      <c r="AM337">
        <v>22134</v>
      </c>
      <c r="AN337">
        <v>21</v>
      </c>
      <c r="AO337">
        <v>33</v>
      </c>
      <c r="AP337">
        <v>10911</v>
      </c>
      <c r="AQ337">
        <v>0</v>
      </c>
      <c r="AR337">
        <v>900</v>
      </c>
      <c r="AS337">
        <v>56</v>
      </c>
      <c r="AT337">
        <v>11691</v>
      </c>
      <c r="AU337">
        <v>2617</v>
      </c>
      <c r="AV337">
        <v>5180</v>
      </c>
      <c r="AW337">
        <v>16825</v>
      </c>
      <c r="AX337">
        <v>34</v>
      </c>
      <c r="AY337">
        <v>19</v>
      </c>
      <c r="AZ337">
        <v>1011</v>
      </c>
      <c r="BA337">
        <v>0</v>
      </c>
      <c r="BB337">
        <v>148</v>
      </c>
      <c r="BC337">
        <v>629</v>
      </c>
      <c r="BD337">
        <v>0</v>
      </c>
      <c r="BE337">
        <v>0</v>
      </c>
      <c r="BF337">
        <v>7672</v>
      </c>
      <c r="BG337">
        <v>0</v>
      </c>
      <c r="BH337">
        <v>0</v>
      </c>
      <c r="BI337">
        <v>0</v>
      </c>
      <c r="BJ337">
        <v>58</v>
      </c>
      <c r="BK337">
        <v>5481</v>
      </c>
      <c r="BL337">
        <v>1</v>
      </c>
      <c r="BM337">
        <v>407</v>
      </c>
      <c r="BN337">
        <v>2</v>
      </c>
      <c r="BO337">
        <v>113596</v>
      </c>
      <c r="BP337">
        <v>76753</v>
      </c>
      <c r="BQ337">
        <v>645</v>
      </c>
      <c r="BR337">
        <v>90</v>
      </c>
      <c r="BS337">
        <v>25461</v>
      </c>
      <c r="BT337">
        <v>444</v>
      </c>
      <c r="BU337">
        <v>8</v>
      </c>
      <c r="BV337">
        <v>1</v>
      </c>
      <c r="BW337">
        <v>4</v>
      </c>
      <c r="BX337">
        <v>6687</v>
      </c>
      <c r="BY337">
        <v>223</v>
      </c>
      <c r="BZ337">
        <v>0</v>
      </c>
      <c r="CA337">
        <v>23582</v>
      </c>
      <c r="CB337">
        <v>16535</v>
      </c>
      <c r="CC337">
        <v>135546</v>
      </c>
      <c r="CD337">
        <v>276373</v>
      </c>
      <c r="CE337">
        <v>30707</v>
      </c>
      <c r="CF337">
        <v>50717</v>
      </c>
      <c r="CG337">
        <v>0</v>
      </c>
      <c r="CH337">
        <v>12</v>
      </c>
      <c r="CI337">
        <v>3</v>
      </c>
      <c r="CJ337">
        <v>30</v>
      </c>
      <c r="CQ337">
        <v>277</v>
      </c>
      <c r="CR337">
        <v>6</v>
      </c>
      <c r="CY337">
        <v>0</v>
      </c>
      <c r="CZ337">
        <v>0</v>
      </c>
      <c r="DA337">
        <v>0</v>
      </c>
      <c r="DB337">
        <v>15</v>
      </c>
      <c r="DC337">
        <v>0</v>
      </c>
      <c r="DD337">
        <v>27</v>
      </c>
      <c r="DE337">
        <f t="shared" si="117"/>
        <v>1109070</v>
      </c>
      <c r="DF337" s="1"/>
      <c r="DG337" s="1">
        <f t="shared" si="105"/>
        <v>771720</v>
      </c>
      <c r="DH337" s="1">
        <f t="shared" si="106"/>
        <v>278139</v>
      </c>
      <c r="DI337" s="1">
        <f t="shared" si="116"/>
        <v>1049859</v>
      </c>
      <c r="DK337" s="1">
        <f t="shared" si="108"/>
        <v>59738</v>
      </c>
      <c r="DL337" s="1">
        <f t="shared" si="118"/>
        <v>156407</v>
      </c>
      <c r="DM337" s="1">
        <f t="shared" si="109"/>
        <v>11726</v>
      </c>
      <c r="DN337" s="1">
        <f t="shared" si="110"/>
        <v>49976</v>
      </c>
      <c r="DO337" s="1">
        <f t="shared" si="111"/>
        <v>467738</v>
      </c>
      <c r="DP337" s="1">
        <f t="shared" si="119"/>
        <v>103269</v>
      </c>
      <c r="DQ337" s="1">
        <f t="shared" si="121"/>
        <v>6970</v>
      </c>
      <c r="DR337" s="1">
        <f t="shared" si="112"/>
        <v>16556</v>
      </c>
      <c r="DS337" s="1">
        <f t="shared" si="113"/>
        <v>113604</v>
      </c>
      <c r="DT337" s="1">
        <f t="shared" si="114"/>
        <v>13158</v>
      </c>
      <c r="DU337" s="1"/>
      <c r="DV337" s="1"/>
      <c r="DW337" s="1"/>
      <c r="DX337" s="1">
        <f t="shared" si="122"/>
        <v>999142</v>
      </c>
      <c r="DZ337" s="1">
        <f t="shared" si="123"/>
        <v>50717</v>
      </c>
      <c r="EA337" s="1">
        <f t="shared" si="115"/>
        <v>59211</v>
      </c>
      <c r="EC337" s="1">
        <f t="shared" si="124"/>
        <v>1109070</v>
      </c>
      <c r="ED337" s="1">
        <f t="shared" si="120"/>
        <v>0</v>
      </c>
      <c r="EE337" s="1"/>
    </row>
    <row r="338" spans="1:135" x14ac:dyDescent="0.25">
      <c r="A338" s="10">
        <v>42491</v>
      </c>
      <c r="B338">
        <v>0</v>
      </c>
      <c r="C338">
        <v>0</v>
      </c>
      <c r="D338">
        <v>0</v>
      </c>
      <c r="E338">
        <v>0</v>
      </c>
      <c r="F338">
        <v>1077</v>
      </c>
      <c r="G338">
        <v>16154</v>
      </c>
      <c r="H338">
        <v>37977</v>
      </c>
      <c r="I338">
        <v>1046</v>
      </c>
      <c r="J338">
        <v>2384</v>
      </c>
      <c r="K338">
        <v>821</v>
      </c>
      <c r="L338">
        <v>24700</v>
      </c>
      <c r="M338">
        <v>1336</v>
      </c>
      <c r="N338">
        <v>452</v>
      </c>
      <c r="O338">
        <v>1150</v>
      </c>
      <c r="P338">
        <v>11555</v>
      </c>
      <c r="Q338">
        <v>284</v>
      </c>
      <c r="R338">
        <v>6980</v>
      </c>
      <c r="S338">
        <v>11791</v>
      </c>
      <c r="T338">
        <v>32</v>
      </c>
      <c r="U338">
        <v>2289</v>
      </c>
      <c r="V338">
        <v>86</v>
      </c>
      <c r="W338">
        <v>11803</v>
      </c>
      <c r="X338">
        <v>451</v>
      </c>
      <c r="Y338">
        <v>9</v>
      </c>
      <c r="Z338">
        <v>7</v>
      </c>
      <c r="AA338">
        <v>7</v>
      </c>
      <c r="AB338">
        <v>243</v>
      </c>
      <c r="AC338">
        <v>26</v>
      </c>
      <c r="AD338">
        <v>37</v>
      </c>
      <c r="AE338">
        <v>36</v>
      </c>
      <c r="AF338">
        <v>70</v>
      </c>
      <c r="AG338">
        <v>54</v>
      </c>
      <c r="AH338">
        <v>1064</v>
      </c>
      <c r="AI338">
        <v>7</v>
      </c>
      <c r="AJ338">
        <v>14375</v>
      </c>
      <c r="AK338">
        <v>115284</v>
      </c>
      <c r="AL338">
        <v>2752</v>
      </c>
      <c r="AM338">
        <v>22098</v>
      </c>
      <c r="AN338">
        <v>19</v>
      </c>
      <c r="AO338">
        <v>33</v>
      </c>
      <c r="AP338">
        <v>11074</v>
      </c>
      <c r="AQ338">
        <v>0</v>
      </c>
      <c r="AR338">
        <v>929</v>
      </c>
      <c r="AS338">
        <v>57</v>
      </c>
      <c r="AT338">
        <v>11767</v>
      </c>
      <c r="AU338">
        <v>2614</v>
      </c>
      <c r="AV338">
        <v>5125</v>
      </c>
      <c r="AW338">
        <v>16794</v>
      </c>
      <c r="AX338">
        <v>32</v>
      </c>
      <c r="AY338">
        <v>14</v>
      </c>
      <c r="AZ338">
        <v>1005</v>
      </c>
      <c r="BA338">
        <v>0</v>
      </c>
      <c r="BB338">
        <v>143</v>
      </c>
      <c r="BC338">
        <v>630</v>
      </c>
      <c r="BD338">
        <v>0</v>
      </c>
      <c r="BE338">
        <v>0</v>
      </c>
      <c r="BF338">
        <v>7698</v>
      </c>
      <c r="BG338">
        <v>0</v>
      </c>
      <c r="BH338">
        <v>0</v>
      </c>
      <c r="BI338">
        <v>0</v>
      </c>
      <c r="BJ338">
        <v>62</v>
      </c>
      <c r="BK338">
        <v>5518</v>
      </c>
      <c r="BL338">
        <v>0</v>
      </c>
      <c r="BM338">
        <v>377</v>
      </c>
      <c r="BN338">
        <v>2</v>
      </c>
      <c r="BO338">
        <v>108417</v>
      </c>
      <c r="BP338">
        <v>76570</v>
      </c>
      <c r="BQ338">
        <v>600</v>
      </c>
      <c r="BR338">
        <v>81</v>
      </c>
      <c r="BS338">
        <v>25544</v>
      </c>
      <c r="BT338">
        <v>428</v>
      </c>
      <c r="BU338">
        <v>1</v>
      </c>
      <c r="BV338">
        <v>0</v>
      </c>
      <c r="BW338">
        <v>4</v>
      </c>
      <c r="BX338">
        <v>7222</v>
      </c>
      <c r="BY338">
        <v>244</v>
      </c>
      <c r="BZ338">
        <v>0</v>
      </c>
      <c r="CA338">
        <v>23711</v>
      </c>
      <c r="CB338">
        <v>16672</v>
      </c>
      <c r="CC338">
        <v>135872</v>
      </c>
      <c r="CD338">
        <v>277134</v>
      </c>
      <c r="CE338">
        <v>30650</v>
      </c>
      <c r="CF338">
        <v>51096</v>
      </c>
      <c r="CG338">
        <v>0</v>
      </c>
      <c r="CH338">
        <v>14</v>
      </c>
      <c r="CI338">
        <v>4</v>
      </c>
      <c r="CJ338">
        <v>31</v>
      </c>
      <c r="CQ338">
        <v>292</v>
      </c>
      <c r="CR338">
        <v>7</v>
      </c>
      <c r="CY338">
        <v>0</v>
      </c>
      <c r="CZ338">
        <v>0</v>
      </c>
      <c r="DA338">
        <v>0</v>
      </c>
      <c r="DB338">
        <v>14</v>
      </c>
      <c r="DC338">
        <v>0</v>
      </c>
      <c r="DD338">
        <v>27</v>
      </c>
      <c r="DE338">
        <f t="shared" si="117"/>
        <v>1106924</v>
      </c>
      <c r="DF338" s="1"/>
      <c r="DG338" s="1">
        <f t="shared" si="105"/>
        <v>768628</v>
      </c>
      <c r="DH338" s="1">
        <f t="shared" si="106"/>
        <v>278385</v>
      </c>
      <c r="DI338" s="1">
        <f t="shared" si="116"/>
        <v>1047013</v>
      </c>
      <c r="DK338" s="1">
        <f t="shared" si="108"/>
        <v>60215</v>
      </c>
      <c r="DL338" s="1">
        <f t="shared" si="118"/>
        <v>156004</v>
      </c>
      <c r="DM338" s="1">
        <f t="shared" si="109"/>
        <v>11791</v>
      </c>
      <c r="DN338" s="1">
        <f t="shared" si="110"/>
        <v>50069</v>
      </c>
      <c r="DO338" s="1">
        <f t="shared" si="111"/>
        <v>468851</v>
      </c>
      <c r="DP338" s="1">
        <f t="shared" si="119"/>
        <v>103135</v>
      </c>
      <c r="DQ338" s="1">
        <f t="shared" si="121"/>
        <v>7521</v>
      </c>
      <c r="DR338" s="1">
        <f t="shared" si="112"/>
        <v>16693</v>
      </c>
      <c r="DS338" s="1">
        <f t="shared" si="113"/>
        <v>108418</v>
      </c>
      <c r="DT338" s="1">
        <f t="shared" si="114"/>
        <v>13220</v>
      </c>
      <c r="DU338" s="1"/>
      <c r="DV338" s="1"/>
      <c r="DW338" s="1"/>
      <c r="DX338" s="1">
        <f t="shared" si="122"/>
        <v>995917</v>
      </c>
      <c r="DZ338" s="1">
        <f t="shared" si="123"/>
        <v>51096</v>
      </c>
      <c r="EA338" s="1">
        <f t="shared" si="115"/>
        <v>59911</v>
      </c>
      <c r="EC338" s="1">
        <f t="shared" si="124"/>
        <v>1106924</v>
      </c>
      <c r="ED338" s="1">
        <f t="shared" si="120"/>
        <v>0</v>
      </c>
      <c r="EE338" s="1"/>
    </row>
    <row r="339" spans="1:135" x14ac:dyDescent="0.25">
      <c r="A339" s="10">
        <v>42522</v>
      </c>
      <c r="B339">
        <v>0</v>
      </c>
      <c r="C339">
        <v>0</v>
      </c>
      <c r="D339">
        <v>0</v>
      </c>
      <c r="E339">
        <v>0</v>
      </c>
      <c r="F339">
        <v>1093</v>
      </c>
      <c r="G339">
        <v>16359</v>
      </c>
      <c r="H339">
        <v>38276</v>
      </c>
      <c r="I339">
        <v>1006</v>
      </c>
      <c r="J339">
        <v>2371</v>
      </c>
      <c r="K339">
        <v>851</v>
      </c>
      <c r="L339">
        <v>24875</v>
      </c>
      <c r="M339">
        <v>1331</v>
      </c>
      <c r="N339">
        <v>467</v>
      </c>
      <c r="O339">
        <v>1170</v>
      </c>
      <c r="P339">
        <v>11575</v>
      </c>
      <c r="Q339">
        <v>278</v>
      </c>
      <c r="R339">
        <v>6902</v>
      </c>
      <c r="S339">
        <v>11866</v>
      </c>
      <c r="T339">
        <v>30</v>
      </c>
      <c r="U339">
        <v>2341</v>
      </c>
      <c r="V339">
        <v>83</v>
      </c>
      <c r="W339">
        <v>11975</v>
      </c>
      <c r="X339">
        <v>453</v>
      </c>
      <c r="Y339">
        <v>9</v>
      </c>
      <c r="Z339">
        <v>13</v>
      </c>
      <c r="AA339">
        <v>8</v>
      </c>
      <c r="AB339">
        <v>242</v>
      </c>
      <c r="AC339">
        <v>25</v>
      </c>
      <c r="AD339">
        <v>36</v>
      </c>
      <c r="AE339">
        <v>32</v>
      </c>
      <c r="AF339">
        <v>73</v>
      </c>
      <c r="AG339">
        <v>52</v>
      </c>
      <c r="AH339">
        <v>1077</v>
      </c>
      <c r="AI339">
        <v>6</v>
      </c>
      <c r="AJ339">
        <v>14504</v>
      </c>
      <c r="AK339">
        <v>115161</v>
      </c>
      <c r="AL339">
        <v>2752</v>
      </c>
      <c r="AM339">
        <v>21944</v>
      </c>
      <c r="AN339">
        <v>20</v>
      </c>
      <c r="AO339">
        <v>37</v>
      </c>
      <c r="AP339">
        <v>11213</v>
      </c>
      <c r="AQ339">
        <v>0</v>
      </c>
      <c r="AR339">
        <v>929</v>
      </c>
      <c r="AS339">
        <v>58</v>
      </c>
      <c r="AT339">
        <v>11838</v>
      </c>
      <c r="AU339">
        <v>2629</v>
      </c>
      <c r="AV339">
        <v>5098</v>
      </c>
      <c r="AW339">
        <v>16673</v>
      </c>
      <c r="AX339">
        <v>32</v>
      </c>
      <c r="AY339">
        <v>19</v>
      </c>
      <c r="AZ339">
        <v>991</v>
      </c>
      <c r="BA339">
        <v>0</v>
      </c>
      <c r="BB339">
        <v>147</v>
      </c>
      <c r="BC339">
        <v>627</v>
      </c>
      <c r="BD339">
        <v>0</v>
      </c>
      <c r="BE339">
        <v>0</v>
      </c>
      <c r="BF339">
        <v>7685</v>
      </c>
      <c r="BG339">
        <v>0</v>
      </c>
      <c r="BH339">
        <v>0</v>
      </c>
      <c r="BI339">
        <v>0</v>
      </c>
      <c r="BJ339">
        <v>55</v>
      </c>
      <c r="BK339">
        <v>5580</v>
      </c>
      <c r="BL339">
        <v>0</v>
      </c>
      <c r="BM339">
        <v>366</v>
      </c>
      <c r="BN339">
        <v>2</v>
      </c>
      <c r="BO339">
        <v>106781</v>
      </c>
      <c r="BP339">
        <v>76185</v>
      </c>
      <c r="BQ339">
        <v>572</v>
      </c>
      <c r="BR339">
        <v>67</v>
      </c>
      <c r="BS339">
        <v>25342</v>
      </c>
      <c r="BT339">
        <v>400</v>
      </c>
      <c r="BU339">
        <v>5</v>
      </c>
      <c r="BV339">
        <v>0</v>
      </c>
      <c r="BW339">
        <v>4</v>
      </c>
      <c r="BX339">
        <v>7575</v>
      </c>
      <c r="BY339">
        <v>254</v>
      </c>
      <c r="BZ339">
        <v>0</v>
      </c>
      <c r="CA339">
        <v>23880</v>
      </c>
      <c r="CB339">
        <v>16507</v>
      </c>
      <c r="CC339">
        <v>135673</v>
      </c>
      <c r="CD339">
        <v>278072</v>
      </c>
      <c r="CE339">
        <v>30567</v>
      </c>
      <c r="CF339">
        <v>51432</v>
      </c>
      <c r="CG339">
        <v>0</v>
      </c>
      <c r="CH339">
        <v>13</v>
      </c>
      <c r="CI339">
        <v>4</v>
      </c>
      <c r="CJ339">
        <v>33</v>
      </c>
      <c r="CQ339">
        <v>310</v>
      </c>
      <c r="CR339">
        <v>9</v>
      </c>
      <c r="CY339">
        <v>0</v>
      </c>
      <c r="CZ339">
        <v>0</v>
      </c>
      <c r="DA339">
        <v>0</v>
      </c>
      <c r="DB339">
        <v>14</v>
      </c>
      <c r="DC339">
        <v>0</v>
      </c>
      <c r="DD339">
        <v>27</v>
      </c>
      <c r="DE339">
        <f t="shared" si="117"/>
        <v>1106920</v>
      </c>
      <c r="DF339" s="1"/>
      <c r="DG339" s="1">
        <f t="shared" si="105"/>
        <v>767732</v>
      </c>
      <c r="DH339" s="1">
        <f t="shared" si="106"/>
        <v>278765</v>
      </c>
      <c r="DI339" s="1">
        <f t="shared" si="116"/>
        <v>1046497</v>
      </c>
      <c r="DK339" s="1">
        <f t="shared" si="108"/>
        <v>60560</v>
      </c>
      <c r="DL339" s="1">
        <f t="shared" si="118"/>
        <v>156067</v>
      </c>
      <c r="DM339" s="1">
        <f t="shared" si="109"/>
        <v>11866</v>
      </c>
      <c r="DN339" s="1">
        <f t="shared" si="110"/>
        <v>49940</v>
      </c>
      <c r="DO339" s="1">
        <f t="shared" si="111"/>
        <v>469611</v>
      </c>
      <c r="DP339" s="1">
        <f t="shared" si="119"/>
        <v>102539</v>
      </c>
      <c r="DQ339" s="1">
        <f t="shared" si="121"/>
        <v>7894</v>
      </c>
      <c r="DR339" s="1">
        <f t="shared" si="112"/>
        <v>16533</v>
      </c>
      <c r="DS339" s="1">
        <f t="shared" si="113"/>
        <v>106786</v>
      </c>
      <c r="DT339" s="1">
        <f t="shared" si="114"/>
        <v>13269</v>
      </c>
      <c r="DU339" s="1"/>
      <c r="DV339" s="1"/>
      <c r="DW339" s="1"/>
      <c r="DX339" s="1">
        <f t="shared" si="122"/>
        <v>995065</v>
      </c>
      <c r="DZ339" s="1">
        <f t="shared" si="123"/>
        <v>51432</v>
      </c>
      <c r="EA339" s="1">
        <f t="shared" si="115"/>
        <v>60423</v>
      </c>
      <c r="EC339" s="1">
        <f t="shared" si="124"/>
        <v>1106920</v>
      </c>
      <c r="ED339" s="1">
        <f t="shared" si="120"/>
        <v>0</v>
      </c>
      <c r="EE339" s="1"/>
    </row>
    <row r="340" spans="1:135" x14ac:dyDescent="0.25">
      <c r="A340" s="10">
        <v>42552</v>
      </c>
      <c r="B340">
        <v>0</v>
      </c>
      <c r="C340">
        <v>0</v>
      </c>
      <c r="D340">
        <v>0</v>
      </c>
      <c r="E340">
        <v>0</v>
      </c>
      <c r="F340">
        <v>1086</v>
      </c>
      <c r="G340">
        <v>16326</v>
      </c>
      <c r="H340">
        <v>38579</v>
      </c>
      <c r="I340">
        <v>991</v>
      </c>
      <c r="J340">
        <v>2323</v>
      </c>
      <c r="K340">
        <v>889</v>
      </c>
      <c r="L340">
        <v>25233</v>
      </c>
      <c r="M340">
        <v>1364</v>
      </c>
      <c r="N340">
        <v>489</v>
      </c>
      <c r="O340">
        <v>1180</v>
      </c>
      <c r="P340">
        <v>11562</v>
      </c>
      <c r="Q340">
        <v>274</v>
      </c>
      <c r="R340">
        <v>6819</v>
      </c>
      <c r="S340">
        <v>11986</v>
      </c>
      <c r="T340">
        <v>31</v>
      </c>
      <c r="U340">
        <v>2448</v>
      </c>
      <c r="V340">
        <v>80</v>
      </c>
      <c r="W340">
        <v>12348</v>
      </c>
      <c r="X340">
        <v>465</v>
      </c>
      <c r="Y340">
        <v>9</v>
      </c>
      <c r="Z340">
        <v>14</v>
      </c>
      <c r="AA340">
        <v>7</v>
      </c>
      <c r="AB340">
        <v>243</v>
      </c>
      <c r="AC340">
        <v>25</v>
      </c>
      <c r="AD340">
        <v>36</v>
      </c>
      <c r="AE340">
        <v>29</v>
      </c>
      <c r="AF340">
        <v>72</v>
      </c>
      <c r="AG340">
        <v>52</v>
      </c>
      <c r="AH340">
        <v>1139</v>
      </c>
      <c r="AI340">
        <v>5</v>
      </c>
      <c r="AJ340">
        <v>14738</v>
      </c>
      <c r="AK340">
        <v>115101</v>
      </c>
      <c r="AL340">
        <v>2748</v>
      </c>
      <c r="AM340">
        <v>21911</v>
      </c>
      <c r="AN340">
        <v>22</v>
      </c>
      <c r="AO340">
        <v>51</v>
      </c>
      <c r="AP340">
        <v>11322</v>
      </c>
      <c r="AQ340">
        <v>0</v>
      </c>
      <c r="AR340">
        <v>898</v>
      </c>
      <c r="AS340">
        <v>60</v>
      </c>
      <c r="AT340">
        <v>11752</v>
      </c>
      <c r="AU340">
        <v>2593</v>
      </c>
      <c r="AV340">
        <v>5007</v>
      </c>
      <c r="AW340">
        <v>16625</v>
      </c>
      <c r="AX340">
        <v>36</v>
      </c>
      <c r="AY340">
        <v>24</v>
      </c>
      <c r="AZ340">
        <v>995</v>
      </c>
      <c r="BA340">
        <v>1</v>
      </c>
      <c r="BB340">
        <v>140</v>
      </c>
      <c r="BC340">
        <v>644</v>
      </c>
      <c r="BD340">
        <v>0</v>
      </c>
      <c r="BE340">
        <v>0</v>
      </c>
      <c r="BF340">
        <v>7693</v>
      </c>
      <c r="BG340">
        <v>0</v>
      </c>
      <c r="BH340">
        <v>0</v>
      </c>
      <c r="BI340">
        <v>0</v>
      </c>
      <c r="BJ340">
        <v>57</v>
      </c>
      <c r="BK340">
        <v>5614</v>
      </c>
      <c r="BL340">
        <v>0</v>
      </c>
      <c r="BM340">
        <v>351</v>
      </c>
      <c r="BN340">
        <v>2</v>
      </c>
      <c r="BO340">
        <v>108398</v>
      </c>
      <c r="BP340">
        <v>76605</v>
      </c>
      <c r="BQ340">
        <v>594</v>
      </c>
      <c r="BR340">
        <v>56</v>
      </c>
      <c r="BS340">
        <v>25491</v>
      </c>
      <c r="BT340">
        <v>437</v>
      </c>
      <c r="BU340">
        <v>11</v>
      </c>
      <c r="BV340">
        <v>0</v>
      </c>
      <c r="BW340">
        <v>4</v>
      </c>
      <c r="BX340">
        <v>7991</v>
      </c>
      <c r="BY340">
        <v>278</v>
      </c>
      <c r="BZ340">
        <v>0</v>
      </c>
      <c r="CA340">
        <v>24106</v>
      </c>
      <c r="CB340">
        <v>16599</v>
      </c>
      <c r="CC340">
        <v>135560</v>
      </c>
      <c r="CD340">
        <v>278756</v>
      </c>
      <c r="CE340">
        <v>30775</v>
      </c>
      <c r="CF340">
        <v>51468</v>
      </c>
      <c r="CG340">
        <v>0</v>
      </c>
      <c r="CH340">
        <v>19</v>
      </c>
      <c r="CI340">
        <v>4</v>
      </c>
      <c r="CJ340">
        <v>35</v>
      </c>
      <c r="CQ340">
        <v>326</v>
      </c>
      <c r="CR340">
        <v>11</v>
      </c>
      <c r="CY340">
        <v>0</v>
      </c>
      <c r="CZ340">
        <v>0</v>
      </c>
      <c r="DA340">
        <v>0</v>
      </c>
      <c r="DB340">
        <v>14</v>
      </c>
      <c r="DC340">
        <v>0</v>
      </c>
      <c r="DD340">
        <v>27</v>
      </c>
      <c r="DE340">
        <f t="shared" si="117"/>
        <v>1112013</v>
      </c>
      <c r="DF340" s="1"/>
      <c r="DG340" s="1">
        <f t="shared" si="105"/>
        <v>771608</v>
      </c>
      <c r="DH340" s="1">
        <f t="shared" si="106"/>
        <v>279722</v>
      </c>
      <c r="DI340" s="1">
        <f t="shared" si="116"/>
        <v>1051330</v>
      </c>
      <c r="DK340" s="1">
        <f t="shared" si="108"/>
        <v>61339</v>
      </c>
      <c r="DL340" s="1">
        <f t="shared" si="118"/>
        <v>156065</v>
      </c>
      <c r="DM340" s="1">
        <f t="shared" si="109"/>
        <v>11986</v>
      </c>
      <c r="DN340" s="1">
        <f t="shared" si="110"/>
        <v>49981</v>
      </c>
      <c r="DO340" s="1">
        <f t="shared" si="111"/>
        <v>470696</v>
      </c>
      <c r="DP340" s="1">
        <f t="shared" si="119"/>
        <v>103115</v>
      </c>
      <c r="DQ340" s="1">
        <f t="shared" si="121"/>
        <v>8328</v>
      </c>
      <c r="DR340" s="1">
        <f t="shared" si="112"/>
        <v>16632</v>
      </c>
      <c r="DS340" s="1">
        <f t="shared" si="113"/>
        <v>108409</v>
      </c>
      <c r="DT340" s="1">
        <f t="shared" si="114"/>
        <v>13311</v>
      </c>
      <c r="DU340" s="1"/>
      <c r="DV340" s="1"/>
      <c r="DW340" s="1"/>
      <c r="DX340" s="1">
        <f t="shared" si="122"/>
        <v>999862</v>
      </c>
      <c r="DZ340" s="1">
        <f t="shared" si="123"/>
        <v>51468</v>
      </c>
      <c r="EA340" s="1">
        <f t="shared" si="115"/>
        <v>60683</v>
      </c>
      <c r="EC340" s="1">
        <f t="shared" si="124"/>
        <v>1112013</v>
      </c>
      <c r="ED340" s="1">
        <f t="shared" si="120"/>
        <v>0</v>
      </c>
      <c r="EE340" s="1"/>
    </row>
    <row r="341" spans="1:135" x14ac:dyDescent="0.25">
      <c r="A341" s="10">
        <v>42583</v>
      </c>
      <c r="B341">
        <v>0</v>
      </c>
      <c r="C341">
        <v>0</v>
      </c>
      <c r="D341">
        <v>0</v>
      </c>
      <c r="E341">
        <v>0</v>
      </c>
      <c r="F341">
        <v>1041</v>
      </c>
      <c r="G341">
        <v>16202</v>
      </c>
      <c r="H341">
        <v>38506</v>
      </c>
      <c r="I341">
        <v>987</v>
      </c>
      <c r="J341">
        <v>2330</v>
      </c>
      <c r="K341">
        <v>914</v>
      </c>
      <c r="L341">
        <v>25734</v>
      </c>
      <c r="M341">
        <v>1360</v>
      </c>
      <c r="N341">
        <v>523</v>
      </c>
      <c r="O341">
        <v>1203</v>
      </c>
      <c r="P341">
        <v>11317</v>
      </c>
      <c r="Q341">
        <v>273</v>
      </c>
      <c r="R341">
        <v>6523</v>
      </c>
      <c r="S341">
        <v>12102</v>
      </c>
      <c r="T341">
        <v>32</v>
      </c>
      <c r="U341">
        <v>2622</v>
      </c>
      <c r="V341">
        <v>75</v>
      </c>
      <c r="W341">
        <v>12702</v>
      </c>
      <c r="X341">
        <v>466</v>
      </c>
      <c r="Y341">
        <v>8</v>
      </c>
      <c r="Z341">
        <v>10</v>
      </c>
      <c r="AA341">
        <v>5</v>
      </c>
      <c r="AB341">
        <v>235</v>
      </c>
      <c r="AC341">
        <v>24</v>
      </c>
      <c r="AD341">
        <v>36</v>
      </c>
      <c r="AE341">
        <v>30</v>
      </c>
      <c r="AF341">
        <v>64</v>
      </c>
      <c r="AG341">
        <v>49</v>
      </c>
      <c r="AH341">
        <v>1254</v>
      </c>
      <c r="AI341">
        <v>3</v>
      </c>
      <c r="AJ341">
        <v>14901</v>
      </c>
      <c r="AK341">
        <v>114104</v>
      </c>
      <c r="AL341">
        <v>2709</v>
      </c>
      <c r="AM341">
        <v>21708</v>
      </c>
      <c r="AN341">
        <v>27</v>
      </c>
      <c r="AO341">
        <v>54</v>
      </c>
      <c r="AP341">
        <v>11400</v>
      </c>
      <c r="AQ341">
        <v>0</v>
      </c>
      <c r="AR341">
        <v>879</v>
      </c>
      <c r="AS341">
        <v>59</v>
      </c>
      <c r="AT341">
        <v>11576</v>
      </c>
      <c r="AU341">
        <v>2516</v>
      </c>
      <c r="AV341">
        <v>4797</v>
      </c>
      <c r="AW341">
        <v>16462</v>
      </c>
      <c r="AX341">
        <v>27</v>
      </c>
      <c r="AY341">
        <v>30</v>
      </c>
      <c r="AZ341">
        <v>987</v>
      </c>
      <c r="BA341">
        <v>0</v>
      </c>
      <c r="BB341">
        <v>124</v>
      </c>
      <c r="BC341">
        <v>653</v>
      </c>
      <c r="BD341">
        <v>0</v>
      </c>
      <c r="BE341">
        <v>0</v>
      </c>
      <c r="BF341">
        <v>7714</v>
      </c>
      <c r="BG341">
        <v>0</v>
      </c>
      <c r="BH341">
        <v>0</v>
      </c>
      <c r="BI341">
        <v>0</v>
      </c>
      <c r="BJ341">
        <v>55</v>
      </c>
      <c r="BK341">
        <v>5612</v>
      </c>
      <c r="BL341">
        <v>0</v>
      </c>
      <c r="BM341">
        <v>339</v>
      </c>
      <c r="BN341">
        <v>2</v>
      </c>
      <c r="BO341">
        <v>108435</v>
      </c>
      <c r="BP341">
        <v>76803</v>
      </c>
      <c r="BQ341">
        <v>711</v>
      </c>
      <c r="BR341">
        <v>50</v>
      </c>
      <c r="BS341">
        <v>25780</v>
      </c>
      <c r="BT341">
        <v>576</v>
      </c>
      <c r="BU341">
        <v>2</v>
      </c>
      <c r="BV341">
        <v>0</v>
      </c>
      <c r="BW341">
        <v>3</v>
      </c>
      <c r="BX341">
        <v>8265</v>
      </c>
      <c r="BY341">
        <v>296</v>
      </c>
      <c r="BZ341">
        <v>0</v>
      </c>
      <c r="CA341">
        <v>24049</v>
      </c>
      <c r="CB341">
        <v>16128</v>
      </c>
      <c r="CC341">
        <v>134209</v>
      </c>
      <c r="CD341">
        <v>277864</v>
      </c>
      <c r="CE341">
        <v>30302</v>
      </c>
      <c r="CF341">
        <v>51310</v>
      </c>
      <c r="CG341">
        <v>0</v>
      </c>
      <c r="CH341">
        <v>15</v>
      </c>
      <c r="CI341">
        <v>4</v>
      </c>
      <c r="CJ341">
        <v>36</v>
      </c>
      <c r="CQ341">
        <v>356</v>
      </c>
      <c r="CR341">
        <v>11</v>
      </c>
      <c r="CY341">
        <v>0</v>
      </c>
      <c r="CZ341">
        <v>0</v>
      </c>
      <c r="DA341">
        <v>0</v>
      </c>
      <c r="DB341">
        <v>14</v>
      </c>
      <c r="DC341">
        <v>0</v>
      </c>
      <c r="DD341">
        <v>27</v>
      </c>
      <c r="DE341">
        <f t="shared" si="117"/>
        <v>1108570</v>
      </c>
      <c r="DF341" s="1"/>
      <c r="DG341" s="1">
        <f t="shared" si="105"/>
        <v>769270</v>
      </c>
      <c r="DH341" s="1">
        <f t="shared" si="106"/>
        <v>278797</v>
      </c>
      <c r="DI341" s="1">
        <f t="shared" si="116"/>
        <v>1048067</v>
      </c>
      <c r="DK341" s="1">
        <f t="shared" si="108"/>
        <v>61841</v>
      </c>
      <c r="DL341" s="1">
        <f t="shared" si="118"/>
        <v>154789</v>
      </c>
      <c r="DM341" s="1">
        <f t="shared" si="109"/>
        <v>12102</v>
      </c>
      <c r="DN341" s="1">
        <f t="shared" si="110"/>
        <v>49688</v>
      </c>
      <c r="DO341" s="1">
        <f t="shared" si="111"/>
        <v>468181</v>
      </c>
      <c r="DP341" s="1">
        <f t="shared" si="119"/>
        <v>103605</v>
      </c>
      <c r="DQ341" s="1">
        <f t="shared" si="121"/>
        <v>8632</v>
      </c>
      <c r="DR341" s="1">
        <f t="shared" si="112"/>
        <v>16153</v>
      </c>
      <c r="DS341" s="1">
        <f t="shared" si="113"/>
        <v>108437</v>
      </c>
      <c r="DT341" s="1">
        <f t="shared" si="114"/>
        <v>13329</v>
      </c>
      <c r="DU341" s="1"/>
      <c r="DV341" s="1"/>
      <c r="DW341" s="1"/>
      <c r="DX341" s="1">
        <f t="shared" si="122"/>
        <v>996757</v>
      </c>
      <c r="DZ341" s="1">
        <f t="shared" si="123"/>
        <v>51310</v>
      </c>
      <c r="EA341" s="1">
        <f t="shared" si="115"/>
        <v>60503</v>
      </c>
      <c r="EC341" s="1">
        <f t="shared" si="124"/>
        <v>1108570</v>
      </c>
      <c r="ED341" s="1">
        <f t="shared" si="120"/>
        <v>0</v>
      </c>
      <c r="EE341" s="1"/>
    </row>
    <row r="342" spans="1:135" x14ac:dyDescent="0.25">
      <c r="A342" s="10">
        <v>42614</v>
      </c>
      <c r="B342">
        <v>0</v>
      </c>
      <c r="C342">
        <v>0</v>
      </c>
      <c r="D342">
        <v>0</v>
      </c>
      <c r="E342">
        <v>0</v>
      </c>
      <c r="F342">
        <v>1058</v>
      </c>
      <c r="G342">
        <v>16298</v>
      </c>
      <c r="H342">
        <v>38659</v>
      </c>
      <c r="I342">
        <v>972</v>
      </c>
      <c r="J342">
        <v>2355</v>
      </c>
      <c r="K342">
        <v>934</v>
      </c>
      <c r="L342">
        <v>26366</v>
      </c>
      <c r="M342">
        <v>1370</v>
      </c>
      <c r="N342">
        <v>520</v>
      </c>
      <c r="O342">
        <v>1232</v>
      </c>
      <c r="P342">
        <v>11054</v>
      </c>
      <c r="Q342">
        <v>266</v>
      </c>
      <c r="R342">
        <v>6258</v>
      </c>
      <c r="S342">
        <v>12195</v>
      </c>
      <c r="T342">
        <v>34</v>
      </c>
      <c r="U342">
        <v>2812</v>
      </c>
      <c r="V342">
        <v>73</v>
      </c>
      <c r="W342">
        <v>13213</v>
      </c>
      <c r="X342">
        <v>470</v>
      </c>
      <c r="Y342">
        <v>9</v>
      </c>
      <c r="Z342">
        <v>5</v>
      </c>
      <c r="AA342">
        <v>5</v>
      </c>
      <c r="AB342">
        <v>235</v>
      </c>
      <c r="AC342">
        <v>23</v>
      </c>
      <c r="AD342">
        <v>36</v>
      </c>
      <c r="AE342">
        <v>30</v>
      </c>
      <c r="AF342">
        <v>60</v>
      </c>
      <c r="AG342">
        <v>51</v>
      </c>
      <c r="AH342">
        <v>1329</v>
      </c>
      <c r="AI342">
        <v>3</v>
      </c>
      <c r="AJ342">
        <v>15130</v>
      </c>
      <c r="AK342">
        <v>112762</v>
      </c>
      <c r="AL342">
        <v>2699</v>
      </c>
      <c r="AM342">
        <v>21599</v>
      </c>
      <c r="AN342">
        <v>25</v>
      </c>
      <c r="AO342">
        <v>54</v>
      </c>
      <c r="AP342">
        <v>11444</v>
      </c>
      <c r="AQ342">
        <v>0</v>
      </c>
      <c r="AR342">
        <v>892</v>
      </c>
      <c r="AS342">
        <v>56</v>
      </c>
      <c r="AT342">
        <v>11409</v>
      </c>
      <c r="AU342">
        <v>2500</v>
      </c>
      <c r="AV342">
        <v>4608</v>
      </c>
      <c r="AW342">
        <v>16273</v>
      </c>
      <c r="AX342">
        <v>19</v>
      </c>
      <c r="AY342">
        <v>6</v>
      </c>
      <c r="AZ342">
        <v>1003</v>
      </c>
      <c r="BA342">
        <v>0</v>
      </c>
      <c r="BB342">
        <v>114</v>
      </c>
      <c r="BC342">
        <v>650</v>
      </c>
      <c r="BD342">
        <v>0</v>
      </c>
      <c r="BE342">
        <v>0</v>
      </c>
      <c r="BF342">
        <v>7735</v>
      </c>
      <c r="BG342">
        <v>0</v>
      </c>
      <c r="BH342">
        <v>0</v>
      </c>
      <c r="BI342">
        <v>0</v>
      </c>
      <c r="BJ342">
        <v>52</v>
      </c>
      <c r="BK342">
        <v>5575</v>
      </c>
      <c r="BL342">
        <v>0</v>
      </c>
      <c r="BM342">
        <v>345</v>
      </c>
      <c r="BN342">
        <v>2</v>
      </c>
      <c r="BO342">
        <v>109373</v>
      </c>
      <c r="BP342">
        <v>77659</v>
      </c>
      <c r="BQ342">
        <v>884</v>
      </c>
      <c r="BR342">
        <v>51</v>
      </c>
      <c r="BS342">
        <v>26223</v>
      </c>
      <c r="BT342">
        <v>730</v>
      </c>
      <c r="BU342">
        <v>1</v>
      </c>
      <c r="BV342">
        <v>0</v>
      </c>
      <c r="BW342">
        <v>5</v>
      </c>
      <c r="BX342">
        <v>8780</v>
      </c>
      <c r="BY342">
        <v>312</v>
      </c>
      <c r="BZ342">
        <v>0</v>
      </c>
      <c r="CA342">
        <v>24217</v>
      </c>
      <c r="CB342">
        <v>16120</v>
      </c>
      <c r="CC342">
        <v>133951</v>
      </c>
      <c r="CD342">
        <v>278499</v>
      </c>
      <c r="CE342">
        <v>30087</v>
      </c>
      <c r="CF342">
        <v>51449</v>
      </c>
      <c r="CG342">
        <v>0</v>
      </c>
      <c r="CH342">
        <v>14</v>
      </c>
      <c r="CI342">
        <v>4</v>
      </c>
      <c r="CJ342">
        <v>35</v>
      </c>
      <c r="CQ342">
        <v>354</v>
      </c>
      <c r="CR342">
        <v>11</v>
      </c>
      <c r="CY342">
        <v>0</v>
      </c>
      <c r="CZ342">
        <v>0</v>
      </c>
      <c r="DA342">
        <v>0</v>
      </c>
      <c r="DB342">
        <v>14</v>
      </c>
      <c r="DC342">
        <v>0</v>
      </c>
      <c r="DD342">
        <v>27</v>
      </c>
      <c r="DE342">
        <f t="shared" si="117"/>
        <v>1111636</v>
      </c>
      <c r="DF342" s="1"/>
      <c r="DG342" s="1">
        <f t="shared" si="105"/>
        <v>772778</v>
      </c>
      <c r="DH342" s="1">
        <f t="shared" si="106"/>
        <v>278062</v>
      </c>
      <c r="DI342" s="1">
        <f t="shared" si="116"/>
        <v>1050840</v>
      </c>
      <c r="DK342" s="1">
        <f t="shared" si="108"/>
        <v>62678</v>
      </c>
      <c r="DL342" s="1">
        <f t="shared" si="118"/>
        <v>153389</v>
      </c>
      <c r="DM342" s="1">
        <f t="shared" si="109"/>
        <v>12195</v>
      </c>
      <c r="DN342" s="1">
        <f t="shared" si="110"/>
        <v>49430</v>
      </c>
      <c r="DO342" s="1">
        <f t="shared" si="111"/>
        <v>468843</v>
      </c>
      <c r="DP342" s="1">
        <f t="shared" si="119"/>
        <v>104883</v>
      </c>
      <c r="DQ342" s="1">
        <f t="shared" si="121"/>
        <v>9145</v>
      </c>
      <c r="DR342" s="1">
        <f t="shared" si="112"/>
        <v>16139</v>
      </c>
      <c r="DS342" s="1">
        <f t="shared" si="113"/>
        <v>109374</v>
      </c>
      <c r="DT342" s="1">
        <f t="shared" si="114"/>
        <v>13315</v>
      </c>
      <c r="DU342" s="1"/>
      <c r="DV342" s="1"/>
      <c r="DW342" s="1"/>
      <c r="DX342" s="1">
        <f t="shared" si="122"/>
        <v>999391</v>
      </c>
      <c r="DZ342" s="1">
        <f t="shared" si="123"/>
        <v>51449</v>
      </c>
      <c r="EA342" s="1">
        <f t="shared" si="115"/>
        <v>60796</v>
      </c>
      <c r="EC342" s="1">
        <f t="shared" si="124"/>
        <v>1111636</v>
      </c>
      <c r="ED342" s="1">
        <f t="shared" si="120"/>
        <v>0</v>
      </c>
      <c r="EE342" s="1"/>
    </row>
    <row r="343" spans="1:135" x14ac:dyDescent="0.25">
      <c r="A343" s="10">
        <v>42644</v>
      </c>
      <c r="B343">
        <v>0</v>
      </c>
      <c r="C343">
        <v>0</v>
      </c>
      <c r="D343">
        <v>0</v>
      </c>
      <c r="E343">
        <v>0</v>
      </c>
      <c r="F343">
        <v>1026</v>
      </c>
      <c r="G343">
        <v>16373</v>
      </c>
      <c r="H343">
        <v>38866</v>
      </c>
      <c r="I343">
        <v>1001</v>
      </c>
      <c r="J343">
        <v>2371</v>
      </c>
      <c r="K343">
        <v>1009</v>
      </c>
      <c r="L343">
        <v>26999</v>
      </c>
      <c r="M343">
        <v>1387</v>
      </c>
      <c r="N343">
        <v>556</v>
      </c>
      <c r="O343">
        <v>1296</v>
      </c>
      <c r="P343">
        <v>10844</v>
      </c>
      <c r="Q343">
        <v>261</v>
      </c>
      <c r="R343">
        <v>6036</v>
      </c>
      <c r="S343">
        <v>12230</v>
      </c>
      <c r="T343">
        <v>37</v>
      </c>
      <c r="U343">
        <v>3040</v>
      </c>
      <c r="V343">
        <v>73</v>
      </c>
      <c r="W343">
        <v>13682</v>
      </c>
      <c r="X343">
        <v>464</v>
      </c>
      <c r="Y343">
        <v>8</v>
      </c>
      <c r="Z343">
        <v>10</v>
      </c>
      <c r="AA343">
        <v>3</v>
      </c>
      <c r="AB343">
        <v>225</v>
      </c>
      <c r="AC343">
        <v>19</v>
      </c>
      <c r="AD343">
        <v>35</v>
      </c>
      <c r="AE343">
        <v>29</v>
      </c>
      <c r="AF343">
        <v>55</v>
      </c>
      <c r="AG343">
        <v>50</v>
      </c>
      <c r="AH343">
        <v>1469</v>
      </c>
      <c r="AI343">
        <v>3</v>
      </c>
      <c r="AJ343">
        <v>15301</v>
      </c>
      <c r="AK343">
        <v>112530</v>
      </c>
      <c r="AL343">
        <v>2672</v>
      </c>
      <c r="AM343">
        <v>21424</v>
      </c>
      <c r="AN343">
        <v>27</v>
      </c>
      <c r="AO343">
        <v>60</v>
      </c>
      <c r="AP343">
        <v>11487</v>
      </c>
      <c r="AQ343">
        <v>0</v>
      </c>
      <c r="AR343">
        <v>917</v>
      </c>
      <c r="AS343">
        <v>58</v>
      </c>
      <c r="AT343">
        <v>11267</v>
      </c>
      <c r="AU343">
        <v>2454</v>
      </c>
      <c r="AV343">
        <v>4431</v>
      </c>
      <c r="AW343">
        <v>16088</v>
      </c>
      <c r="AX343">
        <v>12</v>
      </c>
      <c r="AY343">
        <v>2</v>
      </c>
      <c r="AZ343">
        <v>995</v>
      </c>
      <c r="BA343">
        <v>0</v>
      </c>
      <c r="BB343">
        <v>122</v>
      </c>
      <c r="BC343">
        <v>656</v>
      </c>
      <c r="BD343">
        <v>0</v>
      </c>
      <c r="BE343">
        <v>0</v>
      </c>
      <c r="BF343">
        <v>7785</v>
      </c>
      <c r="BG343">
        <v>0</v>
      </c>
      <c r="BH343">
        <v>0</v>
      </c>
      <c r="BI343">
        <v>0</v>
      </c>
      <c r="BJ343">
        <v>51</v>
      </c>
      <c r="BK343">
        <v>5581</v>
      </c>
      <c r="BL343">
        <v>0</v>
      </c>
      <c r="BM343">
        <v>341</v>
      </c>
      <c r="BN343">
        <v>0</v>
      </c>
      <c r="BO343">
        <v>109981</v>
      </c>
      <c r="BP343">
        <v>78551</v>
      </c>
      <c r="BQ343">
        <v>1051</v>
      </c>
      <c r="BR343">
        <v>49</v>
      </c>
      <c r="BS343">
        <v>26582</v>
      </c>
      <c r="BT343">
        <v>858</v>
      </c>
      <c r="BU343">
        <v>0</v>
      </c>
      <c r="BV343">
        <v>0</v>
      </c>
      <c r="BW343">
        <v>5</v>
      </c>
      <c r="BX343">
        <v>9059</v>
      </c>
      <c r="BY343">
        <v>336</v>
      </c>
      <c r="BZ343">
        <v>0</v>
      </c>
      <c r="CA343">
        <v>24382</v>
      </c>
      <c r="CB343">
        <v>15999</v>
      </c>
      <c r="CC343">
        <v>133870</v>
      </c>
      <c r="CD343">
        <v>278763</v>
      </c>
      <c r="CE343">
        <v>31861</v>
      </c>
      <c r="CF343">
        <v>51651</v>
      </c>
      <c r="CG343">
        <v>0</v>
      </c>
      <c r="CH343">
        <v>16</v>
      </c>
      <c r="CI343">
        <v>4</v>
      </c>
      <c r="CJ343">
        <v>38</v>
      </c>
      <c r="CQ343">
        <v>374</v>
      </c>
      <c r="CR343">
        <v>11</v>
      </c>
      <c r="CY343">
        <v>0</v>
      </c>
      <c r="CZ343">
        <v>0</v>
      </c>
      <c r="DA343">
        <v>0</v>
      </c>
      <c r="DB343">
        <v>14</v>
      </c>
      <c r="DC343">
        <v>0</v>
      </c>
      <c r="DD343">
        <v>27</v>
      </c>
      <c r="DE343">
        <f t="shared" si="117"/>
        <v>1117159</v>
      </c>
      <c r="DF343" s="1"/>
      <c r="DG343" s="1">
        <f t="shared" si="105"/>
        <v>777484</v>
      </c>
      <c r="DH343" s="1">
        <f t="shared" si="106"/>
        <v>278473</v>
      </c>
      <c r="DI343" s="1">
        <f t="shared" si="116"/>
        <v>1055957</v>
      </c>
      <c r="DK343" s="1">
        <f t="shared" si="108"/>
        <v>63655</v>
      </c>
      <c r="DL343" s="1">
        <f t="shared" si="118"/>
        <v>153079</v>
      </c>
      <c r="DM343" s="1">
        <f t="shared" si="109"/>
        <v>12230</v>
      </c>
      <c r="DN343" s="1">
        <f t="shared" si="110"/>
        <v>49114</v>
      </c>
      <c r="DO343" s="1">
        <f t="shared" si="111"/>
        <v>471275</v>
      </c>
      <c r="DP343" s="1">
        <f t="shared" si="119"/>
        <v>106132</v>
      </c>
      <c r="DQ343" s="1">
        <f t="shared" si="121"/>
        <v>9444</v>
      </c>
      <c r="DR343" s="1">
        <f t="shared" si="112"/>
        <v>16025</v>
      </c>
      <c r="DS343" s="1">
        <f t="shared" si="113"/>
        <v>109981</v>
      </c>
      <c r="DT343" s="1">
        <f t="shared" si="114"/>
        <v>13371</v>
      </c>
      <c r="DU343" s="1"/>
      <c r="DV343" s="1"/>
      <c r="DW343" s="1"/>
      <c r="DX343" s="1">
        <f t="shared" si="122"/>
        <v>1004306</v>
      </c>
      <c r="DZ343" s="1">
        <f t="shared" si="123"/>
        <v>51651</v>
      </c>
      <c r="EA343" s="1">
        <f t="shared" si="115"/>
        <v>61202</v>
      </c>
      <c r="EC343" s="1">
        <f t="shared" si="124"/>
        <v>1117159</v>
      </c>
      <c r="ED343" s="1">
        <f t="shared" si="120"/>
        <v>0</v>
      </c>
      <c r="EE343" s="1"/>
    </row>
    <row r="344" spans="1:135" x14ac:dyDescent="0.25">
      <c r="A344" s="10">
        <v>42675</v>
      </c>
      <c r="B344">
        <v>0</v>
      </c>
      <c r="C344">
        <v>0</v>
      </c>
      <c r="D344">
        <v>0</v>
      </c>
      <c r="E344">
        <v>0</v>
      </c>
      <c r="F344">
        <v>995</v>
      </c>
      <c r="G344">
        <v>16356</v>
      </c>
      <c r="H344">
        <v>39163</v>
      </c>
      <c r="I344">
        <v>996</v>
      </c>
      <c r="J344">
        <v>2387</v>
      </c>
      <c r="K344">
        <v>1025</v>
      </c>
      <c r="L344">
        <v>27589</v>
      </c>
      <c r="M344">
        <v>1410</v>
      </c>
      <c r="N344">
        <v>578</v>
      </c>
      <c r="O344">
        <v>1346</v>
      </c>
      <c r="P344">
        <v>10797</v>
      </c>
      <c r="Q344">
        <v>257</v>
      </c>
      <c r="R344">
        <v>5917</v>
      </c>
      <c r="S344">
        <v>12337</v>
      </c>
      <c r="T344">
        <v>36</v>
      </c>
      <c r="U344">
        <v>3248</v>
      </c>
      <c r="V344">
        <v>71</v>
      </c>
      <c r="W344">
        <v>14031</v>
      </c>
      <c r="X344">
        <v>468</v>
      </c>
      <c r="Y344">
        <v>8</v>
      </c>
      <c r="Z344">
        <v>6</v>
      </c>
      <c r="AA344">
        <v>2</v>
      </c>
      <c r="AB344">
        <v>220</v>
      </c>
      <c r="AC344">
        <v>21</v>
      </c>
      <c r="AD344">
        <v>31</v>
      </c>
      <c r="AE344">
        <v>27</v>
      </c>
      <c r="AF344">
        <v>55</v>
      </c>
      <c r="AG344">
        <v>71</v>
      </c>
      <c r="AH344">
        <v>1575</v>
      </c>
      <c r="AI344">
        <v>3</v>
      </c>
      <c r="AJ344">
        <v>15310</v>
      </c>
      <c r="AK344">
        <v>112087</v>
      </c>
      <c r="AL344">
        <v>2656</v>
      </c>
      <c r="AM344">
        <v>21403</v>
      </c>
      <c r="AN344">
        <v>28</v>
      </c>
      <c r="AO344">
        <v>65</v>
      </c>
      <c r="AP344">
        <v>11532</v>
      </c>
      <c r="AQ344">
        <v>0</v>
      </c>
      <c r="AR344">
        <v>896</v>
      </c>
      <c r="AS344">
        <v>51</v>
      </c>
      <c r="AT344">
        <v>11149</v>
      </c>
      <c r="AU344">
        <v>2410</v>
      </c>
      <c r="AV344">
        <v>4264</v>
      </c>
      <c r="AW344">
        <v>15903</v>
      </c>
      <c r="AX344">
        <v>8</v>
      </c>
      <c r="AY344">
        <v>2</v>
      </c>
      <c r="AZ344">
        <v>980</v>
      </c>
      <c r="BA344">
        <v>0</v>
      </c>
      <c r="BB344">
        <v>134</v>
      </c>
      <c r="BC344">
        <v>683</v>
      </c>
      <c r="BD344">
        <v>0</v>
      </c>
      <c r="BE344">
        <v>0</v>
      </c>
      <c r="BF344">
        <v>7798</v>
      </c>
      <c r="BG344">
        <v>0</v>
      </c>
      <c r="BH344">
        <v>0</v>
      </c>
      <c r="BI344">
        <v>0</v>
      </c>
      <c r="BJ344">
        <v>53</v>
      </c>
      <c r="BK344">
        <v>5630</v>
      </c>
      <c r="BL344">
        <v>0</v>
      </c>
      <c r="BM344">
        <v>384</v>
      </c>
      <c r="BN344">
        <v>0</v>
      </c>
      <c r="BO344">
        <v>110975</v>
      </c>
      <c r="BP344">
        <v>79184</v>
      </c>
      <c r="BQ344">
        <v>1213</v>
      </c>
      <c r="BR344">
        <v>47</v>
      </c>
      <c r="BS344">
        <v>26874</v>
      </c>
      <c r="BT344">
        <v>981</v>
      </c>
      <c r="BU344">
        <v>1</v>
      </c>
      <c r="BV344">
        <v>0</v>
      </c>
      <c r="BW344">
        <v>5</v>
      </c>
      <c r="BX344">
        <v>9362</v>
      </c>
      <c r="BY344">
        <v>352</v>
      </c>
      <c r="BZ344">
        <v>0</v>
      </c>
      <c r="CA344">
        <v>24393</v>
      </c>
      <c r="CB344">
        <v>15418</v>
      </c>
      <c r="CC344">
        <v>133335</v>
      </c>
      <c r="CD344">
        <v>279117</v>
      </c>
      <c r="CE344">
        <v>32919</v>
      </c>
      <c r="CF344">
        <v>51950</v>
      </c>
      <c r="CG344">
        <v>0</v>
      </c>
      <c r="CH344">
        <v>14</v>
      </c>
      <c r="CI344">
        <v>3</v>
      </c>
      <c r="CJ344">
        <v>45</v>
      </c>
      <c r="CQ344">
        <v>384</v>
      </c>
      <c r="CR344">
        <v>11</v>
      </c>
      <c r="CY344">
        <v>0</v>
      </c>
      <c r="CZ344">
        <v>0</v>
      </c>
      <c r="DA344">
        <v>0</v>
      </c>
      <c r="DB344">
        <v>14</v>
      </c>
      <c r="DC344">
        <v>0</v>
      </c>
      <c r="DD344">
        <v>27</v>
      </c>
      <c r="DE344">
        <f t="shared" si="117"/>
        <v>1121035</v>
      </c>
      <c r="DF344" s="1"/>
      <c r="DG344" s="1">
        <f t="shared" si="105"/>
        <v>780746</v>
      </c>
      <c r="DH344" s="1">
        <f t="shared" si="106"/>
        <v>278789</v>
      </c>
      <c r="DI344" s="1">
        <f t="shared" si="116"/>
        <v>1059535</v>
      </c>
      <c r="DK344" s="1">
        <f t="shared" si="108"/>
        <v>64702</v>
      </c>
      <c r="DL344" s="1">
        <f t="shared" si="118"/>
        <v>152391</v>
      </c>
      <c r="DM344" s="1">
        <f t="shared" si="109"/>
        <v>12337</v>
      </c>
      <c r="DN344" s="1">
        <f t="shared" si="110"/>
        <v>48958</v>
      </c>
      <c r="DO344" s="1">
        <f t="shared" si="111"/>
        <v>472466</v>
      </c>
      <c r="DP344" s="1">
        <f t="shared" si="119"/>
        <v>107127</v>
      </c>
      <c r="DQ344" s="1">
        <f t="shared" si="121"/>
        <v>9757</v>
      </c>
      <c r="DR344" s="1">
        <f t="shared" si="112"/>
        <v>15438</v>
      </c>
      <c r="DS344" s="1">
        <f t="shared" si="113"/>
        <v>110976</v>
      </c>
      <c r="DT344" s="1">
        <f t="shared" si="114"/>
        <v>13433</v>
      </c>
      <c r="DU344" s="1"/>
      <c r="DV344" s="1"/>
      <c r="DW344" s="1"/>
      <c r="DX344" s="1">
        <f t="shared" si="122"/>
        <v>1007585</v>
      </c>
      <c r="DZ344" s="1">
        <f t="shared" si="123"/>
        <v>51950</v>
      </c>
      <c r="EA344" s="1">
        <f t="shared" si="115"/>
        <v>61500</v>
      </c>
      <c r="EC344" s="1">
        <f t="shared" si="124"/>
        <v>1121035</v>
      </c>
      <c r="ED344" s="1">
        <f t="shared" si="120"/>
        <v>0</v>
      </c>
      <c r="EE344" s="1"/>
    </row>
    <row r="345" spans="1:135" x14ac:dyDescent="0.25">
      <c r="A345" s="10">
        <v>42705</v>
      </c>
      <c r="B345">
        <v>0</v>
      </c>
      <c r="C345">
        <v>0</v>
      </c>
      <c r="D345">
        <v>0</v>
      </c>
      <c r="E345">
        <v>0</v>
      </c>
      <c r="F345">
        <v>960</v>
      </c>
      <c r="G345">
        <v>16265</v>
      </c>
      <c r="H345">
        <v>39283</v>
      </c>
      <c r="I345">
        <v>992</v>
      </c>
      <c r="J345">
        <v>2335</v>
      </c>
      <c r="K345">
        <v>1075</v>
      </c>
      <c r="L345">
        <v>28206</v>
      </c>
      <c r="M345">
        <v>1432</v>
      </c>
      <c r="N345">
        <v>575</v>
      </c>
      <c r="O345">
        <v>1405</v>
      </c>
      <c r="P345">
        <v>10602</v>
      </c>
      <c r="Q345">
        <v>254</v>
      </c>
      <c r="R345">
        <v>5724</v>
      </c>
      <c r="S345">
        <v>12473</v>
      </c>
      <c r="T345">
        <v>32</v>
      </c>
      <c r="U345">
        <v>3437</v>
      </c>
      <c r="V345">
        <v>63</v>
      </c>
      <c r="W345">
        <v>14480</v>
      </c>
      <c r="X345">
        <v>466</v>
      </c>
      <c r="Y345">
        <v>8</v>
      </c>
      <c r="Z345">
        <v>3</v>
      </c>
      <c r="AA345">
        <v>2</v>
      </c>
      <c r="AB345">
        <v>203</v>
      </c>
      <c r="AC345">
        <v>22</v>
      </c>
      <c r="AD345">
        <v>31</v>
      </c>
      <c r="AE345">
        <v>26</v>
      </c>
      <c r="AF345">
        <v>55</v>
      </c>
      <c r="AG345">
        <v>86</v>
      </c>
      <c r="AH345">
        <v>1690</v>
      </c>
      <c r="AI345">
        <v>5</v>
      </c>
      <c r="AJ345">
        <v>15289</v>
      </c>
      <c r="AK345">
        <v>111943</v>
      </c>
      <c r="AL345">
        <v>2618</v>
      </c>
      <c r="AM345">
        <v>21388</v>
      </c>
      <c r="AN345">
        <v>26</v>
      </c>
      <c r="AO345">
        <v>74</v>
      </c>
      <c r="AP345">
        <v>11475</v>
      </c>
      <c r="AQ345">
        <v>0</v>
      </c>
      <c r="AR345">
        <v>864</v>
      </c>
      <c r="AS345">
        <v>50</v>
      </c>
      <c r="AT345">
        <v>10969</v>
      </c>
      <c r="AU345">
        <v>2392</v>
      </c>
      <c r="AV345">
        <v>4074</v>
      </c>
      <c r="AW345">
        <v>15768</v>
      </c>
      <c r="AX345">
        <v>5</v>
      </c>
      <c r="AY345">
        <v>3</v>
      </c>
      <c r="AZ345">
        <v>948</v>
      </c>
      <c r="BA345">
        <v>0</v>
      </c>
      <c r="BB345">
        <v>133</v>
      </c>
      <c r="BC345">
        <v>710</v>
      </c>
      <c r="BD345">
        <v>0</v>
      </c>
      <c r="BE345">
        <v>0</v>
      </c>
      <c r="BF345">
        <v>7790</v>
      </c>
      <c r="BG345">
        <v>0</v>
      </c>
      <c r="BH345">
        <v>0</v>
      </c>
      <c r="BI345">
        <v>0</v>
      </c>
      <c r="BJ345">
        <v>45</v>
      </c>
      <c r="BK345">
        <v>5608</v>
      </c>
      <c r="BL345">
        <v>0</v>
      </c>
      <c r="BM345">
        <v>433</v>
      </c>
      <c r="BN345">
        <v>0</v>
      </c>
      <c r="BO345">
        <v>110973</v>
      </c>
      <c r="BP345">
        <v>79751</v>
      </c>
      <c r="BQ345">
        <v>1414</v>
      </c>
      <c r="BR345">
        <v>43</v>
      </c>
      <c r="BS345">
        <v>27162</v>
      </c>
      <c r="BT345">
        <v>1069</v>
      </c>
      <c r="BU345">
        <v>0</v>
      </c>
      <c r="BV345">
        <v>0</v>
      </c>
      <c r="BW345">
        <v>4</v>
      </c>
      <c r="BX345">
        <v>9734</v>
      </c>
      <c r="BY345">
        <v>363</v>
      </c>
      <c r="BZ345">
        <v>0</v>
      </c>
      <c r="CA345">
        <v>24522</v>
      </c>
      <c r="CB345">
        <v>15205</v>
      </c>
      <c r="CC345">
        <v>132639</v>
      </c>
      <c r="CD345">
        <v>278992</v>
      </c>
      <c r="CE345">
        <v>33599</v>
      </c>
      <c r="CF345">
        <v>52176</v>
      </c>
      <c r="CG345">
        <v>0</v>
      </c>
      <c r="CH345">
        <v>13</v>
      </c>
      <c r="CI345">
        <v>3</v>
      </c>
      <c r="CJ345">
        <v>46</v>
      </c>
      <c r="CQ345">
        <v>400</v>
      </c>
      <c r="CR345">
        <v>10</v>
      </c>
      <c r="CY345">
        <v>0</v>
      </c>
      <c r="CZ345">
        <v>0</v>
      </c>
      <c r="DA345">
        <v>0</v>
      </c>
      <c r="DB345">
        <v>14</v>
      </c>
      <c r="DC345">
        <v>0</v>
      </c>
      <c r="DD345">
        <v>27</v>
      </c>
      <c r="DE345">
        <f t="shared" si="117"/>
        <v>1122913</v>
      </c>
      <c r="DG345" s="1">
        <f t="shared" si="105"/>
        <v>782302</v>
      </c>
      <c r="DH345" s="1">
        <f t="shared" si="106"/>
        <v>279126</v>
      </c>
      <c r="DI345" s="1">
        <f t="shared" si="116"/>
        <v>1061428</v>
      </c>
      <c r="DJ345" s="1"/>
      <c r="DK345" s="1">
        <f t="shared" si="108"/>
        <v>65635</v>
      </c>
      <c r="DL345" s="1">
        <f t="shared" si="118"/>
        <v>151845</v>
      </c>
      <c r="DM345" s="1">
        <f t="shared" si="109"/>
        <v>12473</v>
      </c>
      <c r="DN345" s="1">
        <f t="shared" si="110"/>
        <v>48760</v>
      </c>
      <c r="DO345" s="1">
        <f t="shared" si="111"/>
        <v>472740</v>
      </c>
      <c r="DP345" s="1">
        <f t="shared" si="119"/>
        <v>108059</v>
      </c>
      <c r="DQ345" s="1">
        <f t="shared" si="121"/>
        <v>10144</v>
      </c>
      <c r="DR345" s="1">
        <f t="shared" si="112"/>
        <v>15221</v>
      </c>
      <c r="DS345" s="1">
        <f t="shared" si="113"/>
        <v>110973</v>
      </c>
      <c r="DT345" s="1">
        <f t="shared" si="114"/>
        <v>13402</v>
      </c>
      <c r="DU345" s="1"/>
      <c r="DV345" s="1"/>
      <c r="DW345" s="1"/>
      <c r="DX345" s="1">
        <f t="shared" si="122"/>
        <v>1009252</v>
      </c>
      <c r="DY345" s="1"/>
      <c r="DZ345" s="1">
        <f t="shared" si="123"/>
        <v>52176</v>
      </c>
      <c r="EA345" s="1">
        <f t="shared" si="115"/>
        <v>61485</v>
      </c>
      <c r="EC345" s="1">
        <f t="shared" si="124"/>
        <v>1122913</v>
      </c>
      <c r="ED345" s="1">
        <f t="shared" si="120"/>
        <v>0</v>
      </c>
      <c r="EE345" s="1"/>
    </row>
    <row r="346" spans="1:135" x14ac:dyDescent="0.25">
      <c r="A346" s="10">
        <v>42736</v>
      </c>
      <c r="B346">
        <v>0</v>
      </c>
      <c r="C346">
        <v>0</v>
      </c>
      <c r="D346">
        <v>0</v>
      </c>
      <c r="E346">
        <v>0</v>
      </c>
      <c r="F346">
        <v>1041</v>
      </c>
      <c r="G346">
        <v>16160</v>
      </c>
      <c r="H346">
        <v>39208</v>
      </c>
      <c r="I346">
        <v>977</v>
      </c>
      <c r="J346">
        <v>2359</v>
      </c>
      <c r="K346">
        <v>1091</v>
      </c>
      <c r="L346">
        <v>29078</v>
      </c>
      <c r="M346">
        <v>1470</v>
      </c>
      <c r="N346">
        <v>591</v>
      </c>
      <c r="O346">
        <v>1448</v>
      </c>
      <c r="P346">
        <v>10433</v>
      </c>
      <c r="Q346">
        <v>238</v>
      </c>
      <c r="R346">
        <v>5592</v>
      </c>
      <c r="S346">
        <v>12692</v>
      </c>
      <c r="T346">
        <v>29</v>
      </c>
      <c r="U346">
        <v>3639</v>
      </c>
      <c r="V346">
        <v>58</v>
      </c>
      <c r="W346">
        <v>14887</v>
      </c>
      <c r="X346">
        <v>466</v>
      </c>
      <c r="Y346">
        <v>7</v>
      </c>
      <c r="Z346">
        <v>3</v>
      </c>
      <c r="AA346">
        <v>2</v>
      </c>
      <c r="AB346">
        <v>196</v>
      </c>
      <c r="AC346">
        <v>19</v>
      </c>
      <c r="AD346">
        <v>30</v>
      </c>
      <c r="AE346">
        <v>25</v>
      </c>
      <c r="AF346">
        <v>58</v>
      </c>
      <c r="AG346">
        <v>93</v>
      </c>
      <c r="AH346">
        <v>1817</v>
      </c>
      <c r="AI346">
        <v>3</v>
      </c>
      <c r="AJ346">
        <v>15224</v>
      </c>
      <c r="AK346">
        <v>111293</v>
      </c>
      <c r="AL346">
        <v>2582</v>
      </c>
      <c r="AM346">
        <v>21349</v>
      </c>
      <c r="AN346">
        <v>21</v>
      </c>
      <c r="AO346">
        <v>96</v>
      </c>
      <c r="AP346">
        <v>10165</v>
      </c>
      <c r="AQ346">
        <v>0</v>
      </c>
      <c r="AR346">
        <v>863</v>
      </c>
      <c r="AS346">
        <v>46</v>
      </c>
      <c r="AT346">
        <v>10701</v>
      </c>
      <c r="AU346">
        <v>2313</v>
      </c>
      <c r="AV346">
        <v>3863</v>
      </c>
      <c r="AW346">
        <v>15696</v>
      </c>
      <c r="AX346">
        <v>5</v>
      </c>
      <c r="AY346">
        <v>2</v>
      </c>
      <c r="AZ346">
        <v>956</v>
      </c>
      <c r="BA346">
        <v>0</v>
      </c>
      <c r="BB346">
        <v>129</v>
      </c>
      <c r="BC346">
        <v>723</v>
      </c>
      <c r="BD346">
        <v>0</v>
      </c>
      <c r="BE346">
        <v>0</v>
      </c>
      <c r="BF346">
        <v>7801</v>
      </c>
      <c r="BG346">
        <v>0</v>
      </c>
      <c r="BH346">
        <v>0</v>
      </c>
      <c r="BI346">
        <v>0</v>
      </c>
      <c r="BJ346">
        <v>50</v>
      </c>
      <c r="BK346">
        <v>5519</v>
      </c>
      <c r="BL346">
        <v>0</v>
      </c>
      <c r="BM346">
        <v>474</v>
      </c>
      <c r="BN346">
        <v>0</v>
      </c>
      <c r="BO346">
        <v>112457</v>
      </c>
      <c r="BP346">
        <v>80264</v>
      </c>
      <c r="BQ346">
        <v>1523</v>
      </c>
      <c r="BR346">
        <v>39</v>
      </c>
      <c r="BS346">
        <v>27453</v>
      </c>
      <c r="BT346">
        <v>1149</v>
      </c>
      <c r="BU346">
        <v>0</v>
      </c>
      <c r="BV346">
        <v>0</v>
      </c>
      <c r="BW346">
        <v>4</v>
      </c>
      <c r="BX346">
        <v>9947</v>
      </c>
      <c r="BY346">
        <v>370</v>
      </c>
      <c r="BZ346">
        <v>0</v>
      </c>
      <c r="CA346">
        <v>24306</v>
      </c>
      <c r="CB346">
        <v>15347</v>
      </c>
      <c r="CC346">
        <v>132126</v>
      </c>
      <c r="CD346">
        <v>279347</v>
      </c>
      <c r="CE346">
        <v>34410</v>
      </c>
      <c r="CF346">
        <v>52107</v>
      </c>
      <c r="CG346">
        <v>0</v>
      </c>
      <c r="CH346">
        <v>10</v>
      </c>
      <c r="CI346">
        <v>3</v>
      </c>
      <c r="CJ346">
        <v>55</v>
      </c>
      <c r="CQ346">
        <v>390</v>
      </c>
      <c r="CR346">
        <v>11</v>
      </c>
      <c r="CY346">
        <v>0</v>
      </c>
      <c r="CZ346">
        <v>0</v>
      </c>
      <c r="DA346">
        <v>0</v>
      </c>
      <c r="DB346">
        <v>14</v>
      </c>
      <c r="DC346">
        <v>0</v>
      </c>
      <c r="DD346">
        <v>26</v>
      </c>
      <c r="DE346">
        <f t="shared" si="117"/>
        <v>1124899</v>
      </c>
      <c r="DG346" s="1">
        <f t="shared" si="105"/>
        <v>785491</v>
      </c>
      <c r="DH346" s="1">
        <f t="shared" si="106"/>
        <v>277981</v>
      </c>
      <c r="DI346" s="1">
        <f t="shared" si="116"/>
        <v>1063472</v>
      </c>
      <c r="DJ346" s="1"/>
      <c r="DK346" s="1">
        <f t="shared" si="108"/>
        <v>66872</v>
      </c>
      <c r="DL346" s="1">
        <f t="shared" si="118"/>
        <v>150649</v>
      </c>
      <c r="DM346" s="1">
        <f t="shared" si="109"/>
        <v>12692</v>
      </c>
      <c r="DN346" s="1">
        <f t="shared" si="110"/>
        <v>47364</v>
      </c>
      <c r="DO346" s="1">
        <f t="shared" si="111"/>
        <v>473383</v>
      </c>
      <c r="DP346" s="1">
        <f t="shared" si="119"/>
        <v>108916</v>
      </c>
      <c r="DQ346" s="1">
        <f t="shared" si="121"/>
        <v>10348</v>
      </c>
      <c r="DR346" s="1">
        <f t="shared" si="112"/>
        <v>15360</v>
      </c>
      <c r="DS346" s="1">
        <f t="shared" si="113"/>
        <v>112457</v>
      </c>
      <c r="DT346" s="1">
        <f t="shared" si="114"/>
        <v>13324</v>
      </c>
      <c r="DU346" s="1"/>
      <c r="DV346" s="1"/>
      <c r="DW346" s="1"/>
      <c r="DX346" s="1">
        <f t="shared" si="122"/>
        <v>1011365</v>
      </c>
      <c r="DY346" s="1"/>
      <c r="DZ346" s="1">
        <f t="shared" si="123"/>
        <v>52107</v>
      </c>
      <c r="EA346" s="1">
        <f t="shared" si="115"/>
        <v>61427</v>
      </c>
      <c r="EC346" s="1">
        <f t="shared" si="124"/>
        <v>1124899</v>
      </c>
      <c r="ED346" s="1">
        <f t="shared" si="120"/>
        <v>0</v>
      </c>
      <c r="EE346" s="1"/>
    </row>
    <row r="347" spans="1:135" x14ac:dyDescent="0.25">
      <c r="A347" s="10">
        <v>42767</v>
      </c>
      <c r="B347">
        <v>0</v>
      </c>
      <c r="C347">
        <v>0</v>
      </c>
      <c r="D347">
        <v>0</v>
      </c>
      <c r="E347">
        <v>0</v>
      </c>
      <c r="F347">
        <v>1088</v>
      </c>
      <c r="G347">
        <v>16118</v>
      </c>
      <c r="H347">
        <v>39279</v>
      </c>
      <c r="I347">
        <v>943</v>
      </c>
      <c r="J347">
        <v>2293</v>
      </c>
      <c r="K347">
        <v>1129</v>
      </c>
      <c r="L347">
        <v>29437</v>
      </c>
      <c r="M347">
        <v>1470</v>
      </c>
      <c r="N347">
        <v>604</v>
      </c>
      <c r="O347">
        <v>1466</v>
      </c>
      <c r="P347">
        <v>10435</v>
      </c>
      <c r="Q347">
        <v>234</v>
      </c>
      <c r="R347">
        <v>5524</v>
      </c>
      <c r="S347">
        <v>12753</v>
      </c>
      <c r="T347">
        <v>31</v>
      </c>
      <c r="U347">
        <v>3780</v>
      </c>
      <c r="V347">
        <v>55</v>
      </c>
      <c r="W347">
        <v>15239</v>
      </c>
      <c r="X347">
        <v>474</v>
      </c>
      <c r="Y347">
        <v>7</v>
      </c>
      <c r="Z347">
        <v>6</v>
      </c>
      <c r="AA347">
        <v>2</v>
      </c>
      <c r="AB347">
        <v>196</v>
      </c>
      <c r="AC347">
        <v>19</v>
      </c>
      <c r="AD347">
        <v>31</v>
      </c>
      <c r="AE347">
        <v>23</v>
      </c>
      <c r="AF347">
        <v>58</v>
      </c>
      <c r="AG347">
        <v>91</v>
      </c>
      <c r="AH347">
        <v>1908</v>
      </c>
      <c r="AI347">
        <v>3</v>
      </c>
      <c r="AJ347">
        <v>15417</v>
      </c>
      <c r="AK347">
        <v>111435</v>
      </c>
      <c r="AL347">
        <v>2565</v>
      </c>
      <c r="AM347">
        <v>21381</v>
      </c>
      <c r="AN347">
        <v>22</v>
      </c>
      <c r="AO347">
        <v>113</v>
      </c>
      <c r="AP347">
        <v>10128</v>
      </c>
      <c r="AQ347">
        <v>0</v>
      </c>
      <c r="AR347">
        <v>849</v>
      </c>
      <c r="AS347">
        <v>48</v>
      </c>
      <c r="AT347">
        <v>10675</v>
      </c>
      <c r="AU347">
        <v>2262</v>
      </c>
      <c r="AV347">
        <v>3770</v>
      </c>
      <c r="AW347">
        <v>15655</v>
      </c>
      <c r="AX347">
        <v>5</v>
      </c>
      <c r="AY347">
        <v>1</v>
      </c>
      <c r="AZ347">
        <v>958</v>
      </c>
      <c r="BA347">
        <v>1</v>
      </c>
      <c r="BB347">
        <v>127</v>
      </c>
      <c r="BC347">
        <v>757</v>
      </c>
      <c r="BD347">
        <v>0</v>
      </c>
      <c r="BE347">
        <v>0</v>
      </c>
      <c r="BF347">
        <v>7790</v>
      </c>
      <c r="BG347">
        <v>0</v>
      </c>
      <c r="BH347">
        <v>0</v>
      </c>
      <c r="BI347">
        <v>0</v>
      </c>
      <c r="BJ347">
        <v>48</v>
      </c>
      <c r="BK347">
        <v>5530</v>
      </c>
      <c r="BL347">
        <v>0</v>
      </c>
      <c r="BM347">
        <v>521</v>
      </c>
      <c r="BN347">
        <v>0</v>
      </c>
      <c r="BO347">
        <v>112093</v>
      </c>
      <c r="BP347">
        <v>81417</v>
      </c>
      <c r="BQ347">
        <v>1685</v>
      </c>
      <c r="BR347">
        <v>37</v>
      </c>
      <c r="BS347">
        <v>28076</v>
      </c>
      <c r="BT347">
        <v>1299</v>
      </c>
      <c r="BU347">
        <v>0</v>
      </c>
      <c r="BV347">
        <v>0</v>
      </c>
      <c r="BW347">
        <v>4</v>
      </c>
      <c r="BX347">
        <v>10086</v>
      </c>
      <c r="BY347">
        <v>376</v>
      </c>
      <c r="BZ347">
        <v>0</v>
      </c>
      <c r="CA347">
        <v>24360</v>
      </c>
      <c r="CB347">
        <v>15444</v>
      </c>
      <c r="CC347">
        <v>132107</v>
      </c>
      <c r="CD347">
        <v>280939</v>
      </c>
      <c r="CE347">
        <v>35460</v>
      </c>
      <c r="CF347">
        <v>52422</v>
      </c>
      <c r="CG347">
        <v>0</v>
      </c>
      <c r="CH347">
        <v>8</v>
      </c>
      <c r="CI347">
        <v>3</v>
      </c>
      <c r="CJ347">
        <v>60</v>
      </c>
      <c r="CQ347">
        <v>389</v>
      </c>
      <c r="CR347">
        <v>13</v>
      </c>
      <c r="CY347">
        <v>0</v>
      </c>
      <c r="CZ347">
        <v>0</v>
      </c>
      <c r="DA347">
        <v>0</v>
      </c>
      <c r="DB347">
        <v>14</v>
      </c>
      <c r="DC347">
        <v>0</v>
      </c>
      <c r="DD347">
        <v>26</v>
      </c>
      <c r="DE347">
        <f t="shared" si="117"/>
        <v>1131032</v>
      </c>
      <c r="DG347" s="1">
        <f t="shared" ref="DG347:DG378" si="125">SUM(AX347:AY347,BC347:CP347,CU347:CX347)</f>
        <v>790528</v>
      </c>
      <c r="DH347" s="1">
        <f t="shared" ref="DH347:DH378" si="126">SUM(L347:M347,O347:AW347,AZ347:BB347)+CQ347+CR347</f>
        <v>279050</v>
      </c>
      <c r="DI347" s="1">
        <f t="shared" si="116"/>
        <v>1069578</v>
      </c>
      <c r="DJ347" s="1"/>
      <c r="DK347" s="1">
        <f t="shared" ref="DK347:DK378" si="127">SUM(L347:M347,O347:R347,T347:W347)</f>
        <v>67671</v>
      </c>
      <c r="DL347" s="1">
        <f t="shared" si="118"/>
        <v>150883</v>
      </c>
      <c r="DM347" s="1">
        <f t="shared" ref="DM347:DM378" si="128">S347</f>
        <v>12753</v>
      </c>
      <c r="DN347" s="1">
        <f t="shared" ref="DN347:DN378" si="129">AF347+AW347+AM347+AO347+AP347+AQ347</f>
        <v>47335</v>
      </c>
      <c r="DO347" s="1">
        <f t="shared" ref="DO347:DO378" si="130">SUM(AX347,BE347,BH347,BJ347,BN347,BQ347:BR347,BT347,BV347,BY347:CA347,CC347:CE347,CI347:CJ347)</f>
        <v>476379</v>
      </c>
      <c r="DP347" s="1">
        <f t="shared" si="119"/>
        <v>110772</v>
      </c>
      <c r="DQ347" s="1">
        <f t="shared" si="121"/>
        <v>10488</v>
      </c>
      <c r="DR347" s="1">
        <f t="shared" ref="DR347:DR378" si="131">CB347+CH347+Z347</f>
        <v>15458</v>
      </c>
      <c r="DS347" s="1">
        <f t="shared" ref="DS347:DS378" si="132">BO347+BU347</f>
        <v>112093</v>
      </c>
      <c r="DT347" s="1">
        <f t="shared" ref="DT347:DT373" si="133">BF347+BI347+BK347+BL347+BW347</f>
        <v>13324</v>
      </c>
      <c r="DU347" s="1"/>
      <c r="DV347" s="1"/>
      <c r="DW347" s="1"/>
      <c r="DX347" s="1">
        <f t="shared" si="122"/>
        <v>1017156</v>
      </c>
      <c r="DY347" s="1"/>
      <c r="DZ347" s="1">
        <f t="shared" si="123"/>
        <v>52422</v>
      </c>
      <c r="EA347" s="1">
        <f t="shared" ref="EA347:EA378" si="134">SUM(F347:K347,N347,CS347:CT347)</f>
        <v>61454</v>
      </c>
      <c r="EC347" s="1">
        <f t="shared" si="124"/>
        <v>1131032</v>
      </c>
      <c r="ED347" s="1">
        <f t="shared" si="120"/>
        <v>0</v>
      </c>
      <c r="EE347" s="1"/>
    </row>
    <row r="348" spans="1:135" x14ac:dyDescent="0.25">
      <c r="A348" s="10">
        <v>42795</v>
      </c>
      <c r="B348">
        <v>0</v>
      </c>
      <c r="C348">
        <v>0</v>
      </c>
      <c r="D348">
        <v>0</v>
      </c>
      <c r="E348">
        <v>0</v>
      </c>
      <c r="F348">
        <v>1102</v>
      </c>
      <c r="G348">
        <v>16019</v>
      </c>
      <c r="H348">
        <v>39304</v>
      </c>
      <c r="I348">
        <v>944</v>
      </c>
      <c r="J348">
        <v>2273</v>
      </c>
      <c r="K348">
        <v>1138</v>
      </c>
      <c r="L348">
        <v>29854</v>
      </c>
      <c r="M348">
        <v>1468</v>
      </c>
      <c r="N348">
        <v>619</v>
      </c>
      <c r="O348">
        <v>1467</v>
      </c>
      <c r="P348">
        <v>10171</v>
      </c>
      <c r="Q348">
        <v>236</v>
      </c>
      <c r="R348">
        <v>5283</v>
      </c>
      <c r="S348">
        <v>12868</v>
      </c>
      <c r="T348">
        <v>25</v>
      </c>
      <c r="U348">
        <v>3887</v>
      </c>
      <c r="V348">
        <v>54</v>
      </c>
      <c r="W348">
        <v>15562</v>
      </c>
      <c r="X348">
        <v>467</v>
      </c>
      <c r="Y348">
        <v>6</v>
      </c>
      <c r="Z348">
        <v>7</v>
      </c>
      <c r="AA348">
        <v>1</v>
      </c>
      <c r="AB348">
        <v>191</v>
      </c>
      <c r="AC348">
        <v>18</v>
      </c>
      <c r="AD348">
        <v>29</v>
      </c>
      <c r="AE348">
        <v>21</v>
      </c>
      <c r="AF348">
        <v>60</v>
      </c>
      <c r="AG348">
        <v>92</v>
      </c>
      <c r="AH348">
        <v>2026</v>
      </c>
      <c r="AI348">
        <v>2</v>
      </c>
      <c r="AJ348">
        <v>15623</v>
      </c>
      <c r="AK348">
        <v>110732</v>
      </c>
      <c r="AL348">
        <v>2539</v>
      </c>
      <c r="AM348">
        <v>21343</v>
      </c>
      <c r="AN348">
        <v>20</v>
      </c>
      <c r="AO348">
        <v>120</v>
      </c>
      <c r="AP348">
        <v>10293</v>
      </c>
      <c r="AQ348">
        <v>0</v>
      </c>
      <c r="AR348">
        <v>813</v>
      </c>
      <c r="AS348">
        <v>41</v>
      </c>
      <c r="AT348">
        <v>10472</v>
      </c>
      <c r="AU348">
        <v>2256</v>
      </c>
      <c r="AV348">
        <v>3618</v>
      </c>
      <c r="AW348">
        <v>15443</v>
      </c>
      <c r="AX348">
        <v>1</v>
      </c>
      <c r="AY348">
        <v>0</v>
      </c>
      <c r="AZ348">
        <v>957</v>
      </c>
      <c r="BA348">
        <v>0</v>
      </c>
      <c r="BB348">
        <v>121</v>
      </c>
      <c r="BC348">
        <v>786</v>
      </c>
      <c r="BD348">
        <v>0</v>
      </c>
      <c r="BE348">
        <v>0</v>
      </c>
      <c r="BF348">
        <v>7852</v>
      </c>
      <c r="BG348">
        <v>0</v>
      </c>
      <c r="BH348">
        <v>0</v>
      </c>
      <c r="BI348">
        <v>0</v>
      </c>
      <c r="BJ348">
        <v>44</v>
      </c>
      <c r="BK348">
        <v>5444</v>
      </c>
      <c r="BL348">
        <v>0</v>
      </c>
      <c r="BM348">
        <v>554</v>
      </c>
      <c r="BN348">
        <v>0</v>
      </c>
      <c r="BO348">
        <v>111404</v>
      </c>
      <c r="BP348">
        <v>82158</v>
      </c>
      <c r="BQ348">
        <v>1915</v>
      </c>
      <c r="BR348">
        <v>33</v>
      </c>
      <c r="BS348">
        <v>28536</v>
      </c>
      <c r="BT348">
        <v>1394</v>
      </c>
      <c r="BU348">
        <v>0</v>
      </c>
      <c r="BV348">
        <v>0</v>
      </c>
      <c r="BW348">
        <v>4</v>
      </c>
      <c r="BX348">
        <v>10467</v>
      </c>
      <c r="BY348">
        <v>385</v>
      </c>
      <c r="BZ348">
        <v>0</v>
      </c>
      <c r="CA348">
        <v>24338</v>
      </c>
      <c r="CB348">
        <v>15288</v>
      </c>
      <c r="CC348">
        <v>131376</v>
      </c>
      <c r="CD348">
        <v>280218</v>
      </c>
      <c r="CE348">
        <v>35712</v>
      </c>
      <c r="CF348">
        <v>52601</v>
      </c>
      <c r="CG348">
        <v>0</v>
      </c>
      <c r="CH348">
        <v>10</v>
      </c>
      <c r="CI348">
        <v>3</v>
      </c>
      <c r="CJ348">
        <v>66</v>
      </c>
      <c r="CQ348">
        <v>387</v>
      </c>
      <c r="CR348">
        <v>9</v>
      </c>
      <c r="CY348">
        <v>0</v>
      </c>
      <c r="CZ348">
        <v>0</v>
      </c>
      <c r="DA348">
        <v>0</v>
      </c>
      <c r="DB348">
        <v>14</v>
      </c>
      <c r="DC348">
        <v>0</v>
      </c>
      <c r="DD348">
        <v>26</v>
      </c>
      <c r="DE348">
        <f t="shared" si="117"/>
        <v>1130570</v>
      </c>
      <c r="DG348" s="1">
        <f t="shared" si="125"/>
        <v>790589</v>
      </c>
      <c r="DH348" s="1">
        <f t="shared" si="126"/>
        <v>278582</v>
      </c>
      <c r="DI348" s="1">
        <f t="shared" si="116"/>
        <v>1069171</v>
      </c>
      <c r="DJ348" s="1"/>
      <c r="DK348" s="1">
        <f t="shared" si="127"/>
        <v>68007</v>
      </c>
      <c r="DL348" s="1">
        <f t="shared" si="118"/>
        <v>150045</v>
      </c>
      <c r="DM348" s="1">
        <f t="shared" si="128"/>
        <v>12868</v>
      </c>
      <c r="DN348" s="1">
        <f t="shared" si="129"/>
        <v>47259</v>
      </c>
      <c r="DO348" s="1">
        <f t="shared" si="130"/>
        <v>475485</v>
      </c>
      <c r="DP348" s="1">
        <f t="shared" si="119"/>
        <v>112034</v>
      </c>
      <c r="DQ348" s="1">
        <f t="shared" si="121"/>
        <v>10863</v>
      </c>
      <c r="DR348" s="1">
        <f t="shared" si="131"/>
        <v>15305</v>
      </c>
      <c r="DS348" s="1">
        <f t="shared" si="132"/>
        <v>111404</v>
      </c>
      <c r="DT348" s="1">
        <f t="shared" si="133"/>
        <v>13300</v>
      </c>
      <c r="DU348" s="1"/>
      <c r="DV348" s="1"/>
      <c r="DW348" s="1"/>
      <c r="DX348" s="1">
        <f t="shared" si="122"/>
        <v>1016570</v>
      </c>
      <c r="DY348" s="1"/>
      <c r="DZ348" s="1">
        <f t="shared" si="123"/>
        <v>52601</v>
      </c>
      <c r="EA348" s="1">
        <f t="shared" si="134"/>
        <v>61399</v>
      </c>
      <c r="EC348" s="1">
        <f t="shared" si="124"/>
        <v>1130570</v>
      </c>
      <c r="ED348" s="1">
        <f t="shared" si="120"/>
        <v>0</v>
      </c>
      <c r="EE348" s="1"/>
    </row>
    <row r="349" spans="1:135" x14ac:dyDescent="0.25">
      <c r="A349" s="10">
        <v>42826</v>
      </c>
      <c r="B349">
        <v>0</v>
      </c>
      <c r="C349">
        <v>0</v>
      </c>
      <c r="D349">
        <v>0</v>
      </c>
      <c r="E349">
        <v>0</v>
      </c>
      <c r="F349">
        <v>1122</v>
      </c>
      <c r="G349">
        <v>16353</v>
      </c>
      <c r="H349">
        <v>39842</v>
      </c>
      <c r="I349">
        <v>941</v>
      </c>
      <c r="J349">
        <v>2248</v>
      </c>
      <c r="K349">
        <v>1186</v>
      </c>
      <c r="L349">
        <v>30398</v>
      </c>
      <c r="M349">
        <v>1475</v>
      </c>
      <c r="N349">
        <v>637</v>
      </c>
      <c r="O349">
        <v>1525</v>
      </c>
      <c r="P349">
        <v>10091</v>
      </c>
      <c r="Q349">
        <v>232</v>
      </c>
      <c r="R349">
        <v>5214</v>
      </c>
      <c r="S349">
        <v>13081</v>
      </c>
      <c r="T349">
        <v>30</v>
      </c>
      <c r="U349">
        <v>4033</v>
      </c>
      <c r="V349">
        <v>46</v>
      </c>
      <c r="W349">
        <v>16019</v>
      </c>
      <c r="X349">
        <v>460</v>
      </c>
      <c r="Y349">
        <v>5</v>
      </c>
      <c r="Z349">
        <v>2</v>
      </c>
      <c r="AA349">
        <v>1</v>
      </c>
      <c r="AB349">
        <v>189</v>
      </c>
      <c r="AC349">
        <v>19</v>
      </c>
      <c r="AD349">
        <v>29</v>
      </c>
      <c r="AE349">
        <v>19</v>
      </c>
      <c r="AF349">
        <v>55</v>
      </c>
      <c r="AG349">
        <v>79</v>
      </c>
      <c r="AH349">
        <v>2127</v>
      </c>
      <c r="AI349">
        <v>2</v>
      </c>
      <c r="AJ349">
        <v>15942</v>
      </c>
      <c r="AK349">
        <v>110537</v>
      </c>
      <c r="AL349">
        <v>2517</v>
      </c>
      <c r="AM349">
        <v>21400</v>
      </c>
      <c r="AN349">
        <v>18</v>
      </c>
      <c r="AO349">
        <v>135</v>
      </c>
      <c r="AP349">
        <v>10471</v>
      </c>
      <c r="AQ349">
        <v>0</v>
      </c>
      <c r="AR349">
        <v>850</v>
      </c>
      <c r="AS349">
        <v>43</v>
      </c>
      <c r="AT349">
        <v>10438</v>
      </c>
      <c r="AU349">
        <v>2232</v>
      </c>
      <c r="AV349">
        <v>3546</v>
      </c>
      <c r="AW349">
        <v>15418</v>
      </c>
      <c r="AX349">
        <v>4</v>
      </c>
      <c r="AY349">
        <v>4</v>
      </c>
      <c r="AZ349">
        <v>969</v>
      </c>
      <c r="BA349">
        <v>1</v>
      </c>
      <c r="BB349">
        <v>119</v>
      </c>
      <c r="BC349">
        <v>796</v>
      </c>
      <c r="BD349">
        <v>0</v>
      </c>
      <c r="BE349">
        <v>0</v>
      </c>
      <c r="BF349">
        <v>7871</v>
      </c>
      <c r="BG349">
        <v>0</v>
      </c>
      <c r="BH349">
        <v>0</v>
      </c>
      <c r="BI349">
        <v>0</v>
      </c>
      <c r="BJ349">
        <v>41</v>
      </c>
      <c r="BK349">
        <v>5449</v>
      </c>
      <c r="BL349">
        <v>0</v>
      </c>
      <c r="BM349">
        <v>583</v>
      </c>
      <c r="BN349">
        <v>0</v>
      </c>
      <c r="BO349">
        <v>112470</v>
      </c>
      <c r="BP349">
        <v>83392</v>
      </c>
      <c r="BQ349">
        <v>2099</v>
      </c>
      <c r="BR349">
        <v>33</v>
      </c>
      <c r="BS349">
        <v>29331</v>
      </c>
      <c r="BT349">
        <v>1475</v>
      </c>
      <c r="BU349">
        <v>0</v>
      </c>
      <c r="BV349">
        <v>0</v>
      </c>
      <c r="BW349">
        <v>4</v>
      </c>
      <c r="BX349">
        <v>10821</v>
      </c>
      <c r="BY349">
        <v>387</v>
      </c>
      <c r="BZ349">
        <v>0</v>
      </c>
      <c r="CA349">
        <v>24632</v>
      </c>
      <c r="CB349">
        <v>15514</v>
      </c>
      <c r="CC349">
        <v>132004</v>
      </c>
      <c r="CD349">
        <v>281288</v>
      </c>
      <c r="CE349">
        <v>36134</v>
      </c>
      <c r="CF349">
        <v>53432</v>
      </c>
      <c r="CG349">
        <v>0</v>
      </c>
      <c r="CH349">
        <v>10</v>
      </c>
      <c r="CI349">
        <v>3</v>
      </c>
      <c r="CJ349">
        <v>67</v>
      </c>
      <c r="CQ349">
        <v>375</v>
      </c>
      <c r="CR349">
        <v>13</v>
      </c>
      <c r="CY349">
        <v>0</v>
      </c>
      <c r="CZ349">
        <v>0</v>
      </c>
      <c r="DA349">
        <v>0</v>
      </c>
      <c r="DB349">
        <v>14</v>
      </c>
      <c r="DC349">
        <v>0</v>
      </c>
      <c r="DD349">
        <v>26</v>
      </c>
      <c r="DE349">
        <f t="shared" si="117"/>
        <v>1140328</v>
      </c>
      <c r="DF349" s="1"/>
      <c r="DG349" s="1">
        <f t="shared" si="125"/>
        <v>797844</v>
      </c>
      <c r="DH349" s="1">
        <f t="shared" si="126"/>
        <v>280155</v>
      </c>
      <c r="DI349" s="1">
        <f t="shared" si="116"/>
        <v>1077999</v>
      </c>
      <c r="DK349" s="1">
        <f t="shared" si="127"/>
        <v>69063</v>
      </c>
      <c r="DL349" s="1">
        <f t="shared" si="118"/>
        <v>150142</v>
      </c>
      <c r="DM349" s="1">
        <f t="shared" si="128"/>
        <v>13081</v>
      </c>
      <c r="DN349" s="1">
        <f t="shared" si="129"/>
        <v>47479</v>
      </c>
      <c r="DO349" s="1">
        <f t="shared" si="130"/>
        <v>478167</v>
      </c>
      <c r="DP349" s="1">
        <f t="shared" si="119"/>
        <v>114106</v>
      </c>
      <c r="DQ349" s="1">
        <f t="shared" si="121"/>
        <v>11209</v>
      </c>
      <c r="DR349" s="1">
        <f t="shared" si="131"/>
        <v>15526</v>
      </c>
      <c r="DS349" s="1">
        <f t="shared" si="132"/>
        <v>112470</v>
      </c>
      <c r="DT349" s="1">
        <f t="shared" si="133"/>
        <v>13324</v>
      </c>
      <c r="DU349" s="1"/>
      <c r="DV349" s="1"/>
      <c r="DW349" s="1"/>
      <c r="DX349" s="1">
        <f t="shared" si="122"/>
        <v>1024567</v>
      </c>
      <c r="DZ349" s="1">
        <f t="shared" si="123"/>
        <v>53432</v>
      </c>
      <c r="EA349" s="1">
        <f t="shared" si="134"/>
        <v>62329</v>
      </c>
      <c r="EC349" s="1">
        <f t="shared" si="124"/>
        <v>1140328</v>
      </c>
      <c r="ED349" s="1">
        <f t="shared" si="120"/>
        <v>0</v>
      </c>
      <c r="EE349" s="1"/>
    </row>
    <row r="350" spans="1:135" x14ac:dyDescent="0.25">
      <c r="A350" s="10">
        <v>42856</v>
      </c>
      <c r="B350">
        <v>0</v>
      </c>
      <c r="C350">
        <v>0</v>
      </c>
      <c r="D350">
        <v>0</v>
      </c>
      <c r="E350">
        <v>0</v>
      </c>
      <c r="F350">
        <v>1139</v>
      </c>
      <c r="G350">
        <v>16542</v>
      </c>
      <c r="H350">
        <v>40286</v>
      </c>
      <c r="I350">
        <v>916</v>
      </c>
      <c r="J350">
        <v>2223</v>
      </c>
      <c r="K350">
        <v>1223</v>
      </c>
      <c r="L350">
        <v>30969</v>
      </c>
      <c r="M350">
        <v>1474</v>
      </c>
      <c r="N350">
        <v>645</v>
      </c>
      <c r="O350">
        <v>1555</v>
      </c>
      <c r="P350">
        <v>10033</v>
      </c>
      <c r="Q350">
        <v>238</v>
      </c>
      <c r="R350">
        <v>5126</v>
      </c>
      <c r="S350">
        <v>13198</v>
      </c>
      <c r="T350">
        <v>35</v>
      </c>
      <c r="U350">
        <v>4149</v>
      </c>
      <c r="V350">
        <v>39</v>
      </c>
      <c r="W350">
        <v>16258</v>
      </c>
      <c r="X350">
        <v>433</v>
      </c>
      <c r="Y350">
        <v>5</v>
      </c>
      <c r="Z350">
        <v>3</v>
      </c>
      <c r="AA350">
        <v>0</v>
      </c>
      <c r="AB350">
        <v>175</v>
      </c>
      <c r="AC350">
        <v>19</v>
      </c>
      <c r="AD350">
        <v>29</v>
      </c>
      <c r="AE350">
        <v>19</v>
      </c>
      <c r="AF350">
        <v>51</v>
      </c>
      <c r="AG350">
        <v>88</v>
      </c>
      <c r="AH350">
        <v>2216</v>
      </c>
      <c r="AI350">
        <v>2</v>
      </c>
      <c r="AJ350">
        <v>16070</v>
      </c>
      <c r="AK350">
        <v>109901</v>
      </c>
      <c r="AL350">
        <v>2478</v>
      </c>
      <c r="AM350">
        <v>21275</v>
      </c>
      <c r="AN350">
        <v>20</v>
      </c>
      <c r="AO350">
        <v>133</v>
      </c>
      <c r="AP350">
        <v>10549</v>
      </c>
      <c r="AQ350">
        <v>0</v>
      </c>
      <c r="AR350">
        <v>875</v>
      </c>
      <c r="AS350">
        <v>41</v>
      </c>
      <c r="AT350">
        <v>10347</v>
      </c>
      <c r="AU350">
        <v>2196</v>
      </c>
      <c r="AV350">
        <v>3429</v>
      </c>
      <c r="AW350">
        <v>15248</v>
      </c>
      <c r="AX350">
        <v>18</v>
      </c>
      <c r="AY350">
        <v>2</v>
      </c>
      <c r="AZ350">
        <v>968</v>
      </c>
      <c r="BA350">
        <v>1</v>
      </c>
      <c r="BB350">
        <v>113</v>
      </c>
      <c r="BC350">
        <v>821</v>
      </c>
      <c r="BD350">
        <v>0</v>
      </c>
      <c r="BE350">
        <v>0</v>
      </c>
      <c r="BF350">
        <v>7867</v>
      </c>
      <c r="BG350">
        <v>0</v>
      </c>
      <c r="BH350">
        <v>0</v>
      </c>
      <c r="BI350">
        <v>0</v>
      </c>
      <c r="BJ350">
        <v>39</v>
      </c>
      <c r="BK350">
        <v>5462</v>
      </c>
      <c r="BL350">
        <v>0</v>
      </c>
      <c r="BM350">
        <v>545</v>
      </c>
      <c r="BN350">
        <v>0</v>
      </c>
      <c r="BO350">
        <v>112405</v>
      </c>
      <c r="BP350">
        <v>83473</v>
      </c>
      <c r="BQ350">
        <v>2250</v>
      </c>
      <c r="BR350">
        <v>30</v>
      </c>
      <c r="BS350">
        <v>29741</v>
      </c>
      <c r="BT350">
        <v>1615</v>
      </c>
      <c r="BU350">
        <v>0</v>
      </c>
      <c r="BV350">
        <v>0</v>
      </c>
      <c r="BW350">
        <v>4</v>
      </c>
      <c r="BX350">
        <v>11077</v>
      </c>
      <c r="BY350">
        <v>396</v>
      </c>
      <c r="BZ350">
        <v>0</v>
      </c>
      <c r="CA350">
        <v>24869</v>
      </c>
      <c r="CB350">
        <v>15702</v>
      </c>
      <c r="CC350">
        <v>131186</v>
      </c>
      <c r="CD350">
        <v>279736</v>
      </c>
      <c r="CE350">
        <v>35812</v>
      </c>
      <c r="CF350">
        <v>53906</v>
      </c>
      <c r="CG350">
        <v>0</v>
      </c>
      <c r="CH350">
        <v>6</v>
      </c>
      <c r="CI350">
        <v>2</v>
      </c>
      <c r="CJ350">
        <v>71</v>
      </c>
      <c r="CQ350">
        <v>380</v>
      </c>
      <c r="CR350">
        <v>12</v>
      </c>
      <c r="CY350">
        <v>0</v>
      </c>
      <c r="CZ350">
        <v>0</v>
      </c>
      <c r="DA350">
        <v>0</v>
      </c>
      <c r="DB350">
        <v>14</v>
      </c>
      <c r="DC350">
        <v>0</v>
      </c>
      <c r="DD350">
        <v>26</v>
      </c>
      <c r="DE350">
        <f t="shared" si="117"/>
        <v>1140159</v>
      </c>
      <c r="DF350" s="1"/>
      <c r="DG350" s="1">
        <f t="shared" si="125"/>
        <v>797035</v>
      </c>
      <c r="DH350" s="1">
        <f t="shared" si="126"/>
        <v>280150</v>
      </c>
      <c r="DI350" s="1">
        <f t="shared" si="116"/>
        <v>1077185</v>
      </c>
      <c r="DK350" s="1">
        <f t="shared" si="127"/>
        <v>69876</v>
      </c>
      <c r="DL350" s="1">
        <f t="shared" si="118"/>
        <v>149425</v>
      </c>
      <c r="DM350" s="1">
        <f t="shared" si="128"/>
        <v>13198</v>
      </c>
      <c r="DN350" s="1">
        <f t="shared" si="129"/>
        <v>47256</v>
      </c>
      <c r="DO350" s="1">
        <f t="shared" si="130"/>
        <v>476024</v>
      </c>
      <c r="DP350" s="1">
        <f t="shared" si="119"/>
        <v>114582</v>
      </c>
      <c r="DQ350" s="1">
        <f t="shared" si="121"/>
        <v>11469</v>
      </c>
      <c r="DR350" s="1">
        <f t="shared" si="131"/>
        <v>15711</v>
      </c>
      <c r="DS350" s="1">
        <f t="shared" si="132"/>
        <v>112405</v>
      </c>
      <c r="DT350" s="1">
        <f t="shared" si="133"/>
        <v>13333</v>
      </c>
      <c r="DU350" s="1"/>
      <c r="DV350" s="1"/>
      <c r="DW350" s="1"/>
      <c r="DX350" s="1">
        <f t="shared" si="122"/>
        <v>1023279</v>
      </c>
      <c r="DZ350" s="1">
        <f t="shared" si="123"/>
        <v>53906</v>
      </c>
      <c r="EA350" s="1">
        <f t="shared" si="134"/>
        <v>62974</v>
      </c>
      <c r="EC350" s="1">
        <f t="shared" si="124"/>
        <v>1140159</v>
      </c>
      <c r="ED350" s="1">
        <f t="shared" si="120"/>
        <v>0</v>
      </c>
      <c r="EE350" s="1"/>
    </row>
    <row r="351" spans="1:135" x14ac:dyDescent="0.25">
      <c r="A351" s="10">
        <v>42887</v>
      </c>
      <c r="B351">
        <v>0</v>
      </c>
      <c r="C351">
        <v>0</v>
      </c>
      <c r="D351">
        <v>0</v>
      </c>
      <c r="E351">
        <v>0</v>
      </c>
      <c r="F351">
        <v>1115</v>
      </c>
      <c r="G351">
        <v>16653</v>
      </c>
      <c r="H351">
        <v>40642</v>
      </c>
      <c r="I351">
        <v>870</v>
      </c>
      <c r="J351">
        <v>2125</v>
      </c>
      <c r="K351">
        <v>1172</v>
      </c>
      <c r="L351">
        <v>31498</v>
      </c>
      <c r="M351">
        <v>1500</v>
      </c>
      <c r="N351">
        <v>640</v>
      </c>
      <c r="O351">
        <v>1607</v>
      </c>
      <c r="P351">
        <v>10025</v>
      </c>
      <c r="Q351">
        <v>237</v>
      </c>
      <c r="R351">
        <v>5067</v>
      </c>
      <c r="S351">
        <v>13334</v>
      </c>
      <c r="T351">
        <v>44</v>
      </c>
      <c r="U351">
        <v>4256</v>
      </c>
      <c r="V351">
        <v>42</v>
      </c>
      <c r="W351">
        <v>16578</v>
      </c>
      <c r="X351">
        <v>431</v>
      </c>
      <c r="Y351">
        <v>5</v>
      </c>
      <c r="Z351">
        <v>3</v>
      </c>
      <c r="AA351">
        <v>1</v>
      </c>
      <c r="AB351">
        <v>167</v>
      </c>
      <c r="AC351">
        <v>20</v>
      </c>
      <c r="AD351">
        <v>27</v>
      </c>
      <c r="AE351">
        <v>17</v>
      </c>
      <c r="AF351">
        <v>48</v>
      </c>
      <c r="AG351">
        <v>98</v>
      </c>
      <c r="AH351">
        <v>2287</v>
      </c>
      <c r="AI351">
        <v>1</v>
      </c>
      <c r="AJ351">
        <v>16193</v>
      </c>
      <c r="AK351">
        <v>109719</v>
      </c>
      <c r="AL351">
        <v>2419</v>
      </c>
      <c r="AM351">
        <v>21280</v>
      </c>
      <c r="AN351">
        <v>16</v>
      </c>
      <c r="AO351">
        <v>142</v>
      </c>
      <c r="AP351">
        <v>10602</v>
      </c>
      <c r="AQ351">
        <v>0</v>
      </c>
      <c r="AR351">
        <v>868</v>
      </c>
      <c r="AS351">
        <v>37</v>
      </c>
      <c r="AT351">
        <v>10237</v>
      </c>
      <c r="AU351">
        <v>2157</v>
      </c>
      <c r="AV351">
        <v>3342</v>
      </c>
      <c r="AW351">
        <v>15168</v>
      </c>
      <c r="AX351">
        <v>11</v>
      </c>
      <c r="AY351">
        <v>8</v>
      </c>
      <c r="AZ351">
        <v>964</v>
      </c>
      <c r="BA351">
        <v>2</v>
      </c>
      <c r="BB351">
        <v>123</v>
      </c>
      <c r="BC351">
        <v>843</v>
      </c>
      <c r="BD351">
        <v>0</v>
      </c>
      <c r="BE351">
        <v>0</v>
      </c>
      <c r="BF351">
        <v>7888</v>
      </c>
      <c r="BG351">
        <v>0</v>
      </c>
      <c r="BH351">
        <v>0</v>
      </c>
      <c r="BI351">
        <v>0</v>
      </c>
      <c r="BJ351">
        <v>44</v>
      </c>
      <c r="BK351">
        <v>5493</v>
      </c>
      <c r="BL351">
        <v>0</v>
      </c>
      <c r="BM351">
        <v>443</v>
      </c>
      <c r="BN351">
        <v>0</v>
      </c>
      <c r="BO351">
        <v>112320</v>
      </c>
      <c r="BP351">
        <v>84151</v>
      </c>
      <c r="BQ351">
        <v>2523</v>
      </c>
      <c r="BR351">
        <v>29</v>
      </c>
      <c r="BS351">
        <v>30344</v>
      </c>
      <c r="BT351">
        <v>1806</v>
      </c>
      <c r="BU351">
        <v>0</v>
      </c>
      <c r="BV351">
        <v>0</v>
      </c>
      <c r="BW351">
        <v>3</v>
      </c>
      <c r="BX351">
        <v>11425</v>
      </c>
      <c r="BY351">
        <v>382</v>
      </c>
      <c r="BZ351">
        <v>0</v>
      </c>
      <c r="CA351">
        <v>25231</v>
      </c>
      <c r="CB351">
        <v>15927</v>
      </c>
      <c r="CC351">
        <v>131099</v>
      </c>
      <c r="CD351">
        <v>278784</v>
      </c>
      <c r="CE351">
        <v>34990</v>
      </c>
      <c r="CF351">
        <v>54576</v>
      </c>
      <c r="CG351">
        <v>0</v>
      </c>
      <c r="CH351">
        <v>6</v>
      </c>
      <c r="CI351">
        <v>2</v>
      </c>
      <c r="CJ351">
        <v>78</v>
      </c>
      <c r="CQ351">
        <v>391</v>
      </c>
      <c r="CR351">
        <v>16</v>
      </c>
      <c r="CY351">
        <v>0</v>
      </c>
      <c r="CZ351">
        <v>0</v>
      </c>
      <c r="DA351">
        <v>0</v>
      </c>
      <c r="DB351">
        <v>14</v>
      </c>
      <c r="DC351">
        <v>0</v>
      </c>
      <c r="DD351">
        <v>26</v>
      </c>
      <c r="DE351">
        <f t="shared" si="117"/>
        <v>1142592</v>
      </c>
      <c r="DF351" s="1"/>
      <c r="DG351" s="1">
        <f t="shared" si="125"/>
        <v>798406</v>
      </c>
      <c r="DH351" s="1">
        <f t="shared" si="126"/>
        <v>280969</v>
      </c>
      <c r="DI351" s="1">
        <f t="shared" si="116"/>
        <v>1079375</v>
      </c>
      <c r="DK351" s="1">
        <f t="shared" si="127"/>
        <v>70854</v>
      </c>
      <c r="DL351" s="1">
        <f t="shared" si="118"/>
        <v>149131</v>
      </c>
      <c r="DM351" s="1">
        <f t="shared" si="128"/>
        <v>13334</v>
      </c>
      <c r="DN351" s="1">
        <f t="shared" si="129"/>
        <v>47240</v>
      </c>
      <c r="DO351" s="1">
        <f t="shared" si="130"/>
        <v>474979</v>
      </c>
      <c r="DP351" s="1">
        <f t="shared" si="119"/>
        <v>115789</v>
      </c>
      <c r="DQ351" s="1">
        <f t="shared" si="121"/>
        <v>11832</v>
      </c>
      <c r="DR351" s="1">
        <f t="shared" si="131"/>
        <v>15936</v>
      </c>
      <c r="DS351" s="1">
        <f t="shared" si="132"/>
        <v>112320</v>
      </c>
      <c r="DT351" s="1">
        <f t="shared" si="133"/>
        <v>13384</v>
      </c>
      <c r="DU351" s="1"/>
      <c r="DV351" s="1"/>
      <c r="DW351" s="1"/>
      <c r="DX351" s="1">
        <f t="shared" si="122"/>
        <v>1024799</v>
      </c>
      <c r="DZ351" s="1">
        <f t="shared" si="123"/>
        <v>54576</v>
      </c>
      <c r="EA351" s="1">
        <f t="shared" si="134"/>
        <v>63217</v>
      </c>
      <c r="EC351" s="1">
        <f t="shared" si="124"/>
        <v>1142592</v>
      </c>
      <c r="ED351" s="1">
        <f t="shared" si="120"/>
        <v>0</v>
      </c>
      <c r="EE351" s="1"/>
    </row>
    <row r="352" spans="1:135" x14ac:dyDescent="0.25">
      <c r="A352" s="10">
        <v>42917</v>
      </c>
      <c r="B352">
        <v>0</v>
      </c>
      <c r="C352">
        <v>0</v>
      </c>
      <c r="D352">
        <v>0</v>
      </c>
      <c r="E352">
        <v>0</v>
      </c>
      <c r="F352">
        <v>1160</v>
      </c>
      <c r="G352">
        <v>16974</v>
      </c>
      <c r="H352">
        <v>41381</v>
      </c>
      <c r="I352">
        <v>879</v>
      </c>
      <c r="J352">
        <v>2119</v>
      </c>
      <c r="K352">
        <v>1149</v>
      </c>
      <c r="L352">
        <v>31892</v>
      </c>
      <c r="M352">
        <v>1525</v>
      </c>
      <c r="N352">
        <v>656</v>
      </c>
      <c r="O352">
        <v>1621</v>
      </c>
      <c r="P352">
        <v>10059</v>
      </c>
      <c r="Q352">
        <v>237</v>
      </c>
      <c r="R352">
        <v>5048</v>
      </c>
      <c r="S352">
        <v>13478</v>
      </c>
      <c r="T352">
        <v>35</v>
      </c>
      <c r="U352">
        <v>4325</v>
      </c>
      <c r="V352">
        <v>46</v>
      </c>
      <c r="W352">
        <v>16812</v>
      </c>
      <c r="X352">
        <v>421</v>
      </c>
      <c r="Y352">
        <v>4</v>
      </c>
      <c r="Z352">
        <v>4</v>
      </c>
      <c r="AA352">
        <v>1</v>
      </c>
      <c r="AB352">
        <v>153</v>
      </c>
      <c r="AC352">
        <v>19</v>
      </c>
      <c r="AD352">
        <v>29</v>
      </c>
      <c r="AE352">
        <v>18</v>
      </c>
      <c r="AF352">
        <v>45</v>
      </c>
      <c r="AG352">
        <v>97</v>
      </c>
      <c r="AH352">
        <v>2344</v>
      </c>
      <c r="AI352">
        <v>2</v>
      </c>
      <c r="AJ352">
        <v>16392</v>
      </c>
      <c r="AK352">
        <v>109586</v>
      </c>
      <c r="AL352">
        <v>2356</v>
      </c>
      <c r="AM352">
        <v>21221</v>
      </c>
      <c r="AN352">
        <v>14</v>
      </c>
      <c r="AO352">
        <v>155</v>
      </c>
      <c r="AP352">
        <v>10674</v>
      </c>
      <c r="AQ352">
        <v>0</v>
      </c>
      <c r="AR352">
        <v>831</v>
      </c>
      <c r="AS352">
        <v>35</v>
      </c>
      <c r="AT352">
        <v>10156</v>
      </c>
      <c r="AU352">
        <v>2134</v>
      </c>
      <c r="AV352">
        <v>3264</v>
      </c>
      <c r="AW352">
        <v>15057</v>
      </c>
      <c r="AX352">
        <v>7</v>
      </c>
      <c r="AY352">
        <v>3</v>
      </c>
      <c r="AZ352">
        <v>963</v>
      </c>
      <c r="BA352">
        <v>1</v>
      </c>
      <c r="BB352">
        <v>133</v>
      </c>
      <c r="BC352">
        <v>851</v>
      </c>
      <c r="BD352">
        <v>0</v>
      </c>
      <c r="BE352">
        <v>0</v>
      </c>
      <c r="BF352">
        <v>7917</v>
      </c>
      <c r="BG352">
        <v>0</v>
      </c>
      <c r="BH352">
        <v>0</v>
      </c>
      <c r="BI352">
        <v>0</v>
      </c>
      <c r="BJ352">
        <v>42</v>
      </c>
      <c r="BK352">
        <v>5496</v>
      </c>
      <c r="BL352">
        <v>0</v>
      </c>
      <c r="BM352">
        <v>410</v>
      </c>
      <c r="BN352">
        <v>0</v>
      </c>
      <c r="BO352">
        <v>113129</v>
      </c>
      <c r="BP352">
        <v>84812</v>
      </c>
      <c r="BQ352">
        <v>2706</v>
      </c>
      <c r="BR352">
        <v>28</v>
      </c>
      <c r="BS352">
        <v>30753</v>
      </c>
      <c r="BT352">
        <v>1921</v>
      </c>
      <c r="BU352">
        <v>0</v>
      </c>
      <c r="BV352">
        <v>0</v>
      </c>
      <c r="BW352">
        <v>3</v>
      </c>
      <c r="BX352">
        <v>11734</v>
      </c>
      <c r="BY352">
        <v>375</v>
      </c>
      <c r="BZ352">
        <v>0</v>
      </c>
      <c r="CA352">
        <v>25580</v>
      </c>
      <c r="CB352">
        <v>16145</v>
      </c>
      <c r="CC352">
        <v>130927</v>
      </c>
      <c r="CD352">
        <v>278023</v>
      </c>
      <c r="CE352">
        <v>35268</v>
      </c>
      <c r="CF352">
        <v>55896</v>
      </c>
      <c r="CG352">
        <v>0</v>
      </c>
      <c r="CH352">
        <v>6</v>
      </c>
      <c r="CI352">
        <v>1</v>
      </c>
      <c r="CJ352">
        <v>75</v>
      </c>
      <c r="CQ352">
        <v>404</v>
      </c>
      <c r="CR352">
        <v>18</v>
      </c>
      <c r="CY352">
        <v>0</v>
      </c>
      <c r="CZ352">
        <v>0</v>
      </c>
      <c r="DA352">
        <v>0</v>
      </c>
      <c r="DB352">
        <v>14</v>
      </c>
      <c r="DC352">
        <v>0</v>
      </c>
      <c r="DD352">
        <v>26</v>
      </c>
      <c r="DE352">
        <f t="shared" si="117"/>
        <v>1148035</v>
      </c>
      <c r="DF352" s="1"/>
      <c r="DG352" s="1">
        <f t="shared" si="125"/>
        <v>802108</v>
      </c>
      <c r="DH352" s="1">
        <f t="shared" si="126"/>
        <v>281609</v>
      </c>
      <c r="DI352" s="1">
        <f t="shared" ref="DI352:DI415" si="135">SUM(DG352:DH352)</f>
        <v>1083717</v>
      </c>
      <c r="DK352" s="1">
        <f t="shared" si="127"/>
        <v>71600</v>
      </c>
      <c r="DL352" s="1">
        <f t="shared" si="118"/>
        <v>148953</v>
      </c>
      <c r="DM352" s="1">
        <f t="shared" si="128"/>
        <v>13478</v>
      </c>
      <c r="DN352" s="1">
        <f t="shared" si="129"/>
        <v>47152</v>
      </c>
      <c r="DO352" s="1">
        <f t="shared" si="130"/>
        <v>474953</v>
      </c>
      <c r="DP352" s="1">
        <f t="shared" si="119"/>
        <v>116829</v>
      </c>
      <c r="DQ352" s="1">
        <f t="shared" si="121"/>
        <v>12156</v>
      </c>
      <c r="DR352" s="1">
        <f t="shared" si="131"/>
        <v>16155</v>
      </c>
      <c r="DS352" s="1">
        <f t="shared" si="132"/>
        <v>113129</v>
      </c>
      <c r="DT352" s="1">
        <f t="shared" si="133"/>
        <v>13416</v>
      </c>
      <c r="DU352" s="1"/>
      <c r="DV352" s="1"/>
      <c r="DW352" s="1"/>
      <c r="DX352" s="1">
        <f t="shared" si="122"/>
        <v>1027821</v>
      </c>
      <c r="DZ352" s="1">
        <f t="shared" si="123"/>
        <v>55896</v>
      </c>
      <c r="EA352" s="1">
        <f t="shared" si="134"/>
        <v>64318</v>
      </c>
      <c r="EC352" s="1">
        <f t="shared" si="124"/>
        <v>1148035</v>
      </c>
      <c r="ED352" s="1">
        <f t="shared" si="120"/>
        <v>0</v>
      </c>
      <c r="EE352" s="1"/>
    </row>
    <row r="353" spans="1:135" x14ac:dyDescent="0.25">
      <c r="A353" s="10">
        <v>42948</v>
      </c>
      <c r="B353">
        <v>0</v>
      </c>
      <c r="C353">
        <v>0</v>
      </c>
      <c r="D353">
        <v>0</v>
      </c>
      <c r="E353">
        <v>0</v>
      </c>
      <c r="F353">
        <v>1154</v>
      </c>
      <c r="G353">
        <v>17180</v>
      </c>
      <c r="H353">
        <v>41982</v>
      </c>
      <c r="I353">
        <v>898</v>
      </c>
      <c r="J353">
        <v>2070</v>
      </c>
      <c r="K353">
        <v>1174</v>
      </c>
      <c r="L353">
        <v>32039</v>
      </c>
      <c r="M353">
        <v>1532</v>
      </c>
      <c r="N353">
        <v>666</v>
      </c>
      <c r="O353">
        <v>1638</v>
      </c>
      <c r="P353">
        <v>10057</v>
      </c>
      <c r="Q353">
        <v>232</v>
      </c>
      <c r="R353">
        <v>5033</v>
      </c>
      <c r="S353">
        <v>13536</v>
      </c>
      <c r="T353">
        <v>36</v>
      </c>
      <c r="U353">
        <v>4388</v>
      </c>
      <c r="V353">
        <v>47</v>
      </c>
      <c r="W353">
        <v>16991</v>
      </c>
      <c r="X353">
        <v>408</v>
      </c>
      <c r="Y353">
        <v>4</v>
      </c>
      <c r="Z353">
        <v>1</v>
      </c>
      <c r="AA353">
        <v>0</v>
      </c>
      <c r="AB353">
        <v>150</v>
      </c>
      <c r="AC353">
        <v>19</v>
      </c>
      <c r="AD353">
        <v>28</v>
      </c>
      <c r="AE353">
        <v>17</v>
      </c>
      <c r="AF353">
        <v>45</v>
      </c>
      <c r="AG353">
        <v>101</v>
      </c>
      <c r="AH353">
        <v>2368</v>
      </c>
      <c r="AI353">
        <v>2</v>
      </c>
      <c r="AJ353">
        <v>16454</v>
      </c>
      <c r="AK353">
        <v>109950</v>
      </c>
      <c r="AL353">
        <v>2319</v>
      </c>
      <c r="AM353">
        <v>21301</v>
      </c>
      <c r="AN353">
        <v>13</v>
      </c>
      <c r="AO353">
        <v>165</v>
      </c>
      <c r="AP353">
        <v>10715</v>
      </c>
      <c r="AQ353">
        <v>0</v>
      </c>
      <c r="AR353">
        <v>811</v>
      </c>
      <c r="AS353">
        <v>35</v>
      </c>
      <c r="AT353">
        <v>10145</v>
      </c>
      <c r="AU353">
        <v>2142</v>
      </c>
      <c r="AV353">
        <v>3258</v>
      </c>
      <c r="AW353">
        <v>15101</v>
      </c>
      <c r="AX353">
        <v>7</v>
      </c>
      <c r="AY353">
        <v>3</v>
      </c>
      <c r="AZ353">
        <v>957</v>
      </c>
      <c r="BA353">
        <v>1</v>
      </c>
      <c r="BB353">
        <v>112</v>
      </c>
      <c r="BC353">
        <v>869</v>
      </c>
      <c r="BD353">
        <v>0</v>
      </c>
      <c r="BE353">
        <v>0</v>
      </c>
      <c r="BF353">
        <v>7901</v>
      </c>
      <c r="BG353">
        <v>0</v>
      </c>
      <c r="BH353">
        <v>0</v>
      </c>
      <c r="BI353">
        <v>0</v>
      </c>
      <c r="BJ353">
        <v>40</v>
      </c>
      <c r="BK353">
        <v>5449</v>
      </c>
      <c r="BL353">
        <v>0</v>
      </c>
      <c r="BM353">
        <v>351</v>
      </c>
      <c r="BN353">
        <v>0</v>
      </c>
      <c r="BO353">
        <v>113898</v>
      </c>
      <c r="BP353">
        <v>85364</v>
      </c>
      <c r="BQ353">
        <v>2811</v>
      </c>
      <c r="BR353">
        <v>28</v>
      </c>
      <c r="BS353">
        <v>31106</v>
      </c>
      <c r="BT353">
        <v>2023</v>
      </c>
      <c r="BU353">
        <v>0</v>
      </c>
      <c r="BV353">
        <v>0</v>
      </c>
      <c r="BW353">
        <v>2</v>
      </c>
      <c r="BX353">
        <v>11940</v>
      </c>
      <c r="BY353">
        <v>356</v>
      </c>
      <c r="BZ353">
        <v>0</v>
      </c>
      <c r="CA353">
        <v>25868</v>
      </c>
      <c r="CB353">
        <v>16209</v>
      </c>
      <c r="CC353">
        <v>130687</v>
      </c>
      <c r="CD353">
        <v>278014</v>
      </c>
      <c r="CE353">
        <v>35691</v>
      </c>
      <c r="CF353">
        <v>56921</v>
      </c>
      <c r="CG353">
        <v>0</v>
      </c>
      <c r="CH353">
        <v>8</v>
      </c>
      <c r="CI353">
        <v>0</v>
      </c>
      <c r="CJ353">
        <v>72</v>
      </c>
      <c r="CQ353">
        <v>425</v>
      </c>
      <c r="CR353">
        <v>24</v>
      </c>
      <c r="CY353">
        <v>0</v>
      </c>
      <c r="CZ353">
        <v>0</v>
      </c>
      <c r="DA353">
        <v>0</v>
      </c>
      <c r="DB353">
        <v>14</v>
      </c>
      <c r="DC353">
        <v>0</v>
      </c>
      <c r="DD353">
        <v>26</v>
      </c>
      <c r="DE353">
        <f t="shared" si="117"/>
        <v>1153342</v>
      </c>
      <c r="DF353" s="1"/>
      <c r="DG353" s="1">
        <f t="shared" si="125"/>
        <v>805618</v>
      </c>
      <c r="DH353" s="1">
        <f t="shared" si="126"/>
        <v>282600</v>
      </c>
      <c r="DI353" s="1">
        <f t="shared" si="135"/>
        <v>1088218</v>
      </c>
      <c r="DK353" s="1">
        <f t="shared" si="127"/>
        <v>71993</v>
      </c>
      <c r="DL353" s="1">
        <f t="shared" si="118"/>
        <v>149294</v>
      </c>
      <c r="DM353" s="1">
        <f t="shared" si="128"/>
        <v>13536</v>
      </c>
      <c r="DN353" s="1">
        <f t="shared" si="129"/>
        <v>47327</v>
      </c>
      <c r="DO353" s="1">
        <f t="shared" si="130"/>
        <v>475597</v>
      </c>
      <c r="DP353" s="1">
        <f t="shared" si="119"/>
        <v>117693</v>
      </c>
      <c r="DQ353" s="1">
        <f t="shared" si="121"/>
        <v>12389</v>
      </c>
      <c r="DR353" s="1">
        <f t="shared" si="131"/>
        <v>16218</v>
      </c>
      <c r="DS353" s="1">
        <f t="shared" si="132"/>
        <v>113898</v>
      </c>
      <c r="DT353" s="1">
        <f t="shared" si="133"/>
        <v>13352</v>
      </c>
      <c r="DU353" s="1"/>
      <c r="DV353" s="1"/>
      <c r="DW353" s="1"/>
      <c r="DX353" s="1">
        <f t="shared" si="122"/>
        <v>1031297</v>
      </c>
      <c r="DZ353" s="1">
        <f t="shared" si="123"/>
        <v>56921</v>
      </c>
      <c r="EA353" s="1">
        <f t="shared" si="134"/>
        <v>65124</v>
      </c>
      <c r="EC353" s="1">
        <f t="shared" si="124"/>
        <v>1153342</v>
      </c>
      <c r="ED353" s="1">
        <f t="shared" si="120"/>
        <v>0</v>
      </c>
      <c r="EE353" s="1"/>
    </row>
    <row r="354" spans="1:135" x14ac:dyDescent="0.25">
      <c r="A354" s="10">
        <v>42979</v>
      </c>
      <c r="B354">
        <v>0</v>
      </c>
      <c r="C354">
        <v>0</v>
      </c>
      <c r="D354">
        <v>0</v>
      </c>
      <c r="E354">
        <v>0</v>
      </c>
      <c r="F354">
        <v>1146</v>
      </c>
      <c r="G354">
        <v>17510</v>
      </c>
      <c r="H354">
        <v>42745</v>
      </c>
      <c r="I354">
        <v>881</v>
      </c>
      <c r="J354">
        <v>2029</v>
      </c>
      <c r="K354">
        <v>1193</v>
      </c>
      <c r="L354">
        <v>32168</v>
      </c>
      <c r="M354">
        <v>1536</v>
      </c>
      <c r="N354">
        <v>674</v>
      </c>
      <c r="O354">
        <v>1658</v>
      </c>
      <c r="P354">
        <v>9989</v>
      </c>
      <c r="Q354">
        <v>230</v>
      </c>
      <c r="R354">
        <v>5027</v>
      </c>
      <c r="S354">
        <v>13620</v>
      </c>
      <c r="T354">
        <v>35</v>
      </c>
      <c r="U354">
        <v>4377</v>
      </c>
      <c r="V354">
        <v>43</v>
      </c>
      <c r="W354">
        <v>17118</v>
      </c>
      <c r="X354">
        <v>396</v>
      </c>
      <c r="Y354">
        <v>4</v>
      </c>
      <c r="Z354">
        <v>1</v>
      </c>
      <c r="AA354">
        <v>0</v>
      </c>
      <c r="AB354">
        <v>142</v>
      </c>
      <c r="AC354">
        <v>18</v>
      </c>
      <c r="AD354">
        <v>30</v>
      </c>
      <c r="AE354">
        <v>18</v>
      </c>
      <c r="AF354">
        <v>41</v>
      </c>
      <c r="AG354">
        <v>101</v>
      </c>
      <c r="AH354">
        <v>2387</v>
      </c>
      <c r="AI354">
        <v>2</v>
      </c>
      <c r="AJ354">
        <v>16566</v>
      </c>
      <c r="AK354">
        <v>110172</v>
      </c>
      <c r="AL354">
        <v>2331</v>
      </c>
      <c r="AM354">
        <v>21314</v>
      </c>
      <c r="AN354">
        <v>13</v>
      </c>
      <c r="AO354">
        <v>186</v>
      </c>
      <c r="AP354">
        <v>10834</v>
      </c>
      <c r="AQ354">
        <v>0</v>
      </c>
      <c r="AR354">
        <v>845</v>
      </c>
      <c r="AS354">
        <v>35</v>
      </c>
      <c r="AT354">
        <v>10174</v>
      </c>
      <c r="AU354">
        <v>2148</v>
      </c>
      <c r="AV354">
        <v>3227</v>
      </c>
      <c r="AW354">
        <v>15091</v>
      </c>
      <c r="AX354">
        <v>15</v>
      </c>
      <c r="AY354">
        <v>8</v>
      </c>
      <c r="AZ354">
        <v>944</v>
      </c>
      <c r="BA354">
        <v>1</v>
      </c>
      <c r="BB354">
        <v>133</v>
      </c>
      <c r="BC354">
        <v>891</v>
      </c>
      <c r="BD354">
        <v>0</v>
      </c>
      <c r="BE354">
        <v>0</v>
      </c>
      <c r="BF354">
        <v>7892</v>
      </c>
      <c r="BG354">
        <v>0</v>
      </c>
      <c r="BH354">
        <v>0</v>
      </c>
      <c r="BI354">
        <v>0</v>
      </c>
      <c r="BJ354">
        <v>42</v>
      </c>
      <c r="BK354">
        <v>5422</v>
      </c>
      <c r="BL354">
        <v>0</v>
      </c>
      <c r="BM354">
        <v>288</v>
      </c>
      <c r="BN354">
        <v>0</v>
      </c>
      <c r="BO354">
        <v>115070</v>
      </c>
      <c r="BP354">
        <v>85937</v>
      </c>
      <c r="BQ354">
        <v>2943</v>
      </c>
      <c r="BR354">
        <v>28</v>
      </c>
      <c r="BS354">
        <v>31211</v>
      </c>
      <c r="BT354">
        <v>2112</v>
      </c>
      <c r="BU354">
        <v>0</v>
      </c>
      <c r="BV354">
        <v>0</v>
      </c>
      <c r="BW354">
        <v>3</v>
      </c>
      <c r="BX354">
        <v>12314</v>
      </c>
      <c r="BY354">
        <v>338</v>
      </c>
      <c r="BZ354">
        <v>0</v>
      </c>
      <c r="CA354">
        <v>26381</v>
      </c>
      <c r="CB354">
        <v>16516</v>
      </c>
      <c r="CC354">
        <v>130984</v>
      </c>
      <c r="CD354">
        <v>278422</v>
      </c>
      <c r="CE354">
        <v>36192</v>
      </c>
      <c r="CF354">
        <v>58224</v>
      </c>
      <c r="CG354">
        <v>0</v>
      </c>
      <c r="CH354">
        <v>3</v>
      </c>
      <c r="CI354">
        <v>0</v>
      </c>
      <c r="CJ354">
        <v>70</v>
      </c>
      <c r="CQ354">
        <v>424</v>
      </c>
      <c r="CR354">
        <v>21</v>
      </c>
      <c r="CY354">
        <v>0</v>
      </c>
      <c r="CZ354">
        <v>0</v>
      </c>
      <c r="DA354">
        <v>0</v>
      </c>
      <c r="DB354">
        <v>14</v>
      </c>
      <c r="DC354">
        <v>0</v>
      </c>
      <c r="DD354">
        <v>26</v>
      </c>
      <c r="DE354">
        <f t="shared" si="117"/>
        <v>1160884</v>
      </c>
      <c r="DF354" s="1"/>
      <c r="DG354" s="1">
        <f t="shared" si="125"/>
        <v>811306</v>
      </c>
      <c r="DH354" s="1">
        <f t="shared" si="126"/>
        <v>283400</v>
      </c>
      <c r="DI354" s="1">
        <f t="shared" si="135"/>
        <v>1094706</v>
      </c>
      <c r="DK354" s="1">
        <f t="shared" si="127"/>
        <v>72181</v>
      </c>
      <c r="DL354" s="1">
        <f t="shared" si="118"/>
        <v>149687</v>
      </c>
      <c r="DM354" s="1">
        <f t="shared" si="128"/>
        <v>13620</v>
      </c>
      <c r="DN354" s="1">
        <f t="shared" si="129"/>
        <v>47466</v>
      </c>
      <c r="DO354" s="1">
        <f t="shared" si="130"/>
        <v>477527</v>
      </c>
      <c r="DP354" s="1">
        <f t="shared" si="119"/>
        <v>118335</v>
      </c>
      <c r="DQ354" s="1">
        <f t="shared" si="121"/>
        <v>12759</v>
      </c>
      <c r="DR354" s="1">
        <f t="shared" si="131"/>
        <v>16520</v>
      </c>
      <c r="DS354" s="1">
        <f t="shared" si="132"/>
        <v>115070</v>
      </c>
      <c r="DT354" s="1">
        <f t="shared" si="133"/>
        <v>13317</v>
      </c>
      <c r="DU354" s="1"/>
      <c r="DV354" s="1"/>
      <c r="DW354" s="1"/>
      <c r="DX354" s="1">
        <f t="shared" si="122"/>
        <v>1036482</v>
      </c>
      <c r="DZ354" s="1">
        <f t="shared" si="123"/>
        <v>58224</v>
      </c>
      <c r="EA354" s="1">
        <f t="shared" si="134"/>
        <v>66178</v>
      </c>
      <c r="EC354" s="1">
        <f t="shared" si="124"/>
        <v>1160884</v>
      </c>
      <c r="ED354" s="1">
        <f t="shared" si="120"/>
        <v>0</v>
      </c>
      <c r="EE354" s="1"/>
    </row>
    <row r="355" spans="1:135" x14ac:dyDescent="0.25">
      <c r="A355" s="10">
        <v>43009</v>
      </c>
      <c r="B355">
        <v>0</v>
      </c>
      <c r="C355">
        <v>0</v>
      </c>
      <c r="D355">
        <v>0</v>
      </c>
      <c r="E355">
        <v>0</v>
      </c>
      <c r="F355">
        <v>1097</v>
      </c>
      <c r="G355">
        <v>17702</v>
      </c>
      <c r="H355">
        <v>43532</v>
      </c>
      <c r="I355">
        <v>878</v>
      </c>
      <c r="J355">
        <v>2056</v>
      </c>
      <c r="K355">
        <v>1186</v>
      </c>
      <c r="L355">
        <v>32294</v>
      </c>
      <c r="M355">
        <v>1518</v>
      </c>
      <c r="N355">
        <v>693</v>
      </c>
      <c r="O355">
        <v>1656</v>
      </c>
      <c r="P355">
        <v>9996</v>
      </c>
      <c r="Q355">
        <v>234</v>
      </c>
      <c r="R355">
        <v>4974</v>
      </c>
      <c r="S355">
        <v>13652</v>
      </c>
      <c r="T355">
        <v>36</v>
      </c>
      <c r="U355">
        <v>4416</v>
      </c>
      <c r="V355">
        <v>41</v>
      </c>
      <c r="W355">
        <v>17162</v>
      </c>
      <c r="X355">
        <v>394</v>
      </c>
      <c r="Y355">
        <v>3</v>
      </c>
      <c r="Z355">
        <v>1</v>
      </c>
      <c r="AA355">
        <v>1</v>
      </c>
      <c r="AB355">
        <v>130</v>
      </c>
      <c r="AC355">
        <v>17</v>
      </c>
      <c r="AD355">
        <v>28</v>
      </c>
      <c r="AE355">
        <v>18</v>
      </c>
      <c r="AF355">
        <v>38</v>
      </c>
      <c r="AG355">
        <v>105</v>
      </c>
      <c r="AH355">
        <v>2424</v>
      </c>
      <c r="AI355">
        <v>2</v>
      </c>
      <c r="AJ355">
        <v>16576</v>
      </c>
      <c r="AK355">
        <v>110286</v>
      </c>
      <c r="AL355">
        <v>2310</v>
      </c>
      <c r="AM355">
        <v>21165</v>
      </c>
      <c r="AN355">
        <v>12</v>
      </c>
      <c r="AO355">
        <v>189</v>
      </c>
      <c r="AP355">
        <v>10828</v>
      </c>
      <c r="AQ355">
        <v>0</v>
      </c>
      <c r="AR355">
        <v>869</v>
      </c>
      <c r="AS355">
        <v>35</v>
      </c>
      <c r="AT355">
        <v>10196</v>
      </c>
      <c r="AU355">
        <v>2165</v>
      </c>
      <c r="AV355">
        <v>3194</v>
      </c>
      <c r="AW355">
        <v>15039</v>
      </c>
      <c r="AX355">
        <v>6</v>
      </c>
      <c r="AY355">
        <v>4</v>
      </c>
      <c r="AZ355">
        <v>946</v>
      </c>
      <c r="BA355">
        <v>1</v>
      </c>
      <c r="BB355">
        <v>155</v>
      </c>
      <c r="BC355">
        <v>903</v>
      </c>
      <c r="BD355">
        <v>0</v>
      </c>
      <c r="BE355">
        <v>0</v>
      </c>
      <c r="BF355">
        <v>7925</v>
      </c>
      <c r="BG355">
        <v>0</v>
      </c>
      <c r="BH355">
        <v>0</v>
      </c>
      <c r="BI355">
        <v>0</v>
      </c>
      <c r="BJ355">
        <v>41</v>
      </c>
      <c r="BK355">
        <v>5371</v>
      </c>
      <c r="BL355">
        <v>0</v>
      </c>
      <c r="BM355">
        <v>276</v>
      </c>
      <c r="BN355">
        <v>0</v>
      </c>
      <c r="BO355">
        <v>116297</v>
      </c>
      <c r="BP355">
        <v>86410</v>
      </c>
      <c r="BQ355">
        <v>3072</v>
      </c>
      <c r="BR355">
        <v>27</v>
      </c>
      <c r="BS355">
        <v>31396</v>
      </c>
      <c r="BT355">
        <v>2198</v>
      </c>
      <c r="BU355">
        <v>0</v>
      </c>
      <c r="BV355">
        <v>1</v>
      </c>
      <c r="BW355">
        <v>4</v>
      </c>
      <c r="BX355">
        <v>12505</v>
      </c>
      <c r="BY355">
        <v>312</v>
      </c>
      <c r="BZ355">
        <v>0</v>
      </c>
      <c r="CA355">
        <v>26750</v>
      </c>
      <c r="CB355">
        <v>16279</v>
      </c>
      <c r="CC355">
        <v>130862</v>
      </c>
      <c r="CD355">
        <v>279196</v>
      </c>
      <c r="CE355">
        <v>36633</v>
      </c>
      <c r="CF355">
        <v>59085</v>
      </c>
      <c r="CG355">
        <v>0</v>
      </c>
      <c r="CH355">
        <v>7</v>
      </c>
      <c r="CI355">
        <v>0</v>
      </c>
      <c r="CJ355">
        <v>75</v>
      </c>
      <c r="CQ355">
        <v>420</v>
      </c>
      <c r="CR355">
        <v>18</v>
      </c>
      <c r="CY355">
        <v>0</v>
      </c>
      <c r="CZ355">
        <v>0</v>
      </c>
      <c r="DA355">
        <v>0</v>
      </c>
      <c r="DB355">
        <v>14</v>
      </c>
      <c r="DC355">
        <v>0</v>
      </c>
      <c r="DD355">
        <v>26</v>
      </c>
      <c r="DE355">
        <f t="shared" si="117"/>
        <v>1166323</v>
      </c>
      <c r="DF355" s="1"/>
      <c r="DG355" s="1">
        <f t="shared" si="125"/>
        <v>815635</v>
      </c>
      <c r="DH355" s="1">
        <f t="shared" si="126"/>
        <v>283544</v>
      </c>
      <c r="DI355" s="1">
        <f t="shared" si="135"/>
        <v>1099179</v>
      </c>
      <c r="DK355" s="1">
        <f t="shared" si="127"/>
        <v>72327</v>
      </c>
      <c r="DL355" s="1">
        <f t="shared" si="118"/>
        <v>149867</v>
      </c>
      <c r="DM355" s="1">
        <f t="shared" si="128"/>
        <v>13652</v>
      </c>
      <c r="DN355" s="1">
        <f t="shared" si="129"/>
        <v>47259</v>
      </c>
      <c r="DO355" s="1">
        <f t="shared" si="130"/>
        <v>479173</v>
      </c>
      <c r="DP355" s="1">
        <f t="shared" si="119"/>
        <v>118989</v>
      </c>
      <c r="DQ355" s="1">
        <f t="shared" si="121"/>
        <v>12943</v>
      </c>
      <c r="DR355" s="1">
        <f t="shared" si="131"/>
        <v>16287</v>
      </c>
      <c r="DS355" s="1">
        <f t="shared" si="132"/>
        <v>116297</v>
      </c>
      <c r="DT355" s="1">
        <f t="shared" si="133"/>
        <v>13300</v>
      </c>
      <c r="DU355" s="1"/>
      <c r="DV355" s="1"/>
      <c r="DW355" s="1"/>
      <c r="DX355" s="1">
        <f t="shared" si="122"/>
        <v>1040094</v>
      </c>
      <c r="DZ355" s="1">
        <f t="shared" si="123"/>
        <v>59085</v>
      </c>
      <c r="EA355" s="1">
        <f t="shared" si="134"/>
        <v>67144</v>
      </c>
      <c r="EC355" s="1">
        <f t="shared" si="124"/>
        <v>1166323</v>
      </c>
      <c r="ED355" s="1">
        <f t="shared" si="120"/>
        <v>0</v>
      </c>
      <c r="EE355" s="1"/>
    </row>
    <row r="356" spans="1:135" x14ac:dyDescent="0.25">
      <c r="A356" s="10">
        <v>43040</v>
      </c>
      <c r="B356">
        <v>0</v>
      </c>
      <c r="C356">
        <v>0</v>
      </c>
      <c r="D356">
        <v>0</v>
      </c>
      <c r="E356">
        <v>0</v>
      </c>
      <c r="F356">
        <v>1085</v>
      </c>
      <c r="G356">
        <v>18139</v>
      </c>
      <c r="H356">
        <v>44714</v>
      </c>
      <c r="I356">
        <v>896</v>
      </c>
      <c r="J356">
        <v>2107</v>
      </c>
      <c r="K356">
        <v>1203</v>
      </c>
      <c r="L356">
        <v>32460</v>
      </c>
      <c r="M356">
        <v>1518</v>
      </c>
      <c r="N356">
        <v>704</v>
      </c>
      <c r="O356">
        <v>1668</v>
      </c>
      <c r="P356">
        <v>10014</v>
      </c>
      <c r="Q356">
        <v>235</v>
      </c>
      <c r="R356">
        <v>4992</v>
      </c>
      <c r="S356">
        <v>13671</v>
      </c>
      <c r="T356">
        <v>39</v>
      </c>
      <c r="U356">
        <v>4445</v>
      </c>
      <c r="V356">
        <v>32</v>
      </c>
      <c r="W356">
        <v>17254</v>
      </c>
      <c r="X356">
        <v>385</v>
      </c>
      <c r="Y356">
        <v>3</v>
      </c>
      <c r="Z356">
        <v>6</v>
      </c>
      <c r="AA356">
        <v>2</v>
      </c>
      <c r="AB356">
        <v>128</v>
      </c>
      <c r="AC356">
        <v>17</v>
      </c>
      <c r="AD356">
        <v>28</v>
      </c>
      <c r="AE356">
        <v>15</v>
      </c>
      <c r="AF356">
        <v>42</v>
      </c>
      <c r="AG356">
        <v>96</v>
      </c>
      <c r="AH356">
        <v>2436</v>
      </c>
      <c r="AI356">
        <v>2</v>
      </c>
      <c r="AJ356">
        <v>16655</v>
      </c>
      <c r="AK356">
        <v>111007</v>
      </c>
      <c r="AL356">
        <v>2311</v>
      </c>
      <c r="AM356">
        <v>21164</v>
      </c>
      <c r="AN356">
        <v>13</v>
      </c>
      <c r="AO356">
        <v>146</v>
      </c>
      <c r="AP356">
        <v>10896</v>
      </c>
      <c r="AQ356">
        <v>0</v>
      </c>
      <c r="AR356">
        <v>896</v>
      </c>
      <c r="AS356">
        <v>36</v>
      </c>
      <c r="AT356">
        <v>10172</v>
      </c>
      <c r="AU356">
        <v>2173</v>
      </c>
      <c r="AV356">
        <v>3178</v>
      </c>
      <c r="AW356">
        <v>15027</v>
      </c>
      <c r="AX356">
        <v>6</v>
      </c>
      <c r="AY356">
        <v>9</v>
      </c>
      <c r="AZ356">
        <v>933</v>
      </c>
      <c r="BA356">
        <v>1</v>
      </c>
      <c r="BB356">
        <v>174</v>
      </c>
      <c r="BC356">
        <v>929</v>
      </c>
      <c r="BD356">
        <v>0</v>
      </c>
      <c r="BE356">
        <v>0</v>
      </c>
      <c r="BF356">
        <v>7984</v>
      </c>
      <c r="BG356">
        <v>0</v>
      </c>
      <c r="BH356">
        <v>0</v>
      </c>
      <c r="BI356">
        <v>0</v>
      </c>
      <c r="BJ356">
        <v>40</v>
      </c>
      <c r="BK356">
        <v>5328</v>
      </c>
      <c r="BL356">
        <v>0</v>
      </c>
      <c r="BM356">
        <v>260</v>
      </c>
      <c r="BN356">
        <v>0</v>
      </c>
      <c r="BO356">
        <v>122668</v>
      </c>
      <c r="BP356">
        <v>83579</v>
      </c>
      <c r="BQ356">
        <v>2467</v>
      </c>
      <c r="BR356">
        <v>23</v>
      </c>
      <c r="BS356">
        <v>29733</v>
      </c>
      <c r="BT356">
        <v>1749</v>
      </c>
      <c r="BU356">
        <v>0</v>
      </c>
      <c r="BV356">
        <v>1</v>
      </c>
      <c r="BW356">
        <v>4</v>
      </c>
      <c r="BX356">
        <v>12911</v>
      </c>
      <c r="BY356">
        <v>309</v>
      </c>
      <c r="BZ356">
        <v>0</v>
      </c>
      <c r="CA356">
        <v>27092</v>
      </c>
      <c r="CB356">
        <v>15853</v>
      </c>
      <c r="CC356">
        <v>131597</v>
      </c>
      <c r="CD356">
        <v>281022</v>
      </c>
      <c r="CE356">
        <v>37112</v>
      </c>
      <c r="CF356">
        <v>60115</v>
      </c>
      <c r="CG356">
        <v>0</v>
      </c>
      <c r="CH356">
        <v>6</v>
      </c>
      <c r="CI356">
        <v>0</v>
      </c>
      <c r="CJ356">
        <v>78</v>
      </c>
      <c r="CQ356">
        <v>410</v>
      </c>
      <c r="CR356">
        <v>25</v>
      </c>
      <c r="CY356">
        <v>0</v>
      </c>
      <c r="CZ356">
        <v>0</v>
      </c>
      <c r="DA356">
        <v>0</v>
      </c>
      <c r="DB356">
        <v>14</v>
      </c>
      <c r="DC356">
        <v>0</v>
      </c>
      <c r="DD356">
        <v>26</v>
      </c>
      <c r="DE356">
        <f t="shared" si="117"/>
        <v>1174428</v>
      </c>
      <c r="DF356" s="1"/>
      <c r="DG356" s="1">
        <f t="shared" si="125"/>
        <v>820875</v>
      </c>
      <c r="DH356" s="1">
        <f t="shared" si="126"/>
        <v>284705</v>
      </c>
      <c r="DI356" s="1">
        <f t="shared" si="135"/>
        <v>1105580</v>
      </c>
      <c r="DK356" s="1">
        <f t="shared" si="127"/>
        <v>72657</v>
      </c>
      <c r="DL356" s="1">
        <f t="shared" si="118"/>
        <v>150661</v>
      </c>
      <c r="DM356" s="1">
        <f t="shared" si="128"/>
        <v>13671</v>
      </c>
      <c r="DN356" s="1">
        <f t="shared" si="129"/>
        <v>47275</v>
      </c>
      <c r="DO356" s="1">
        <f t="shared" si="130"/>
        <v>481496</v>
      </c>
      <c r="DP356" s="1">
        <f t="shared" si="119"/>
        <v>114510</v>
      </c>
      <c r="DQ356" s="1">
        <f t="shared" si="121"/>
        <v>13346</v>
      </c>
      <c r="DR356" s="1">
        <f t="shared" si="131"/>
        <v>15865</v>
      </c>
      <c r="DS356" s="1">
        <f t="shared" si="132"/>
        <v>122668</v>
      </c>
      <c r="DT356" s="1">
        <f t="shared" si="133"/>
        <v>13316</v>
      </c>
      <c r="DU356" s="1"/>
      <c r="DV356" s="1"/>
      <c r="DW356" s="1"/>
      <c r="DX356" s="1">
        <f t="shared" si="122"/>
        <v>1045465</v>
      </c>
      <c r="DZ356" s="1">
        <f t="shared" si="123"/>
        <v>60115</v>
      </c>
      <c r="EA356" s="1">
        <f t="shared" si="134"/>
        <v>68848</v>
      </c>
      <c r="EC356" s="1">
        <f t="shared" si="124"/>
        <v>1174428</v>
      </c>
      <c r="ED356" s="1">
        <f t="shared" si="120"/>
        <v>0</v>
      </c>
      <c r="EE356" s="1"/>
    </row>
    <row r="357" spans="1:135" x14ac:dyDescent="0.25">
      <c r="A357" s="10">
        <v>43070</v>
      </c>
      <c r="B357">
        <v>0</v>
      </c>
      <c r="C357">
        <v>0</v>
      </c>
      <c r="D357">
        <v>0</v>
      </c>
      <c r="E357">
        <v>0</v>
      </c>
      <c r="F357">
        <v>1114</v>
      </c>
      <c r="G357">
        <v>18329</v>
      </c>
      <c r="H357">
        <v>45220</v>
      </c>
      <c r="I357">
        <v>921</v>
      </c>
      <c r="J357">
        <v>2121</v>
      </c>
      <c r="K357">
        <v>1207</v>
      </c>
      <c r="L357">
        <v>32541</v>
      </c>
      <c r="M357">
        <v>1514</v>
      </c>
      <c r="N357">
        <v>697</v>
      </c>
      <c r="O357">
        <v>1703</v>
      </c>
      <c r="P357">
        <v>9953</v>
      </c>
      <c r="Q357">
        <v>229</v>
      </c>
      <c r="R357">
        <v>4984</v>
      </c>
      <c r="S357">
        <v>13699</v>
      </c>
      <c r="T357">
        <v>42</v>
      </c>
      <c r="U357">
        <v>4452</v>
      </c>
      <c r="V357">
        <v>40</v>
      </c>
      <c r="W357">
        <v>17315</v>
      </c>
      <c r="X357">
        <v>386</v>
      </c>
      <c r="Y357">
        <v>5</v>
      </c>
      <c r="Z357">
        <v>3</v>
      </c>
      <c r="AA357">
        <v>2</v>
      </c>
      <c r="AB357">
        <v>118</v>
      </c>
      <c r="AC357">
        <v>18</v>
      </c>
      <c r="AD357">
        <v>26</v>
      </c>
      <c r="AE357">
        <v>13</v>
      </c>
      <c r="AF357">
        <v>41</v>
      </c>
      <c r="AG357">
        <v>101</v>
      </c>
      <c r="AH357">
        <v>2416</v>
      </c>
      <c r="AI357">
        <v>2</v>
      </c>
      <c r="AJ357">
        <v>16648</v>
      </c>
      <c r="AK357">
        <v>111436</v>
      </c>
      <c r="AL357">
        <v>2287</v>
      </c>
      <c r="AM357">
        <v>21197</v>
      </c>
      <c r="AN357">
        <v>15</v>
      </c>
      <c r="AO357">
        <v>135</v>
      </c>
      <c r="AP357">
        <v>10892</v>
      </c>
      <c r="AQ357">
        <v>0</v>
      </c>
      <c r="AR357">
        <v>888</v>
      </c>
      <c r="AS357">
        <v>36</v>
      </c>
      <c r="AT357">
        <v>10173</v>
      </c>
      <c r="AU357">
        <v>2173</v>
      </c>
      <c r="AV357">
        <v>3180</v>
      </c>
      <c r="AW357">
        <v>15095</v>
      </c>
      <c r="AX357">
        <v>15</v>
      </c>
      <c r="AY357">
        <v>4</v>
      </c>
      <c r="AZ357">
        <v>926</v>
      </c>
      <c r="BA357">
        <v>1</v>
      </c>
      <c r="BB357">
        <v>165</v>
      </c>
      <c r="BC357">
        <v>928</v>
      </c>
      <c r="BD357">
        <v>0</v>
      </c>
      <c r="BE357">
        <v>0</v>
      </c>
      <c r="BF357">
        <v>8022</v>
      </c>
      <c r="BG357">
        <v>0</v>
      </c>
      <c r="BH357">
        <v>0</v>
      </c>
      <c r="BI357">
        <v>0</v>
      </c>
      <c r="BJ357">
        <v>35</v>
      </c>
      <c r="BK357">
        <v>5307</v>
      </c>
      <c r="BL357">
        <v>0</v>
      </c>
      <c r="BM357">
        <v>248</v>
      </c>
      <c r="BN357">
        <v>0</v>
      </c>
      <c r="BO357">
        <v>124027</v>
      </c>
      <c r="BP357">
        <v>83598</v>
      </c>
      <c r="BQ357">
        <v>2592</v>
      </c>
      <c r="BR357">
        <v>21</v>
      </c>
      <c r="BS357">
        <v>29628</v>
      </c>
      <c r="BT357">
        <v>1725</v>
      </c>
      <c r="BU357">
        <v>0</v>
      </c>
      <c r="BV357">
        <v>1</v>
      </c>
      <c r="BW357">
        <v>4</v>
      </c>
      <c r="BX357">
        <v>13378</v>
      </c>
      <c r="BY357">
        <v>276</v>
      </c>
      <c r="BZ357">
        <v>0</v>
      </c>
      <c r="CA357">
        <v>27353</v>
      </c>
      <c r="CB357">
        <v>15552</v>
      </c>
      <c r="CC357">
        <v>131649</v>
      </c>
      <c r="CD357">
        <v>281087</v>
      </c>
      <c r="CE357">
        <v>36882</v>
      </c>
      <c r="CF357">
        <v>61027</v>
      </c>
      <c r="CG357">
        <v>0</v>
      </c>
      <c r="CH357">
        <v>10</v>
      </c>
      <c r="CI357">
        <v>0</v>
      </c>
      <c r="CJ357">
        <v>81</v>
      </c>
      <c r="CQ357">
        <v>416</v>
      </c>
      <c r="CR357">
        <v>14</v>
      </c>
      <c r="CY357">
        <v>0</v>
      </c>
      <c r="CZ357">
        <v>0</v>
      </c>
      <c r="DA357">
        <v>0</v>
      </c>
      <c r="DB357">
        <v>14</v>
      </c>
      <c r="DC357">
        <v>0</v>
      </c>
      <c r="DD357">
        <v>26</v>
      </c>
      <c r="DE357">
        <f t="shared" si="117"/>
        <v>1178339</v>
      </c>
      <c r="DF357" s="1"/>
      <c r="DG357" s="1">
        <f t="shared" si="125"/>
        <v>823450</v>
      </c>
      <c r="DH357" s="1">
        <f t="shared" si="126"/>
        <v>285280</v>
      </c>
      <c r="DI357" s="1">
        <f t="shared" si="135"/>
        <v>1108730</v>
      </c>
      <c r="DK357" s="1">
        <f t="shared" si="127"/>
        <v>72773</v>
      </c>
      <c r="DL357" s="1">
        <f t="shared" si="118"/>
        <v>151015</v>
      </c>
      <c r="DM357" s="1">
        <f t="shared" si="128"/>
        <v>13699</v>
      </c>
      <c r="DN357" s="1">
        <f t="shared" si="129"/>
        <v>47360</v>
      </c>
      <c r="DO357" s="1">
        <f t="shared" si="130"/>
        <v>481717</v>
      </c>
      <c r="DP357" s="1">
        <f t="shared" si="119"/>
        <v>114406</v>
      </c>
      <c r="DQ357" s="1">
        <f t="shared" si="121"/>
        <v>13808</v>
      </c>
      <c r="DR357" s="1">
        <f t="shared" si="131"/>
        <v>15565</v>
      </c>
      <c r="DS357" s="1">
        <f t="shared" si="132"/>
        <v>124027</v>
      </c>
      <c r="DT357" s="1">
        <f t="shared" si="133"/>
        <v>13333</v>
      </c>
      <c r="DU357" s="1"/>
      <c r="DV357" s="1"/>
      <c r="DW357" s="1"/>
      <c r="DX357" s="1">
        <f t="shared" si="122"/>
        <v>1047703</v>
      </c>
      <c r="DZ357" s="1">
        <f t="shared" si="123"/>
        <v>61027</v>
      </c>
      <c r="EA357" s="1">
        <f t="shared" si="134"/>
        <v>69609</v>
      </c>
      <c r="EC357" s="1">
        <f t="shared" si="124"/>
        <v>1178339</v>
      </c>
      <c r="ED357" s="1">
        <f t="shared" si="120"/>
        <v>0</v>
      </c>
      <c r="EE357" s="1"/>
    </row>
    <row r="358" spans="1:135" x14ac:dyDescent="0.25">
      <c r="A358" s="10">
        <v>43101</v>
      </c>
      <c r="B358">
        <v>0</v>
      </c>
      <c r="C358">
        <v>0</v>
      </c>
      <c r="D358">
        <v>0</v>
      </c>
      <c r="E358">
        <v>0</v>
      </c>
      <c r="F358">
        <v>1150</v>
      </c>
      <c r="G358">
        <v>18445</v>
      </c>
      <c r="H358">
        <v>45966</v>
      </c>
      <c r="I358">
        <v>903</v>
      </c>
      <c r="J358">
        <v>2078</v>
      </c>
      <c r="K358">
        <v>1197</v>
      </c>
      <c r="L358">
        <v>33049</v>
      </c>
      <c r="M358">
        <v>1540</v>
      </c>
      <c r="N358">
        <v>691</v>
      </c>
      <c r="O358">
        <v>1665</v>
      </c>
      <c r="P358">
        <v>10220</v>
      </c>
      <c r="Q358">
        <v>227</v>
      </c>
      <c r="R358">
        <v>4745</v>
      </c>
      <c r="S358">
        <v>13689</v>
      </c>
      <c r="T358">
        <v>44</v>
      </c>
      <c r="U358">
        <v>4466</v>
      </c>
      <c r="V358">
        <v>40</v>
      </c>
      <c r="W358">
        <v>17171</v>
      </c>
      <c r="X358">
        <v>385</v>
      </c>
      <c r="Y358">
        <v>5</v>
      </c>
      <c r="Z358">
        <v>1</v>
      </c>
      <c r="AA358">
        <v>1</v>
      </c>
      <c r="AB358">
        <v>116</v>
      </c>
      <c r="AC358">
        <v>21</v>
      </c>
      <c r="AD358">
        <v>25</v>
      </c>
      <c r="AE358">
        <v>14</v>
      </c>
      <c r="AF358">
        <v>38</v>
      </c>
      <c r="AG358">
        <v>96</v>
      </c>
      <c r="AH358">
        <v>2426</v>
      </c>
      <c r="AI358">
        <v>2</v>
      </c>
      <c r="AJ358">
        <v>16410</v>
      </c>
      <c r="AK358">
        <v>111188</v>
      </c>
      <c r="AL358">
        <v>2207</v>
      </c>
      <c r="AM358">
        <v>20989</v>
      </c>
      <c r="AN358">
        <v>16</v>
      </c>
      <c r="AO358">
        <v>130</v>
      </c>
      <c r="AP358">
        <v>10359</v>
      </c>
      <c r="AQ358">
        <v>0</v>
      </c>
      <c r="AR358">
        <v>819</v>
      </c>
      <c r="AS358">
        <v>39</v>
      </c>
      <c r="AT358">
        <v>10239</v>
      </c>
      <c r="AU358">
        <v>2177</v>
      </c>
      <c r="AV358">
        <v>2973</v>
      </c>
      <c r="AW358">
        <v>15005</v>
      </c>
      <c r="AX358">
        <v>8</v>
      </c>
      <c r="AY358">
        <v>0</v>
      </c>
      <c r="AZ358">
        <v>903</v>
      </c>
      <c r="BA358">
        <v>1</v>
      </c>
      <c r="BB358">
        <v>160</v>
      </c>
      <c r="BC358">
        <v>936</v>
      </c>
      <c r="BD358">
        <v>0</v>
      </c>
      <c r="BE358">
        <v>0</v>
      </c>
      <c r="BF358">
        <v>8035</v>
      </c>
      <c r="BG358">
        <v>0</v>
      </c>
      <c r="BH358">
        <v>0</v>
      </c>
      <c r="BI358">
        <v>0</v>
      </c>
      <c r="BJ358">
        <v>34</v>
      </c>
      <c r="BK358">
        <v>5292</v>
      </c>
      <c r="BL358">
        <v>0</v>
      </c>
      <c r="BM358">
        <v>236</v>
      </c>
      <c r="BN358">
        <v>0</v>
      </c>
      <c r="BO358">
        <v>125599</v>
      </c>
      <c r="BP358">
        <v>83863</v>
      </c>
      <c r="BQ358">
        <v>2713</v>
      </c>
      <c r="BR358">
        <v>20</v>
      </c>
      <c r="BS358">
        <v>29833</v>
      </c>
      <c r="BT358">
        <v>1763</v>
      </c>
      <c r="BU358">
        <v>0</v>
      </c>
      <c r="BV358">
        <v>1</v>
      </c>
      <c r="BW358">
        <v>3</v>
      </c>
      <c r="BX358">
        <v>13776</v>
      </c>
      <c r="BY358">
        <v>268</v>
      </c>
      <c r="BZ358">
        <v>0</v>
      </c>
      <c r="CA358">
        <v>27519</v>
      </c>
      <c r="CB358">
        <v>15400</v>
      </c>
      <c r="CC358">
        <v>131550</v>
      </c>
      <c r="CD358">
        <v>280567</v>
      </c>
      <c r="CE358">
        <v>36479</v>
      </c>
      <c r="CF358">
        <v>61713</v>
      </c>
      <c r="CG358">
        <v>0</v>
      </c>
      <c r="CH358">
        <v>10</v>
      </c>
      <c r="CI358">
        <v>0</v>
      </c>
      <c r="CJ358">
        <v>93</v>
      </c>
      <c r="CQ358">
        <v>414</v>
      </c>
      <c r="CR358">
        <v>13</v>
      </c>
      <c r="CY358">
        <v>0</v>
      </c>
      <c r="CZ358">
        <v>0</v>
      </c>
      <c r="DA358">
        <v>0</v>
      </c>
      <c r="DB358">
        <v>14</v>
      </c>
      <c r="DC358">
        <v>0</v>
      </c>
      <c r="DD358">
        <v>26</v>
      </c>
      <c r="DE358">
        <f t="shared" si="117"/>
        <v>1180169</v>
      </c>
      <c r="DF358" s="1"/>
      <c r="DG358" s="1">
        <f t="shared" si="125"/>
        <v>825711</v>
      </c>
      <c r="DH358" s="1">
        <f t="shared" si="126"/>
        <v>284028</v>
      </c>
      <c r="DI358" s="1">
        <f t="shared" si="135"/>
        <v>1109739</v>
      </c>
      <c r="DK358" s="1">
        <f t="shared" si="127"/>
        <v>73167</v>
      </c>
      <c r="DL358" s="1">
        <f t="shared" si="118"/>
        <v>150223</v>
      </c>
      <c r="DM358" s="1">
        <f t="shared" si="128"/>
        <v>13689</v>
      </c>
      <c r="DN358" s="1">
        <f t="shared" si="129"/>
        <v>46521</v>
      </c>
      <c r="DO358" s="1">
        <f t="shared" si="130"/>
        <v>481015</v>
      </c>
      <c r="DP358" s="1">
        <f t="shared" si="119"/>
        <v>114868</v>
      </c>
      <c r="DQ358" s="1">
        <f t="shared" si="121"/>
        <v>14203</v>
      </c>
      <c r="DR358" s="1">
        <f t="shared" si="131"/>
        <v>15411</v>
      </c>
      <c r="DS358" s="1">
        <f t="shared" si="132"/>
        <v>125599</v>
      </c>
      <c r="DT358" s="1">
        <f t="shared" si="133"/>
        <v>13330</v>
      </c>
      <c r="DU358" s="1"/>
      <c r="DV358" s="1"/>
      <c r="DW358" s="1"/>
      <c r="DX358" s="1">
        <f t="shared" si="122"/>
        <v>1048026</v>
      </c>
      <c r="DZ358" s="1">
        <f t="shared" si="123"/>
        <v>61713</v>
      </c>
      <c r="EA358" s="1">
        <f t="shared" si="134"/>
        <v>70430</v>
      </c>
      <c r="EC358" s="1">
        <f t="shared" si="124"/>
        <v>1180169</v>
      </c>
      <c r="ED358" s="1">
        <f t="shared" si="120"/>
        <v>0</v>
      </c>
      <c r="EE358" s="1"/>
    </row>
    <row r="359" spans="1:135" x14ac:dyDescent="0.25">
      <c r="A359" s="10">
        <v>43132</v>
      </c>
      <c r="B359">
        <v>0</v>
      </c>
      <c r="C359">
        <v>0</v>
      </c>
      <c r="D359">
        <v>0</v>
      </c>
      <c r="E359">
        <v>0</v>
      </c>
      <c r="F359">
        <v>1208</v>
      </c>
      <c r="G359">
        <v>18524</v>
      </c>
      <c r="H359">
        <v>46561</v>
      </c>
      <c r="I359">
        <v>879</v>
      </c>
      <c r="J359">
        <v>2091</v>
      </c>
      <c r="K359">
        <v>1236</v>
      </c>
      <c r="L359">
        <v>32988</v>
      </c>
      <c r="M359">
        <v>1515</v>
      </c>
      <c r="N359">
        <v>691</v>
      </c>
      <c r="O359">
        <v>1611</v>
      </c>
      <c r="P359">
        <v>10167</v>
      </c>
      <c r="Q359">
        <v>235</v>
      </c>
      <c r="R359">
        <v>4730</v>
      </c>
      <c r="S359">
        <v>13648</v>
      </c>
      <c r="T359">
        <v>42</v>
      </c>
      <c r="U359">
        <v>4450</v>
      </c>
      <c r="V359">
        <v>41</v>
      </c>
      <c r="W359">
        <v>17111</v>
      </c>
      <c r="X359">
        <v>395</v>
      </c>
      <c r="Y359">
        <v>5</v>
      </c>
      <c r="Z359">
        <v>3</v>
      </c>
      <c r="AA359">
        <v>3</v>
      </c>
      <c r="AB359">
        <v>115</v>
      </c>
      <c r="AC359">
        <v>21</v>
      </c>
      <c r="AD359">
        <v>25</v>
      </c>
      <c r="AE359">
        <v>13</v>
      </c>
      <c r="AF359">
        <v>40</v>
      </c>
      <c r="AG359">
        <v>91</v>
      </c>
      <c r="AH359">
        <v>2446</v>
      </c>
      <c r="AI359">
        <v>2</v>
      </c>
      <c r="AJ359">
        <v>16344</v>
      </c>
      <c r="AK359">
        <v>111574</v>
      </c>
      <c r="AL359">
        <v>2199</v>
      </c>
      <c r="AM359">
        <v>21040</v>
      </c>
      <c r="AN359">
        <v>17</v>
      </c>
      <c r="AO359">
        <v>103</v>
      </c>
      <c r="AP359">
        <v>10466</v>
      </c>
      <c r="AQ359">
        <v>0</v>
      </c>
      <c r="AR359">
        <v>853</v>
      </c>
      <c r="AS359">
        <v>37</v>
      </c>
      <c r="AT359">
        <v>10295</v>
      </c>
      <c r="AU359">
        <v>2203</v>
      </c>
      <c r="AV359">
        <v>3000</v>
      </c>
      <c r="AW359">
        <v>14974</v>
      </c>
      <c r="AX359">
        <v>14</v>
      </c>
      <c r="AY359">
        <v>9</v>
      </c>
      <c r="AZ359">
        <v>910</v>
      </c>
      <c r="BA359">
        <v>1</v>
      </c>
      <c r="BB359">
        <v>152</v>
      </c>
      <c r="BC359">
        <v>968</v>
      </c>
      <c r="BD359">
        <v>0</v>
      </c>
      <c r="BE359">
        <v>0</v>
      </c>
      <c r="BF359">
        <v>8057</v>
      </c>
      <c r="BG359">
        <v>0</v>
      </c>
      <c r="BH359">
        <v>0</v>
      </c>
      <c r="BI359">
        <v>0</v>
      </c>
      <c r="BJ359">
        <v>34</v>
      </c>
      <c r="BK359">
        <v>5329</v>
      </c>
      <c r="BL359">
        <v>0</v>
      </c>
      <c r="BM359">
        <v>237</v>
      </c>
      <c r="BN359">
        <v>0</v>
      </c>
      <c r="BO359">
        <v>126954</v>
      </c>
      <c r="BP359">
        <v>84214</v>
      </c>
      <c r="BQ359">
        <v>2724</v>
      </c>
      <c r="BR359">
        <v>23</v>
      </c>
      <c r="BS359">
        <v>30038</v>
      </c>
      <c r="BT359">
        <v>1783</v>
      </c>
      <c r="BU359">
        <v>0</v>
      </c>
      <c r="BV359">
        <v>1</v>
      </c>
      <c r="BW359">
        <v>3</v>
      </c>
      <c r="BX359">
        <v>14065</v>
      </c>
      <c r="BY359">
        <v>262</v>
      </c>
      <c r="BZ359">
        <v>0</v>
      </c>
      <c r="CA359">
        <v>27732</v>
      </c>
      <c r="CB359">
        <v>15531</v>
      </c>
      <c r="CC359">
        <v>131532</v>
      </c>
      <c r="CD359">
        <v>281373</v>
      </c>
      <c r="CE359">
        <v>37216</v>
      </c>
      <c r="CF359">
        <v>62537</v>
      </c>
      <c r="CG359">
        <v>0</v>
      </c>
      <c r="CH359">
        <v>13</v>
      </c>
      <c r="CI359">
        <v>0</v>
      </c>
      <c r="CJ359">
        <v>92</v>
      </c>
      <c r="CQ359">
        <v>428</v>
      </c>
      <c r="CR359">
        <v>10</v>
      </c>
      <c r="CY359">
        <v>0</v>
      </c>
      <c r="CZ359">
        <v>0</v>
      </c>
      <c r="DA359">
        <v>0</v>
      </c>
      <c r="DB359">
        <v>14</v>
      </c>
      <c r="DC359">
        <v>0</v>
      </c>
      <c r="DD359">
        <v>26</v>
      </c>
      <c r="DE359">
        <f t="shared" si="117"/>
        <v>1186234</v>
      </c>
      <c r="DF359" s="1"/>
      <c r="DG359" s="1">
        <f t="shared" si="125"/>
        <v>830741</v>
      </c>
      <c r="DH359" s="1">
        <f t="shared" si="126"/>
        <v>284303</v>
      </c>
      <c r="DI359" s="1">
        <f t="shared" si="135"/>
        <v>1115044</v>
      </c>
      <c r="DK359" s="1">
        <f t="shared" si="127"/>
        <v>72890</v>
      </c>
      <c r="DL359" s="1">
        <f t="shared" si="118"/>
        <v>150701</v>
      </c>
      <c r="DM359" s="1">
        <f t="shared" si="128"/>
        <v>13648</v>
      </c>
      <c r="DN359" s="1">
        <f t="shared" si="129"/>
        <v>46623</v>
      </c>
      <c r="DO359" s="1">
        <f t="shared" si="130"/>
        <v>482786</v>
      </c>
      <c r="DP359" s="1">
        <f t="shared" si="119"/>
        <v>115466</v>
      </c>
      <c r="DQ359" s="1">
        <f t="shared" si="121"/>
        <v>14503</v>
      </c>
      <c r="DR359" s="1">
        <f t="shared" si="131"/>
        <v>15547</v>
      </c>
      <c r="DS359" s="1">
        <f t="shared" si="132"/>
        <v>126954</v>
      </c>
      <c r="DT359" s="1">
        <f t="shared" si="133"/>
        <v>13389</v>
      </c>
      <c r="DU359" s="1"/>
      <c r="DV359" s="1"/>
      <c r="DW359" s="1"/>
      <c r="DX359" s="1">
        <f t="shared" si="122"/>
        <v>1052507</v>
      </c>
      <c r="DZ359" s="1">
        <f t="shared" si="123"/>
        <v>62537</v>
      </c>
      <c r="EA359" s="1">
        <f t="shared" si="134"/>
        <v>71190</v>
      </c>
      <c r="EC359" s="1">
        <f t="shared" si="124"/>
        <v>1186234</v>
      </c>
      <c r="ED359" s="1">
        <f t="shared" si="120"/>
        <v>0</v>
      </c>
      <c r="EE359" s="1"/>
    </row>
    <row r="360" spans="1:135" x14ac:dyDescent="0.25">
      <c r="A360" s="10">
        <v>43160</v>
      </c>
      <c r="B360">
        <v>0</v>
      </c>
      <c r="C360">
        <v>0</v>
      </c>
      <c r="D360">
        <v>0</v>
      </c>
      <c r="E360">
        <v>0</v>
      </c>
      <c r="F360">
        <v>1206</v>
      </c>
      <c r="G360">
        <v>18440</v>
      </c>
      <c r="H360">
        <v>46769</v>
      </c>
      <c r="I360">
        <v>914</v>
      </c>
      <c r="J360">
        <v>2175</v>
      </c>
      <c r="K360">
        <v>1207</v>
      </c>
      <c r="L360">
        <v>32961</v>
      </c>
      <c r="M360">
        <v>1503</v>
      </c>
      <c r="N360">
        <v>697</v>
      </c>
      <c r="O360">
        <v>1611</v>
      </c>
      <c r="P360">
        <v>10111</v>
      </c>
      <c r="Q360">
        <v>236</v>
      </c>
      <c r="R360">
        <v>4791</v>
      </c>
      <c r="S360">
        <v>13712</v>
      </c>
      <c r="T360">
        <v>42</v>
      </c>
      <c r="U360">
        <v>4472</v>
      </c>
      <c r="V360">
        <v>44</v>
      </c>
      <c r="W360">
        <v>16972</v>
      </c>
      <c r="X360">
        <v>394</v>
      </c>
      <c r="Y360">
        <v>5</v>
      </c>
      <c r="Z360">
        <v>4</v>
      </c>
      <c r="AA360">
        <v>2</v>
      </c>
      <c r="AB360">
        <v>115</v>
      </c>
      <c r="AC360">
        <v>23</v>
      </c>
      <c r="AD360">
        <v>25</v>
      </c>
      <c r="AE360">
        <v>13</v>
      </c>
      <c r="AF360">
        <v>39</v>
      </c>
      <c r="AG360">
        <v>103</v>
      </c>
      <c r="AH360">
        <v>2460</v>
      </c>
      <c r="AI360">
        <v>2</v>
      </c>
      <c r="AJ360">
        <v>16105</v>
      </c>
      <c r="AK360">
        <v>111757</v>
      </c>
      <c r="AL360">
        <v>2179</v>
      </c>
      <c r="AM360">
        <v>21079</v>
      </c>
      <c r="AN360">
        <v>19</v>
      </c>
      <c r="AO360">
        <v>106</v>
      </c>
      <c r="AP360">
        <v>10662</v>
      </c>
      <c r="AQ360">
        <v>0</v>
      </c>
      <c r="AR360">
        <v>832</v>
      </c>
      <c r="AS360">
        <v>39</v>
      </c>
      <c r="AT360">
        <v>10290</v>
      </c>
      <c r="AU360">
        <v>2230</v>
      </c>
      <c r="AV360">
        <v>3027</v>
      </c>
      <c r="AW360">
        <v>14951</v>
      </c>
      <c r="AX360">
        <v>13</v>
      </c>
      <c r="AY360">
        <v>4</v>
      </c>
      <c r="AZ360">
        <v>906</v>
      </c>
      <c r="BA360">
        <v>1</v>
      </c>
      <c r="BB360">
        <v>130</v>
      </c>
      <c r="BC360">
        <v>979</v>
      </c>
      <c r="BD360">
        <v>0</v>
      </c>
      <c r="BE360">
        <v>0</v>
      </c>
      <c r="BF360">
        <v>8047</v>
      </c>
      <c r="BG360">
        <v>0</v>
      </c>
      <c r="BH360">
        <v>0</v>
      </c>
      <c r="BI360">
        <v>0</v>
      </c>
      <c r="BJ360">
        <v>35</v>
      </c>
      <c r="BK360">
        <v>5352</v>
      </c>
      <c r="BL360">
        <v>0</v>
      </c>
      <c r="BM360">
        <v>231</v>
      </c>
      <c r="BN360">
        <v>0</v>
      </c>
      <c r="BO360">
        <v>128138</v>
      </c>
      <c r="BP360">
        <v>84199</v>
      </c>
      <c r="BQ360">
        <v>2671</v>
      </c>
      <c r="BR360">
        <v>21</v>
      </c>
      <c r="BS360">
        <v>30003</v>
      </c>
      <c r="BT360">
        <v>1776</v>
      </c>
      <c r="BU360">
        <v>0</v>
      </c>
      <c r="BV360">
        <v>1</v>
      </c>
      <c r="BW360">
        <v>3</v>
      </c>
      <c r="BX360">
        <v>14410</v>
      </c>
      <c r="BY360">
        <v>248</v>
      </c>
      <c r="BZ360">
        <v>0</v>
      </c>
      <c r="CA360">
        <v>27803</v>
      </c>
      <c r="CB360">
        <v>15501</v>
      </c>
      <c r="CC360">
        <v>131739</v>
      </c>
      <c r="CD360">
        <v>281846</v>
      </c>
      <c r="CE360">
        <v>36825</v>
      </c>
      <c r="CF360">
        <v>62716</v>
      </c>
      <c r="CG360">
        <v>0</v>
      </c>
      <c r="CH360">
        <v>14</v>
      </c>
      <c r="CI360">
        <v>0</v>
      </c>
      <c r="CJ360">
        <v>93</v>
      </c>
      <c r="CQ360">
        <v>431</v>
      </c>
      <c r="CR360">
        <v>15</v>
      </c>
      <c r="CY360">
        <v>0</v>
      </c>
      <c r="CZ360">
        <v>0</v>
      </c>
      <c r="DA360">
        <v>0</v>
      </c>
      <c r="DB360">
        <v>14</v>
      </c>
      <c r="DC360">
        <v>0</v>
      </c>
      <c r="DD360">
        <v>26</v>
      </c>
      <c r="DE360">
        <f t="shared" si="117"/>
        <v>1188475</v>
      </c>
      <c r="DF360" s="1"/>
      <c r="DG360" s="1">
        <f t="shared" si="125"/>
        <v>832668</v>
      </c>
      <c r="DH360" s="1">
        <f t="shared" si="126"/>
        <v>284399</v>
      </c>
      <c r="DI360" s="1">
        <f t="shared" si="135"/>
        <v>1117067</v>
      </c>
      <c r="DK360" s="1">
        <f t="shared" si="127"/>
        <v>72743</v>
      </c>
      <c r="DL360" s="1">
        <f t="shared" si="118"/>
        <v>150657</v>
      </c>
      <c r="DM360" s="1">
        <f t="shared" si="128"/>
        <v>13712</v>
      </c>
      <c r="DN360" s="1">
        <f t="shared" si="129"/>
        <v>46837</v>
      </c>
      <c r="DO360" s="1">
        <f t="shared" si="130"/>
        <v>483071</v>
      </c>
      <c r="DP360" s="1">
        <f t="shared" si="119"/>
        <v>115416</v>
      </c>
      <c r="DQ360" s="1">
        <f t="shared" si="121"/>
        <v>14856</v>
      </c>
      <c r="DR360" s="1">
        <f t="shared" si="131"/>
        <v>15519</v>
      </c>
      <c r="DS360" s="1">
        <f t="shared" si="132"/>
        <v>128138</v>
      </c>
      <c r="DT360" s="1">
        <f t="shared" si="133"/>
        <v>13402</v>
      </c>
      <c r="DU360" s="1"/>
      <c r="DV360" s="1"/>
      <c r="DW360" s="1"/>
      <c r="DX360" s="1">
        <f t="shared" si="122"/>
        <v>1054351</v>
      </c>
      <c r="DZ360" s="1">
        <f t="shared" si="123"/>
        <v>62716</v>
      </c>
      <c r="EA360" s="1">
        <f t="shared" si="134"/>
        <v>71408</v>
      </c>
      <c r="EC360" s="1">
        <f t="shared" si="124"/>
        <v>1188475</v>
      </c>
      <c r="ED360" s="1">
        <f t="shared" si="120"/>
        <v>0</v>
      </c>
      <c r="EE360" s="1"/>
    </row>
    <row r="361" spans="1:135" x14ac:dyDescent="0.25">
      <c r="A361" s="10">
        <v>43191</v>
      </c>
      <c r="B361">
        <v>0</v>
      </c>
      <c r="C361">
        <v>0</v>
      </c>
      <c r="D361">
        <v>0</v>
      </c>
      <c r="E361">
        <v>0</v>
      </c>
      <c r="F361">
        <v>1170</v>
      </c>
      <c r="G361">
        <v>18464</v>
      </c>
      <c r="H361">
        <v>46901</v>
      </c>
      <c r="I361">
        <v>910</v>
      </c>
      <c r="J361">
        <v>2171</v>
      </c>
      <c r="K361">
        <v>1249</v>
      </c>
      <c r="L361">
        <v>32953</v>
      </c>
      <c r="M361">
        <v>1502</v>
      </c>
      <c r="N361">
        <v>697</v>
      </c>
      <c r="O361">
        <v>1627</v>
      </c>
      <c r="P361">
        <v>10183</v>
      </c>
      <c r="Q361">
        <v>239</v>
      </c>
      <c r="R361">
        <v>4799</v>
      </c>
      <c r="S361">
        <v>13833</v>
      </c>
      <c r="T361">
        <v>45</v>
      </c>
      <c r="U361">
        <v>4474</v>
      </c>
      <c r="V361">
        <v>42</v>
      </c>
      <c r="W361">
        <v>16918</v>
      </c>
      <c r="X361">
        <v>403</v>
      </c>
      <c r="Y361">
        <v>6</v>
      </c>
      <c r="Z361">
        <v>8</v>
      </c>
      <c r="AA361">
        <v>1</v>
      </c>
      <c r="AB361">
        <v>115</v>
      </c>
      <c r="AC361">
        <v>24</v>
      </c>
      <c r="AD361">
        <v>25</v>
      </c>
      <c r="AE361">
        <v>14</v>
      </c>
      <c r="AF361">
        <v>38</v>
      </c>
      <c r="AG361">
        <v>110</v>
      </c>
      <c r="AH361">
        <v>2475</v>
      </c>
      <c r="AI361">
        <v>2</v>
      </c>
      <c r="AJ361">
        <v>15988</v>
      </c>
      <c r="AK361">
        <v>112136</v>
      </c>
      <c r="AL361">
        <v>2188</v>
      </c>
      <c r="AM361">
        <v>21219</v>
      </c>
      <c r="AN361">
        <v>21</v>
      </c>
      <c r="AO361">
        <v>103</v>
      </c>
      <c r="AP361">
        <v>10848</v>
      </c>
      <c r="AQ361">
        <v>0</v>
      </c>
      <c r="AR361">
        <v>886</v>
      </c>
      <c r="AS361">
        <v>40</v>
      </c>
      <c r="AT361">
        <v>10365</v>
      </c>
      <c r="AU361">
        <v>2230</v>
      </c>
      <c r="AV361">
        <v>3051</v>
      </c>
      <c r="AW361">
        <v>14943</v>
      </c>
      <c r="AX361">
        <v>6</v>
      </c>
      <c r="AY361">
        <v>4</v>
      </c>
      <c r="AZ361">
        <v>912</v>
      </c>
      <c r="BA361">
        <v>1</v>
      </c>
      <c r="BB361">
        <v>135</v>
      </c>
      <c r="BC361">
        <v>997</v>
      </c>
      <c r="BD361">
        <v>0</v>
      </c>
      <c r="BE361">
        <v>0</v>
      </c>
      <c r="BF361">
        <v>8087</v>
      </c>
      <c r="BG361">
        <v>0</v>
      </c>
      <c r="BH361">
        <v>0</v>
      </c>
      <c r="BI361">
        <v>0</v>
      </c>
      <c r="BJ361">
        <v>30</v>
      </c>
      <c r="BK361">
        <v>5396</v>
      </c>
      <c r="BL361">
        <v>0</v>
      </c>
      <c r="BM361">
        <v>207</v>
      </c>
      <c r="BN361">
        <v>0</v>
      </c>
      <c r="BO361">
        <v>129706</v>
      </c>
      <c r="BP361">
        <v>84491</v>
      </c>
      <c r="BQ361">
        <v>2655</v>
      </c>
      <c r="BR361">
        <v>22</v>
      </c>
      <c r="BS361">
        <v>29992</v>
      </c>
      <c r="BT361">
        <v>1783</v>
      </c>
      <c r="BU361">
        <v>0</v>
      </c>
      <c r="BV361">
        <v>1</v>
      </c>
      <c r="BW361">
        <v>3</v>
      </c>
      <c r="BX361">
        <v>14756</v>
      </c>
      <c r="BY361">
        <v>246</v>
      </c>
      <c r="BZ361">
        <v>0</v>
      </c>
      <c r="CA361">
        <v>27803</v>
      </c>
      <c r="CB361">
        <v>15512</v>
      </c>
      <c r="CC361">
        <v>132357</v>
      </c>
      <c r="CD361">
        <v>283341</v>
      </c>
      <c r="CE361">
        <v>37358</v>
      </c>
      <c r="CF361">
        <v>63243</v>
      </c>
      <c r="CG361">
        <v>0</v>
      </c>
      <c r="CH361">
        <v>11</v>
      </c>
      <c r="CI361">
        <v>0</v>
      </c>
      <c r="CJ361">
        <v>95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433</v>
      </c>
      <c r="CR361">
        <v>15</v>
      </c>
      <c r="CY361">
        <v>0</v>
      </c>
      <c r="CZ361">
        <v>0</v>
      </c>
      <c r="DA361">
        <v>0</v>
      </c>
      <c r="DB361">
        <v>14</v>
      </c>
      <c r="DC361">
        <v>0</v>
      </c>
      <c r="DD361">
        <v>25</v>
      </c>
      <c r="DE361">
        <f t="shared" si="117"/>
        <v>1195014</v>
      </c>
      <c r="DF361" s="1"/>
      <c r="DG361" s="1">
        <f t="shared" si="125"/>
        <v>838102</v>
      </c>
      <c r="DH361" s="1">
        <f t="shared" si="126"/>
        <v>285350</v>
      </c>
      <c r="DI361" s="1">
        <f t="shared" si="135"/>
        <v>1123452</v>
      </c>
      <c r="DK361" s="1">
        <f t="shared" si="127"/>
        <v>72782</v>
      </c>
      <c r="DL361" s="1">
        <f t="shared" si="118"/>
        <v>151128</v>
      </c>
      <c r="DM361" s="1">
        <f t="shared" si="128"/>
        <v>13833</v>
      </c>
      <c r="DN361" s="1">
        <f t="shared" si="129"/>
        <v>47151</v>
      </c>
      <c r="DO361" s="1">
        <f t="shared" si="130"/>
        <v>485697</v>
      </c>
      <c r="DP361" s="1">
        <f t="shared" si="119"/>
        <v>115691</v>
      </c>
      <c r="DQ361" s="1">
        <f t="shared" si="121"/>
        <v>15204</v>
      </c>
      <c r="DR361" s="1">
        <f t="shared" si="131"/>
        <v>15531</v>
      </c>
      <c r="DS361" s="1">
        <f t="shared" si="132"/>
        <v>129706</v>
      </c>
      <c r="DT361" s="1">
        <f t="shared" si="133"/>
        <v>13486</v>
      </c>
      <c r="DU361" s="1"/>
      <c r="DV361" s="1"/>
      <c r="DW361" s="1"/>
      <c r="DX361" s="1">
        <f t="shared" si="122"/>
        <v>1060209</v>
      </c>
      <c r="DZ361" s="1">
        <f t="shared" si="123"/>
        <v>63243</v>
      </c>
      <c r="EA361" s="1">
        <f t="shared" si="134"/>
        <v>71562</v>
      </c>
      <c r="EC361" s="1">
        <f t="shared" si="124"/>
        <v>1195014</v>
      </c>
      <c r="ED361" s="1">
        <f t="shared" si="120"/>
        <v>0</v>
      </c>
      <c r="EE361" s="1"/>
    </row>
    <row r="362" spans="1:135" x14ac:dyDescent="0.25">
      <c r="A362" s="10">
        <v>43221</v>
      </c>
      <c r="B362">
        <v>0</v>
      </c>
      <c r="C362">
        <v>0</v>
      </c>
      <c r="D362">
        <v>0</v>
      </c>
      <c r="E362">
        <v>0</v>
      </c>
      <c r="F362">
        <v>1162</v>
      </c>
      <c r="G362">
        <v>18422</v>
      </c>
      <c r="H362">
        <v>47108</v>
      </c>
      <c r="I362">
        <v>928</v>
      </c>
      <c r="J362">
        <v>2230</v>
      </c>
      <c r="K362">
        <v>1260</v>
      </c>
      <c r="L362">
        <v>33010</v>
      </c>
      <c r="M362">
        <v>1486</v>
      </c>
      <c r="N362">
        <v>743</v>
      </c>
      <c r="O362">
        <v>1666</v>
      </c>
      <c r="P362">
        <v>10257</v>
      </c>
      <c r="Q362">
        <v>242</v>
      </c>
      <c r="R362">
        <v>4831</v>
      </c>
      <c r="S362">
        <v>13827</v>
      </c>
      <c r="T362">
        <v>40</v>
      </c>
      <c r="U362">
        <v>4501</v>
      </c>
      <c r="V362">
        <v>37</v>
      </c>
      <c r="W362">
        <v>16891</v>
      </c>
      <c r="X362">
        <v>403</v>
      </c>
      <c r="Y362">
        <v>6</v>
      </c>
      <c r="Z362">
        <v>5</v>
      </c>
      <c r="AA362">
        <v>1</v>
      </c>
      <c r="AB362">
        <v>109</v>
      </c>
      <c r="AC362">
        <v>23</v>
      </c>
      <c r="AD362">
        <v>25</v>
      </c>
      <c r="AE362">
        <v>14</v>
      </c>
      <c r="AF362">
        <v>40</v>
      </c>
      <c r="AG362">
        <v>126</v>
      </c>
      <c r="AH362">
        <v>2519</v>
      </c>
      <c r="AI362">
        <v>2</v>
      </c>
      <c r="AJ362">
        <v>15804</v>
      </c>
      <c r="AK362">
        <v>112360</v>
      </c>
      <c r="AL362">
        <v>2170</v>
      </c>
      <c r="AM362">
        <v>21423</v>
      </c>
      <c r="AN362">
        <v>24</v>
      </c>
      <c r="AO362">
        <v>103</v>
      </c>
      <c r="AP362">
        <v>10987</v>
      </c>
      <c r="AQ362">
        <v>0</v>
      </c>
      <c r="AR362">
        <v>916</v>
      </c>
      <c r="AS362">
        <v>40</v>
      </c>
      <c r="AT362">
        <v>10426</v>
      </c>
      <c r="AU362">
        <v>2245</v>
      </c>
      <c r="AV362">
        <v>3075</v>
      </c>
      <c r="AW362">
        <v>14949</v>
      </c>
      <c r="AX362">
        <v>6</v>
      </c>
      <c r="AY362">
        <v>6</v>
      </c>
      <c r="AZ362">
        <v>897</v>
      </c>
      <c r="BA362">
        <v>1</v>
      </c>
      <c r="BB362">
        <v>135</v>
      </c>
      <c r="BC362">
        <v>1010</v>
      </c>
      <c r="BD362">
        <v>0</v>
      </c>
      <c r="BE362">
        <v>0</v>
      </c>
      <c r="BF362">
        <v>8110</v>
      </c>
      <c r="BG362">
        <v>0</v>
      </c>
      <c r="BH362">
        <v>0</v>
      </c>
      <c r="BI362">
        <v>0</v>
      </c>
      <c r="BJ362">
        <v>31</v>
      </c>
      <c r="BK362">
        <v>5363</v>
      </c>
      <c r="BL362">
        <v>0</v>
      </c>
      <c r="BM362">
        <v>178</v>
      </c>
      <c r="BN362">
        <v>0</v>
      </c>
      <c r="BO362">
        <v>131403</v>
      </c>
      <c r="BP362">
        <v>84730</v>
      </c>
      <c r="BQ362">
        <v>2671</v>
      </c>
      <c r="BR362">
        <v>21</v>
      </c>
      <c r="BS362">
        <v>29973</v>
      </c>
      <c r="BT362">
        <v>1786</v>
      </c>
      <c r="BU362">
        <v>0</v>
      </c>
      <c r="BV362">
        <v>1</v>
      </c>
      <c r="BW362">
        <v>3</v>
      </c>
      <c r="BX362">
        <v>15088</v>
      </c>
      <c r="BY362">
        <v>246</v>
      </c>
      <c r="BZ362">
        <v>0</v>
      </c>
      <c r="CA362">
        <v>27980</v>
      </c>
      <c r="CB362">
        <v>15570</v>
      </c>
      <c r="CC362">
        <v>132938</v>
      </c>
      <c r="CD362">
        <v>284867</v>
      </c>
      <c r="CE362">
        <v>37719</v>
      </c>
      <c r="CF362">
        <v>63633</v>
      </c>
      <c r="CG362">
        <v>0</v>
      </c>
      <c r="CH362">
        <v>13</v>
      </c>
      <c r="CI362">
        <v>0</v>
      </c>
      <c r="CJ362">
        <v>91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444</v>
      </c>
      <c r="CR362">
        <v>19</v>
      </c>
      <c r="CY362">
        <v>0</v>
      </c>
      <c r="CZ362">
        <v>0</v>
      </c>
      <c r="DA362">
        <v>0</v>
      </c>
      <c r="DB362">
        <v>14</v>
      </c>
      <c r="DC362">
        <v>0</v>
      </c>
      <c r="DD362">
        <v>25</v>
      </c>
      <c r="DE362">
        <f t="shared" si="117"/>
        <v>1201369</v>
      </c>
      <c r="DF362" s="1"/>
      <c r="DG362" s="1">
        <f t="shared" si="125"/>
        <v>843437</v>
      </c>
      <c r="DH362" s="1">
        <f t="shared" si="126"/>
        <v>286079</v>
      </c>
      <c r="DI362" s="1">
        <f t="shared" si="135"/>
        <v>1129516</v>
      </c>
      <c r="DK362" s="1">
        <f t="shared" si="127"/>
        <v>72961</v>
      </c>
      <c r="DL362" s="1">
        <f t="shared" si="118"/>
        <v>151321</v>
      </c>
      <c r="DM362" s="1">
        <f t="shared" si="128"/>
        <v>13827</v>
      </c>
      <c r="DN362" s="1">
        <f t="shared" si="129"/>
        <v>47502</v>
      </c>
      <c r="DO362" s="1">
        <f t="shared" si="130"/>
        <v>488357</v>
      </c>
      <c r="DP362" s="1">
        <f t="shared" si="119"/>
        <v>115897</v>
      </c>
      <c r="DQ362" s="1">
        <f t="shared" si="121"/>
        <v>15551</v>
      </c>
      <c r="DR362" s="1">
        <f t="shared" si="131"/>
        <v>15588</v>
      </c>
      <c r="DS362" s="1">
        <f t="shared" si="132"/>
        <v>131403</v>
      </c>
      <c r="DT362" s="1">
        <f t="shared" si="133"/>
        <v>13476</v>
      </c>
      <c r="DU362" s="1"/>
      <c r="DV362" s="1"/>
      <c r="DW362" s="1"/>
      <c r="DX362" s="1">
        <f t="shared" si="122"/>
        <v>1065883</v>
      </c>
      <c r="DZ362" s="1">
        <f t="shared" si="123"/>
        <v>63633</v>
      </c>
      <c r="EA362" s="1">
        <f t="shared" si="134"/>
        <v>71853</v>
      </c>
      <c r="EC362" s="1">
        <f t="shared" si="124"/>
        <v>1201369</v>
      </c>
      <c r="ED362" s="1">
        <f t="shared" si="120"/>
        <v>0</v>
      </c>
      <c r="EE362" s="1"/>
    </row>
    <row r="363" spans="1:135" x14ac:dyDescent="0.25">
      <c r="A363" s="10">
        <v>43252</v>
      </c>
      <c r="B363">
        <v>0</v>
      </c>
      <c r="C363">
        <v>0</v>
      </c>
      <c r="D363">
        <v>0</v>
      </c>
      <c r="E363">
        <v>0</v>
      </c>
      <c r="F363">
        <v>1166</v>
      </c>
      <c r="G363">
        <v>18466</v>
      </c>
      <c r="H363">
        <v>47419</v>
      </c>
      <c r="I363">
        <v>931</v>
      </c>
      <c r="J363">
        <v>2311</v>
      </c>
      <c r="K363">
        <v>1260</v>
      </c>
      <c r="L363">
        <v>33008</v>
      </c>
      <c r="M363">
        <v>1456</v>
      </c>
      <c r="N363">
        <v>753</v>
      </c>
      <c r="O363">
        <v>1690</v>
      </c>
      <c r="P363">
        <v>10317</v>
      </c>
      <c r="Q363">
        <v>237</v>
      </c>
      <c r="R363">
        <v>4854</v>
      </c>
      <c r="S363">
        <v>13852</v>
      </c>
      <c r="T363">
        <v>43</v>
      </c>
      <c r="U363">
        <v>4565</v>
      </c>
      <c r="V363">
        <v>44</v>
      </c>
      <c r="W363">
        <v>16910</v>
      </c>
      <c r="X363">
        <v>411</v>
      </c>
      <c r="Y363">
        <v>6</v>
      </c>
      <c r="Z363">
        <v>5</v>
      </c>
      <c r="AA363">
        <v>1</v>
      </c>
      <c r="AB363">
        <v>107</v>
      </c>
      <c r="AC363">
        <v>22</v>
      </c>
      <c r="AD363">
        <v>25</v>
      </c>
      <c r="AE363">
        <v>14</v>
      </c>
      <c r="AF363">
        <v>38</v>
      </c>
      <c r="AG363">
        <v>128</v>
      </c>
      <c r="AH363">
        <v>2509</v>
      </c>
      <c r="AI363">
        <v>1</v>
      </c>
      <c r="AJ363">
        <v>15668</v>
      </c>
      <c r="AK363">
        <v>112511</v>
      </c>
      <c r="AL363">
        <v>2154</v>
      </c>
      <c r="AM363">
        <v>21500</v>
      </c>
      <c r="AN363">
        <v>21</v>
      </c>
      <c r="AO363">
        <v>112</v>
      </c>
      <c r="AP363">
        <v>11024</v>
      </c>
      <c r="AQ363">
        <v>0</v>
      </c>
      <c r="AR363">
        <v>940</v>
      </c>
      <c r="AS363">
        <v>38</v>
      </c>
      <c r="AT363">
        <v>10448</v>
      </c>
      <c r="AU363">
        <v>2247</v>
      </c>
      <c r="AV363">
        <v>3119</v>
      </c>
      <c r="AW363">
        <v>14958</v>
      </c>
      <c r="AX363">
        <v>17</v>
      </c>
      <c r="AY363">
        <v>6</v>
      </c>
      <c r="AZ363">
        <v>896</v>
      </c>
      <c r="BA363">
        <v>1</v>
      </c>
      <c r="BB363">
        <v>140</v>
      </c>
      <c r="BC363">
        <v>1041</v>
      </c>
      <c r="BD363">
        <v>0</v>
      </c>
      <c r="BE363">
        <v>0</v>
      </c>
      <c r="BF363">
        <v>8134</v>
      </c>
      <c r="BG363">
        <v>0</v>
      </c>
      <c r="BH363">
        <v>0</v>
      </c>
      <c r="BI363">
        <v>0</v>
      </c>
      <c r="BJ363">
        <v>30</v>
      </c>
      <c r="BK363">
        <v>5382</v>
      </c>
      <c r="BL363">
        <v>0</v>
      </c>
      <c r="BM363">
        <v>169</v>
      </c>
      <c r="BN363">
        <v>0</v>
      </c>
      <c r="BO363">
        <v>132576</v>
      </c>
      <c r="BP363">
        <v>84826</v>
      </c>
      <c r="BQ363">
        <v>2677</v>
      </c>
      <c r="BR363">
        <v>23</v>
      </c>
      <c r="BS363">
        <v>29945</v>
      </c>
      <c r="BT363">
        <v>1762</v>
      </c>
      <c r="BU363">
        <v>0</v>
      </c>
      <c r="BV363">
        <v>1</v>
      </c>
      <c r="BW363">
        <v>2</v>
      </c>
      <c r="BX363">
        <v>15495</v>
      </c>
      <c r="BY363">
        <v>233</v>
      </c>
      <c r="BZ363">
        <v>0</v>
      </c>
      <c r="CA363">
        <v>27901</v>
      </c>
      <c r="CB363">
        <v>15837</v>
      </c>
      <c r="CC363">
        <v>133437</v>
      </c>
      <c r="CD363">
        <v>286089</v>
      </c>
      <c r="CE363">
        <v>37802</v>
      </c>
      <c r="CF363">
        <v>63976</v>
      </c>
      <c r="CG363">
        <v>0</v>
      </c>
      <c r="CH363">
        <v>10</v>
      </c>
      <c r="CI363">
        <v>0</v>
      </c>
      <c r="CJ363">
        <v>91</v>
      </c>
      <c r="CK363">
        <v>0</v>
      </c>
      <c r="CL363">
        <v>0</v>
      </c>
      <c r="CM363">
        <v>0</v>
      </c>
      <c r="CN363">
        <v>0</v>
      </c>
      <c r="CO363">
        <v>0</v>
      </c>
      <c r="CP363">
        <v>0</v>
      </c>
      <c r="CQ363">
        <v>451</v>
      </c>
      <c r="CR363">
        <v>29</v>
      </c>
      <c r="CY363">
        <v>0</v>
      </c>
      <c r="CZ363">
        <v>0</v>
      </c>
      <c r="DA363">
        <v>0</v>
      </c>
      <c r="DB363">
        <v>14</v>
      </c>
      <c r="DC363">
        <v>0</v>
      </c>
      <c r="DD363">
        <v>25</v>
      </c>
      <c r="DE363">
        <f t="shared" si="117"/>
        <v>1206268</v>
      </c>
      <c r="DF363" s="1"/>
      <c r="DG363" s="1">
        <f t="shared" si="125"/>
        <v>847462</v>
      </c>
      <c r="DH363" s="1">
        <f t="shared" si="126"/>
        <v>286500</v>
      </c>
      <c r="DI363" s="1">
        <f t="shared" si="135"/>
        <v>1133962</v>
      </c>
      <c r="DK363" s="1">
        <f t="shared" si="127"/>
        <v>73124</v>
      </c>
      <c r="DL363" s="1">
        <f t="shared" si="118"/>
        <v>151407</v>
      </c>
      <c r="DM363" s="1">
        <f t="shared" si="128"/>
        <v>13852</v>
      </c>
      <c r="DN363" s="1">
        <f t="shared" si="129"/>
        <v>47632</v>
      </c>
      <c r="DO363" s="1">
        <f t="shared" si="130"/>
        <v>490063</v>
      </c>
      <c r="DP363" s="1">
        <f t="shared" si="119"/>
        <v>115987</v>
      </c>
      <c r="DQ363" s="1">
        <f t="shared" si="121"/>
        <v>15975</v>
      </c>
      <c r="DR363" s="1">
        <f t="shared" si="131"/>
        <v>15852</v>
      </c>
      <c r="DS363" s="1">
        <f t="shared" si="132"/>
        <v>132576</v>
      </c>
      <c r="DT363" s="1">
        <f t="shared" si="133"/>
        <v>13518</v>
      </c>
      <c r="DU363" s="1"/>
      <c r="DV363" s="1"/>
      <c r="DW363" s="1"/>
      <c r="DX363" s="1">
        <f t="shared" si="122"/>
        <v>1069986</v>
      </c>
      <c r="DZ363" s="1">
        <f t="shared" si="123"/>
        <v>63976</v>
      </c>
      <c r="EA363" s="1">
        <f t="shared" si="134"/>
        <v>72306</v>
      </c>
      <c r="EC363" s="1">
        <f t="shared" si="124"/>
        <v>1206268</v>
      </c>
      <c r="ED363" s="1">
        <f t="shared" si="120"/>
        <v>0</v>
      </c>
      <c r="EE363" s="1"/>
    </row>
    <row r="364" spans="1:135" x14ac:dyDescent="0.25">
      <c r="A364" s="10">
        <v>43282</v>
      </c>
      <c r="B364">
        <v>0</v>
      </c>
      <c r="C364">
        <v>0</v>
      </c>
      <c r="D364">
        <v>0</v>
      </c>
      <c r="E364">
        <v>0</v>
      </c>
      <c r="F364">
        <v>1157</v>
      </c>
      <c r="G364">
        <v>18348</v>
      </c>
      <c r="H364">
        <v>47223</v>
      </c>
      <c r="I364">
        <v>904</v>
      </c>
      <c r="J364">
        <v>2355</v>
      </c>
      <c r="K364">
        <v>1259</v>
      </c>
      <c r="L364">
        <v>32983</v>
      </c>
      <c r="M364">
        <v>1454</v>
      </c>
      <c r="N364">
        <v>769</v>
      </c>
      <c r="O364">
        <v>1702</v>
      </c>
      <c r="P364">
        <v>10296</v>
      </c>
      <c r="Q364">
        <v>243</v>
      </c>
      <c r="R364">
        <v>4852</v>
      </c>
      <c r="S364">
        <v>13849</v>
      </c>
      <c r="T364">
        <v>52</v>
      </c>
      <c r="U364">
        <v>4523</v>
      </c>
      <c r="V364">
        <v>39</v>
      </c>
      <c r="W364">
        <v>16906</v>
      </c>
      <c r="X364">
        <v>419</v>
      </c>
      <c r="Y364">
        <v>6</v>
      </c>
      <c r="Z364">
        <v>5</v>
      </c>
      <c r="AA364">
        <v>0</v>
      </c>
      <c r="AB364">
        <v>105</v>
      </c>
      <c r="AC364">
        <v>22</v>
      </c>
      <c r="AD364">
        <v>24</v>
      </c>
      <c r="AE364">
        <v>15</v>
      </c>
      <c r="AF364">
        <v>36</v>
      </c>
      <c r="AG364">
        <v>127</v>
      </c>
      <c r="AH364">
        <v>2503</v>
      </c>
      <c r="AI364">
        <v>1</v>
      </c>
      <c r="AJ364">
        <v>15462</v>
      </c>
      <c r="AK364">
        <v>112633</v>
      </c>
      <c r="AL364">
        <v>2148</v>
      </c>
      <c r="AM364">
        <v>21525</v>
      </c>
      <c r="AN364">
        <v>20</v>
      </c>
      <c r="AO364">
        <v>118</v>
      </c>
      <c r="AP364">
        <v>11099</v>
      </c>
      <c r="AQ364">
        <v>0</v>
      </c>
      <c r="AR364">
        <v>899</v>
      </c>
      <c r="AS364">
        <v>38</v>
      </c>
      <c r="AT364">
        <v>10442</v>
      </c>
      <c r="AU364">
        <v>2277</v>
      </c>
      <c r="AV364">
        <v>3191</v>
      </c>
      <c r="AW364">
        <v>14958</v>
      </c>
      <c r="AX364">
        <v>12</v>
      </c>
      <c r="AY364">
        <v>5</v>
      </c>
      <c r="AZ364">
        <v>881</v>
      </c>
      <c r="BA364">
        <v>1</v>
      </c>
      <c r="BB364">
        <v>150</v>
      </c>
      <c r="BC364">
        <v>1059</v>
      </c>
      <c r="BD364">
        <v>0</v>
      </c>
      <c r="BE364">
        <v>0</v>
      </c>
      <c r="BF364">
        <v>8159</v>
      </c>
      <c r="BG364">
        <v>0</v>
      </c>
      <c r="BH364">
        <v>0</v>
      </c>
      <c r="BI364">
        <v>0</v>
      </c>
      <c r="BJ364">
        <v>33</v>
      </c>
      <c r="BK364">
        <v>5407</v>
      </c>
      <c r="BL364">
        <v>0</v>
      </c>
      <c r="BM364">
        <v>143</v>
      </c>
      <c r="BN364">
        <v>0</v>
      </c>
      <c r="BO364">
        <v>133602</v>
      </c>
      <c r="BP364">
        <v>84723</v>
      </c>
      <c r="BQ364">
        <v>2714</v>
      </c>
      <c r="BR364">
        <v>22</v>
      </c>
      <c r="BS364">
        <v>29700</v>
      </c>
      <c r="BT364">
        <v>1769</v>
      </c>
      <c r="BU364">
        <v>0</v>
      </c>
      <c r="BV364">
        <v>0</v>
      </c>
      <c r="BW364">
        <v>2</v>
      </c>
      <c r="BX364">
        <v>15764</v>
      </c>
      <c r="BY364">
        <v>227</v>
      </c>
      <c r="BZ364">
        <v>0</v>
      </c>
      <c r="CA364">
        <v>27743</v>
      </c>
      <c r="CB364">
        <v>15886</v>
      </c>
      <c r="CC364">
        <v>133304</v>
      </c>
      <c r="CD364">
        <v>286297</v>
      </c>
      <c r="CE364">
        <v>38179</v>
      </c>
      <c r="CF364">
        <v>63813</v>
      </c>
      <c r="CG364">
        <v>0</v>
      </c>
      <c r="CH364">
        <v>10</v>
      </c>
      <c r="CI364">
        <v>0</v>
      </c>
      <c r="CJ364">
        <v>91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452</v>
      </c>
      <c r="CR364">
        <v>25</v>
      </c>
      <c r="CY364">
        <v>0</v>
      </c>
      <c r="CZ364">
        <v>0</v>
      </c>
      <c r="DA364">
        <v>0</v>
      </c>
      <c r="DB364">
        <v>14</v>
      </c>
      <c r="DC364">
        <v>0</v>
      </c>
      <c r="DD364">
        <v>25</v>
      </c>
      <c r="DE364">
        <f t="shared" si="117"/>
        <v>1207160</v>
      </c>
      <c r="DF364" s="1"/>
      <c r="DG364" s="1">
        <f t="shared" si="125"/>
        <v>848664</v>
      </c>
      <c r="DH364" s="1">
        <f t="shared" si="126"/>
        <v>286481</v>
      </c>
      <c r="DI364" s="1">
        <f t="shared" si="135"/>
        <v>1135145</v>
      </c>
      <c r="DK364" s="1">
        <f t="shared" si="127"/>
        <v>73050</v>
      </c>
      <c r="DL364" s="1">
        <f t="shared" si="118"/>
        <v>151364</v>
      </c>
      <c r="DM364" s="1">
        <f t="shared" si="128"/>
        <v>13849</v>
      </c>
      <c r="DN364" s="1">
        <f t="shared" si="129"/>
        <v>47736</v>
      </c>
      <c r="DO364" s="1">
        <f t="shared" si="130"/>
        <v>490391</v>
      </c>
      <c r="DP364" s="1">
        <f t="shared" si="119"/>
        <v>115630</v>
      </c>
      <c r="DQ364" s="1">
        <f t="shared" si="121"/>
        <v>16241</v>
      </c>
      <c r="DR364" s="1">
        <f t="shared" si="131"/>
        <v>15901</v>
      </c>
      <c r="DS364" s="1">
        <f t="shared" si="132"/>
        <v>133602</v>
      </c>
      <c r="DT364" s="1">
        <f t="shared" si="133"/>
        <v>13568</v>
      </c>
      <c r="DU364" s="1"/>
      <c r="DV364" s="1"/>
      <c r="DW364" s="1"/>
      <c r="DX364" s="1">
        <f t="shared" si="122"/>
        <v>1071332</v>
      </c>
      <c r="DZ364" s="1">
        <f t="shared" si="123"/>
        <v>63813</v>
      </c>
      <c r="EA364" s="1">
        <f t="shared" si="134"/>
        <v>72015</v>
      </c>
      <c r="EC364" s="1">
        <f t="shared" si="124"/>
        <v>1207160</v>
      </c>
      <c r="ED364" s="1">
        <f t="shared" si="120"/>
        <v>0</v>
      </c>
      <c r="EE364" s="1"/>
    </row>
    <row r="365" spans="1:135" x14ac:dyDescent="0.25">
      <c r="A365" s="10">
        <v>43313</v>
      </c>
      <c r="B365">
        <v>0</v>
      </c>
      <c r="C365">
        <v>0</v>
      </c>
      <c r="D365">
        <v>0</v>
      </c>
      <c r="E365">
        <v>0</v>
      </c>
      <c r="F365">
        <v>1140</v>
      </c>
      <c r="G365">
        <v>18180</v>
      </c>
      <c r="H365">
        <v>46879</v>
      </c>
      <c r="I365">
        <v>927</v>
      </c>
      <c r="J365">
        <v>2308</v>
      </c>
      <c r="K365">
        <v>1263</v>
      </c>
      <c r="L365">
        <v>33037</v>
      </c>
      <c r="M365">
        <v>1449</v>
      </c>
      <c r="N365">
        <v>758</v>
      </c>
      <c r="O365">
        <v>1706</v>
      </c>
      <c r="P365">
        <v>10265</v>
      </c>
      <c r="Q365">
        <v>235</v>
      </c>
      <c r="R365">
        <v>4890</v>
      </c>
      <c r="S365">
        <v>13859</v>
      </c>
      <c r="T365">
        <v>51</v>
      </c>
      <c r="U365">
        <v>4510</v>
      </c>
      <c r="V365">
        <v>40</v>
      </c>
      <c r="W365">
        <v>16929</v>
      </c>
      <c r="X365">
        <v>425</v>
      </c>
      <c r="Y365">
        <v>6</v>
      </c>
      <c r="Z365">
        <v>8</v>
      </c>
      <c r="AA365">
        <v>0</v>
      </c>
      <c r="AB365">
        <v>103</v>
      </c>
      <c r="AC365">
        <v>22</v>
      </c>
      <c r="AD365">
        <v>23</v>
      </c>
      <c r="AE365">
        <v>13</v>
      </c>
      <c r="AF365">
        <v>39</v>
      </c>
      <c r="AG365">
        <v>143</v>
      </c>
      <c r="AH365">
        <v>2483</v>
      </c>
      <c r="AI365">
        <v>1</v>
      </c>
      <c r="AJ365">
        <v>15343</v>
      </c>
      <c r="AK365">
        <v>112749</v>
      </c>
      <c r="AL365">
        <v>2143</v>
      </c>
      <c r="AM365">
        <v>21497</v>
      </c>
      <c r="AN365">
        <v>18</v>
      </c>
      <c r="AO365">
        <v>132</v>
      </c>
      <c r="AP365">
        <v>11139</v>
      </c>
      <c r="AQ365">
        <v>0</v>
      </c>
      <c r="AR365">
        <v>869</v>
      </c>
      <c r="AS365">
        <v>38</v>
      </c>
      <c r="AT365">
        <v>10441</v>
      </c>
      <c r="AU365">
        <v>2300</v>
      </c>
      <c r="AV365">
        <v>3206</v>
      </c>
      <c r="AW365">
        <v>14938</v>
      </c>
      <c r="AX365">
        <v>4</v>
      </c>
      <c r="AY365">
        <v>3</v>
      </c>
      <c r="AZ365">
        <v>874</v>
      </c>
      <c r="BA365">
        <v>1</v>
      </c>
      <c r="BB365">
        <v>145</v>
      </c>
      <c r="BC365">
        <v>1078</v>
      </c>
      <c r="BD365">
        <v>0</v>
      </c>
      <c r="BE365">
        <v>0</v>
      </c>
      <c r="BF365">
        <v>8167</v>
      </c>
      <c r="BG365">
        <v>0</v>
      </c>
      <c r="BH365">
        <v>0</v>
      </c>
      <c r="BI365">
        <v>0</v>
      </c>
      <c r="BJ365">
        <v>35</v>
      </c>
      <c r="BK365">
        <v>5424</v>
      </c>
      <c r="BL365">
        <v>0</v>
      </c>
      <c r="BM365">
        <v>121</v>
      </c>
      <c r="BN365">
        <v>0</v>
      </c>
      <c r="BO365">
        <v>133612</v>
      </c>
      <c r="BP365">
        <v>85004</v>
      </c>
      <c r="BQ365">
        <v>2792</v>
      </c>
      <c r="BR365">
        <v>19</v>
      </c>
      <c r="BS365">
        <v>29528</v>
      </c>
      <c r="BT365">
        <v>1736</v>
      </c>
      <c r="BU365">
        <v>0</v>
      </c>
      <c r="BV365">
        <v>0</v>
      </c>
      <c r="BW365">
        <v>2</v>
      </c>
      <c r="BX365">
        <v>15996</v>
      </c>
      <c r="BY365">
        <v>234</v>
      </c>
      <c r="BZ365">
        <v>0</v>
      </c>
      <c r="CA365">
        <v>27510</v>
      </c>
      <c r="CB365">
        <v>15834</v>
      </c>
      <c r="CC365">
        <v>132622</v>
      </c>
      <c r="CD365">
        <v>285996</v>
      </c>
      <c r="CE365">
        <v>38572</v>
      </c>
      <c r="CF365">
        <v>63529</v>
      </c>
      <c r="CG365">
        <v>0</v>
      </c>
      <c r="CH365">
        <v>9</v>
      </c>
      <c r="CI365">
        <v>0</v>
      </c>
      <c r="CJ365">
        <v>88</v>
      </c>
      <c r="CK365">
        <v>0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447</v>
      </c>
      <c r="CR365">
        <v>21</v>
      </c>
      <c r="CY365">
        <v>0</v>
      </c>
      <c r="CZ365">
        <v>0</v>
      </c>
      <c r="DA365">
        <v>0</v>
      </c>
      <c r="DB365">
        <v>14</v>
      </c>
      <c r="DC365">
        <v>0</v>
      </c>
      <c r="DD365">
        <v>25</v>
      </c>
      <c r="DE365">
        <f t="shared" si="117"/>
        <v>1205908</v>
      </c>
      <c r="DF365" s="1"/>
      <c r="DG365" s="1">
        <f t="shared" si="125"/>
        <v>847915</v>
      </c>
      <c r="DH365" s="1">
        <f t="shared" si="126"/>
        <v>286538</v>
      </c>
      <c r="DI365" s="1">
        <f t="shared" si="135"/>
        <v>1134453</v>
      </c>
      <c r="DK365" s="1">
        <f t="shared" si="127"/>
        <v>73112</v>
      </c>
      <c r="DL365" s="1">
        <f t="shared" si="118"/>
        <v>151346</v>
      </c>
      <c r="DM365" s="1">
        <f t="shared" si="128"/>
        <v>13859</v>
      </c>
      <c r="DN365" s="1">
        <f t="shared" si="129"/>
        <v>47745</v>
      </c>
      <c r="DO365" s="1">
        <f t="shared" si="130"/>
        <v>489608</v>
      </c>
      <c r="DP365" s="1">
        <f t="shared" si="119"/>
        <v>115734</v>
      </c>
      <c r="DQ365" s="1">
        <f t="shared" si="121"/>
        <v>16464</v>
      </c>
      <c r="DR365" s="1">
        <f t="shared" si="131"/>
        <v>15851</v>
      </c>
      <c r="DS365" s="1">
        <f t="shared" si="132"/>
        <v>133612</v>
      </c>
      <c r="DT365" s="1">
        <f t="shared" si="133"/>
        <v>13593</v>
      </c>
      <c r="DU365" s="1"/>
      <c r="DV365" s="1"/>
      <c r="DW365" s="1"/>
      <c r="DX365" s="1">
        <f t="shared" si="122"/>
        <v>1070924</v>
      </c>
      <c r="DZ365" s="1">
        <f t="shared" si="123"/>
        <v>63529</v>
      </c>
      <c r="EA365" s="1">
        <f t="shared" si="134"/>
        <v>71455</v>
      </c>
      <c r="EC365" s="1">
        <f t="shared" si="124"/>
        <v>1205908</v>
      </c>
      <c r="ED365" s="1">
        <f t="shared" si="120"/>
        <v>0</v>
      </c>
      <c r="EE365" s="1"/>
    </row>
    <row r="366" spans="1:135" x14ac:dyDescent="0.25">
      <c r="A366" s="10">
        <v>43344</v>
      </c>
      <c r="B366">
        <v>0</v>
      </c>
      <c r="C366">
        <v>0</v>
      </c>
      <c r="D366">
        <v>0</v>
      </c>
      <c r="E366">
        <v>0</v>
      </c>
      <c r="F366">
        <v>1139</v>
      </c>
      <c r="G366">
        <v>18211</v>
      </c>
      <c r="H366">
        <v>46897</v>
      </c>
      <c r="I366">
        <v>925</v>
      </c>
      <c r="J366">
        <v>2351</v>
      </c>
      <c r="K366">
        <v>1243</v>
      </c>
      <c r="L366">
        <v>33073</v>
      </c>
      <c r="M366">
        <v>1427</v>
      </c>
      <c r="N366">
        <v>766</v>
      </c>
      <c r="O366">
        <v>1722</v>
      </c>
      <c r="P366">
        <v>10289</v>
      </c>
      <c r="Q366">
        <v>235</v>
      </c>
      <c r="R366">
        <v>4928</v>
      </c>
      <c r="S366">
        <v>13883</v>
      </c>
      <c r="T366">
        <v>49</v>
      </c>
      <c r="U366">
        <v>4516</v>
      </c>
      <c r="V366">
        <v>36</v>
      </c>
      <c r="W366">
        <v>16917</v>
      </c>
      <c r="X366">
        <v>426</v>
      </c>
      <c r="Y366">
        <v>6</v>
      </c>
      <c r="Z366">
        <v>7</v>
      </c>
      <c r="AA366">
        <v>1</v>
      </c>
      <c r="AB366">
        <v>97</v>
      </c>
      <c r="AC366">
        <v>24</v>
      </c>
      <c r="AD366">
        <v>22</v>
      </c>
      <c r="AE366">
        <v>15</v>
      </c>
      <c r="AF366">
        <v>39</v>
      </c>
      <c r="AG366">
        <v>139</v>
      </c>
      <c r="AH366">
        <v>2480</v>
      </c>
      <c r="AI366">
        <v>1</v>
      </c>
      <c r="AJ366">
        <v>15092</v>
      </c>
      <c r="AK366">
        <v>112826</v>
      </c>
      <c r="AL366">
        <v>2135</v>
      </c>
      <c r="AM366">
        <v>21638</v>
      </c>
      <c r="AN366">
        <v>15</v>
      </c>
      <c r="AO366">
        <v>142</v>
      </c>
      <c r="AP366">
        <v>11183</v>
      </c>
      <c r="AQ366">
        <v>0</v>
      </c>
      <c r="AR366">
        <v>862</v>
      </c>
      <c r="AS366">
        <v>39</v>
      </c>
      <c r="AT366">
        <v>10449</v>
      </c>
      <c r="AU366">
        <v>2313</v>
      </c>
      <c r="AV366">
        <v>3230</v>
      </c>
      <c r="AW366">
        <v>14937</v>
      </c>
      <c r="AX366">
        <v>27</v>
      </c>
      <c r="AY366">
        <v>2</v>
      </c>
      <c r="AZ366">
        <v>888</v>
      </c>
      <c r="BA366">
        <v>1</v>
      </c>
      <c r="BB366">
        <v>151</v>
      </c>
      <c r="BC366">
        <v>1117</v>
      </c>
      <c r="BD366">
        <v>0</v>
      </c>
      <c r="BE366">
        <v>0</v>
      </c>
      <c r="BF366">
        <v>8207</v>
      </c>
      <c r="BG366">
        <v>0</v>
      </c>
      <c r="BH366">
        <v>0</v>
      </c>
      <c r="BI366">
        <v>0</v>
      </c>
      <c r="BJ366">
        <v>39</v>
      </c>
      <c r="BK366">
        <v>5355</v>
      </c>
      <c r="BL366">
        <v>0</v>
      </c>
      <c r="BM366">
        <v>117</v>
      </c>
      <c r="BN366">
        <v>0</v>
      </c>
      <c r="BO366">
        <v>134934</v>
      </c>
      <c r="BP366">
        <v>85315</v>
      </c>
      <c r="BQ366">
        <v>2822</v>
      </c>
      <c r="BR366">
        <v>20</v>
      </c>
      <c r="BS366">
        <v>29357</v>
      </c>
      <c r="BT366">
        <v>1788</v>
      </c>
      <c r="BU366">
        <v>0</v>
      </c>
      <c r="BV366">
        <v>0</v>
      </c>
      <c r="BW366">
        <v>3</v>
      </c>
      <c r="BX366">
        <v>16339</v>
      </c>
      <c r="BY366">
        <v>230</v>
      </c>
      <c r="BZ366">
        <v>0</v>
      </c>
      <c r="CA366">
        <v>27468</v>
      </c>
      <c r="CB366">
        <v>16029</v>
      </c>
      <c r="CC366">
        <v>132657</v>
      </c>
      <c r="CD366">
        <v>286223</v>
      </c>
      <c r="CE366">
        <v>38663</v>
      </c>
      <c r="CF366">
        <v>63299</v>
      </c>
      <c r="CG366">
        <v>0</v>
      </c>
      <c r="CH366">
        <v>6</v>
      </c>
      <c r="CI366">
        <v>0</v>
      </c>
      <c r="CJ366">
        <v>89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450</v>
      </c>
      <c r="CR366">
        <v>24</v>
      </c>
      <c r="CY366">
        <v>0</v>
      </c>
      <c r="CZ366">
        <v>0</v>
      </c>
      <c r="DA366">
        <v>0</v>
      </c>
      <c r="DB366">
        <v>13</v>
      </c>
      <c r="DC366">
        <v>0</v>
      </c>
      <c r="DD366">
        <v>25</v>
      </c>
      <c r="DE366">
        <f t="shared" si="117"/>
        <v>1208345</v>
      </c>
      <c r="DF366" s="1"/>
      <c r="DG366" s="1">
        <f t="shared" si="125"/>
        <v>850106</v>
      </c>
      <c r="DH366" s="1">
        <f t="shared" si="126"/>
        <v>286707</v>
      </c>
      <c r="DI366" s="1">
        <f t="shared" si="135"/>
        <v>1136813</v>
      </c>
      <c r="DK366" s="1">
        <f t="shared" si="127"/>
        <v>73192</v>
      </c>
      <c r="DL366" s="1">
        <f t="shared" si="118"/>
        <v>151212</v>
      </c>
      <c r="DM366" s="1">
        <f t="shared" si="128"/>
        <v>13883</v>
      </c>
      <c r="DN366" s="1">
        <f t="shared" si="129"/>
        <v>47939</v>
      </c>
      <c r="DO366" s="1">
        <f t="shared" si="130"/>
        <v>490026</v>
      </c>
      <c r="DP366" s="1">
        <f t="shared" si="119"/>
        <v>115908</v>
      </c>
      <c r="DQ366" s="1">
        <f t="shared" si="121"/>
        <v>16813</v>
      </c>
      <c r="DR366" s="1">
        <f t="shared" si="131"/>
        <v>16042</v>
      </c>
      <c r="DS366" s="1">
        <f t="shared" si="132"/>
        <v>134934</v>
      </c>
      <c r="DT366" s="1">
        <f t="shared" si="133"/>
        <v>13565</v>
      </c>
      <c r="DU366" s="1"/>
      <c r="DV366" s="1"/>
      <c r="DW366" s="1"/>
      <c r="DX366" s="1">
        <f t="shared" si="122"/>
        <v>1073514</v>
      </c>
      <c r="DZ366" s="1">
        <f t="shared" si="123"/>
        <v>63299</v>
      </c>
      <c r="EA366" s="1">
        <f t="shared" si="134"/>
        <v>71532</v>
      </c>
      <c r="EC366" s="1">
        <f t="shared" si="124"/>
        <v>1208345</v>
      </c>
      <c r="ED366" s="1">
        <f t="shared" si="120"/>
        <v>0</v>
      </c>
      <c r="EE366" s="1"/>
    </row>
    <row r="367" spans="1:135" x14ac:dyDescent="0.25">
      <c r="A367" s="10">
        <v>43374</v>
      </c>
      <c r="B367">
        <v>0</v>
      </c>
      <c r="C367">
        <v>0</v>
      </c>
      <c r="D367">
        <v>0</v>
      </c>
      <c r="E367">
        <v>0</v>
      </c>
      <c r="F367">
        <v>1124</v>
      </c>
      <c r="G367">
        <v>18139</v>
      </c>
      <c r="H367">
        <v>47050</v>
      </c>
      <c r="I367">
        <v>924</v>
      </c>
      <c r="J367">
        <v>2340</v>
      </c>
      <c r="K367">
        <v>1243</v>
      </c>
      <c r="L367">
        <v>32994</v>
      </c>
      <c r="M367">
        <v>1419</v>
      </c>
      <c r="N367">
        <v>763</v>
      </c>
      <c r="O367">
        <v>1715</v>
      </c>
      <c r="P367">
        <v>10193</v>
      </c>
      <c r="Q367">
        <v>238</v>
      </c>
      <c r="R367">
        <v>4901</v>
      </c>
      <c r="S367">
        <v>13804</v>
      </c>
      <c r="T367">
        <v>41</v>
      </c>
      <c r="U367">
        <v>4503</v>
      </c>
      <c r="V367">
        <v>38</v>
      </c>
      <c r="W367">
        <v>16865</v>
      </c>
      <c r="X367">
        <v>433</v>
      </c>
      <c r="Y367">
        <v>6</v>
      </c>
      <c r="Z367">
        <v>5</v>
      </c>
      <c r="AA367">
        <v>2</v>
      </c>
      <c r="AB367">
        <v>96</v>
      </c>
      <c r="AC367">
        <v>25</v>
      </c>
      <c r="AD367">
        <v>22</v>
      </c>
      <c r="AE367">
        <v>13</v>
      </c>
      <c r="AF367">
        <v>40</v>
      </c>
      <c r="AG367">
        <v>138</v>
      </c>
      <c r="AH367">
        <v>2485</v>
      </c>
      <c r="AI367">
        <v>1</v>
      </c>
      <c r="AJ367">
        <v>14992</v>
      </c>
      <c r="AK367">
        <v>112813</v>
      </c>
      <c r="AL367">
        <v>2124</v>
      </c>
      <c r="AM367">
        <v>21580</v>
      </c>
      <c r="AN367">
        <v>11</v>
      </c>
      <c r="AO367">
        <v>154</v>
      </c>
      <c r="AP367">
        <v>11221</v>
      </c>
      <c r="AQ367">
        <v>0</v>
      </c>
      <c r="AR367">
        <v>826</v>
      </c>
      <c r="AS367">
        <v>40</v>
      </c>
      <c r="AT367">
        <v>10444</v>
      </c>
      <c r="AU367">
        <v>2296</v>
      </c>
      <c r="AV367">
        <v>3220</v>
      </c>
      <c r="AW367">
        <v>14822</v>
      </c>
      <c r="AX367">
        <v>26</v>
      </c>
      <c r="AY367">
        <v>1</v>
      </c>
      <c r="AZ367">
        <v>888</v>
      </c>
      <c r="BA367">
        <v>0</v>
      </c>
      <c r="BB367">
        <v>155</v>
      </c>
      <c r="BC367">
        <v>1136</v>
      </c>
      <c r="BD367">
        <v>0</v>
      </c>
      <c r="BE367">
        <v>0</v>
      </c>
      <c r="BF367">
        <v>8248</v>
      </c>
      <c r="BG367">
        <v>0</v>
      </c>
      <c r="BH367">
        <v>0</v>
      </c>
      <c r="BI367">
        <v>0</v>
      </c>
      <c r="BJ367">
        <v>38</v>
      </c>
      <c r="BK367">
        <v>5300</v>
      </c>
      <c r="BL367">
        <v>0</v>
      </c>
      <c r="BM367">
        <v>112</v>
      </c>
      <c r="BN367">
        <v>0</v>
      </c>
      <c r="BO367">
        <v>136074</v>
      </c>
      <c r="BP367">
        <v>85502</v>
      </c>
      <c r="BQ367">
        <v>2836</v>
      </c>
      <c r="BR367">
        <v>20</v>
      </c>
      <c r="BS367">
        <v>29275</v>
      </c>
      <c r="BT367">
        <v>1827</v>
      </c>
      <c r="BU367">
        <v>0</v>
      </c>
      <c r="BV367">
        <v>0</v>
      </c>
      <c r="BW367">
        <v>3</v>
      </c>
      <c r="BX367">
        <v>16578</v>
      </c>
      <c r="BY367">
        <v>233</v>
      </c>
      <c r="BZ367">
        <v>0</v>
      </c>
      <c r="CA367">
        <v>27447</v>
      </c>
      <c r="CB367">
        <v>15647</v>
      </c>
      <c r="CC367">
        <v>132089</v>
      </c>
      <c r="CD367">
        <v>286501</v>
      </c>
      <c r="CE367">
        <v>39165</v>
      </c>
      <c r="CF367">
        <v>63391</v>
      </c>
      <c r="CG367">
        <v>0</v>
      </c>
      <c r="CH367">
        <v>8</v>
      </c>
      <c r="CI367">
        <v>0</v>
      </c>
      <c r="CJ367">
        <v>96</v>
      </c>
      <c r="CK367">
        <v>0</v>
      </c>
      <c r="CL367">
        <v>0</v>
      </c>
      <c r="CM367">
        <v>0</v>
      </c>
      <c r="CN367">
        <v>0</v>
      </c>
      <c r="CO367">
        <v>0</v>
      </c>
      <c r="CP367">
        <v>0</v>
      </c>
      <c r="CQ367">
        <v>565</v>
      </c>
      <c r="CR367">
        <v>27</v>
      </c>
      <c r="CY367">
        <v>0</v>
      </c>
      <c r="CZ367">
        <v>0</v>
      </c>
      <c r="DA367">
        <v>0</v>
      </c>
      <c r="DB367">
        <v>13</v>
      </c>
      <c r="DC367">
        <v>0</v>
      </c>
      <c r="DD367">
        <v>24</v>
      </c>
      <c r="DE367">
        <f t="shared" si="117"/>
        <v>1209291</v>
      </c>
      <c r="DF367" s="1"/>
      <c r="DG367" s="1">
        <f t="shared" si="125"/>
        <v>851553</v>
      </c>
      <c r="DH367" s="1">
        <f t="shared" si="126"/>
        <v>286155</v>
      </c>
      <c r="DI367" s="1">
        <f t="shared" si="135"/>
        <v>1137708</v>
      </c>
      <c r="DK367" s="1">
        <f t="shared" si="127"/>
        <v>72907</v>
      </c>
      <c r="DL367" s="1">
        <f t="shared" si="118"/>
        <v>151030</v>
      </c>
      <c r="DM367" s="1">
        <f t="shared" si="128"/>
        <v>13804</v>
      </c>
      <c r="DN367" s="1">
        <f t="shared" si="129"/>
        <v>47817</v>
      </c>
      <c r="DO367" s="1">
        <f t="shared" si="130"/>
        <v>490278</v>
      </c>
      <c r="DP367" s="1">
        <f t="shared" si="119"/>
        <v>116026</v>
      </c>
      <c r="DQ367" s="1">
        <f t="shared" si="121"/>
        <v>17170</v>
      </c>
      <c r="DR367" s="1">
        <f t="shared" si="131"/>
        <v>15660</v>
      </c>
      <c r="DS367" s="1">
        <f t="shared" si="132"/>
        <v>136074</v>
      </c>
      <c r="DT367" s="1">
        <f t="shared" si="133"/>
        <v>13551</v>
      </c>
      <c r="DU367" s="1"/>
      <c r="DV367" s="1"/>
      <c r="DW367" s="1"/>
      <c r="DX367" s="1">
        <f t="shared" si="122"/>
        <v>1074317</v>
      </c>
      <c r="DZ367" s="1">
        <f t="shared" si="123"/>
        <v>63391</v>
      </c>
      <c r="EA367" s="1">
        <f t="shared" si="134"/>
        <v>71583</v>
      </c>
      <c r="EC367" s="1">
        <f t="shared" si="124"/>
        <v>1209291</v>
      </c>
      <c r="ED367" s="1">
        <f t="shared" si="120"/>
        <v>0</v>
      </c>
      <c r="EE367" s="1"/>
    </row>
    <row r="368" spans="1:135" x14ac:dyDescent="0.25">
      <c r="A368" s="10">
        <v>43405</v>
      </c>
      <c r="B368">
        <v>0</v>
      </c>
      <c r="C368">
        <v>0</v>
      </c>
      <c r="D368">
        <v>0</v>
      </c>
      <c r="E368">
        <v>0</v>
      </c>
      <c r="F368">
        <v>1115</v>
      </c>
      <c r="G368">
        <v>18019</v>
      </c>
      <c r="H368">
        <v>47104</v>
      </c>
      <c r="I368">
        <v>923</v>
      </c>
      <c r="J368">
        <v>2327</v>
      </c>
      <c r="K368">
        <v>1263</v>
      </c>
      <c r="L368">
        <v>33016</v>
      </c>
      <c r="M368">
        <v>1410</v>
      </c>
      <c r="N368">
        <v>776</v>
      </c>
      <c r="O368">
        <v>1747</v>
      </c>
      <c r="P368">
        <v>10261</v>
      </c>
      <c r="Q368">
        <v>240</v>
      </c>
      <c r="R368">
        <v>4935</v>
      </c>
      <c r="S368">
        <v>13881</v>
      </c>
      <c r="T368">
        <v>47</v>
      </c>
      <c r="U368">
        <v>4548</v>
      </c>
      <c r="V368">
        <v>38</v>
      </c>
      <c r="W368">
        <v>16837</v>
      </c>
      <c r="X368">
        <v>437</v>
      </c>
      <c r="Y368">
        <v>6</v>
      </c>
      <c r="Z368">
        <v>4</v>
      </c>
      <c r="AA368">
        <v>2</v>
      </c>
      <c r="AB368">
        <v>89</v>
      </c>
      <c r="AC368">
        <v>25</v>
      </c>
      <c r="AD368">
        <v>22</v>
      </c>
      <c r="AE368">
        <v>11</v>
      </c>
      <c r="AF368">
        <v>43</v>
      </c>
      <c r="AG368">
        <v>142</v>
      </c>
      <c r="AH368">
        <v>2490</v>
      </c>
      <c r="AI368">
        <v>1</v>
      </c>
      <c r="AJ368">
        <v>14933</v>
      </c>
      <c r="AK368">
        <v>112985</v>
      </c>
      <c r="AL368">
        <v>2120</v>
      </c>
      <c r="AM368">
        <v>21599</v>
      </c>
      <c r="AN368">
        <v>19</v>
      </c>
      <c r="AO368">
        <v>167</v>
      </c>
      <c r="AP368">
        <v>11324</v>
      </c>
      <c r="AQ368">
        <v>0</v>
      </c>
      <c r="AR368">
        <v>865</v>
      </c>
      <c r="AS368">
        <v>39</v>
      </c>
      <c r="AT368">
        <v>10473</v>
      </c>
      <c r="AU368">
        <v>2311</v>
      </c>
      <c r="AV368">
        <v>3242</v>
      </c>
      <c r="AW368">
        <v>14836</v>
      </c>
      <c r="AX368">
        <v>6</v>
      </c>
      <c r="AY368">
        <v>3</v>
      </c>
      <c r="AZ368">
        <v>880</v>
      </c>
      <c r="BA368">
        <v>0</v>
      </c>
      <c r="BB368">
        <v>153</v>
      </c>
      <c r="BC368">
        <v>1147</v>
      </c>
      <c r="BD368">
        <v>0</v>
      </c>
      <c r="BE368">
        <v>0</v>
      </c>
      <c r="BF368">
        <v>8295</v>
      </c>
      <c r="BG368">
        <v>0</v>
      </c>
      <c r="BH368">
        <v>0</v>
      </c>
      <c r="BI368">
        <v>0</v>
      </c>
      <c r="BJ368">
        <v>37</v>
      </c>
      <c r="BK368">
        <v>5304</v>
      </c>
      <c r="BL368">
        <v>0</v>
      </c>
      <c r="BM368">
        <v>99</v>
      </c>
      <c r="BN368">
        <v>0</v>
      </c>
      <c r="BO368">
        <v>138145</v>
      </c>
      <c r="BP368">
        <v>86162</v>
      </c>
      <c r="BQ368">
        <v>2850</v>
      </c>
      <c r="BR368">
        <v>20</v>
      </c>
      <c r="BS368">
        <v>29298</v>
      </c>
      <c r="BT368">
        <v>1911</v>
      </c>
      <c r="BU368">
        <v>0</v>
      </c>
      <c r="BV368">
        <v>1</v>
      </c>
      <c r="BW368">
        <v>4</v>
      </c>
      <c r="BX368">
        <v>16945</v>
      </c>
      <c r="BY368">
        <v>227</v>
      </c>
      <c r="BZ368">
        <v>0</v>
      </c>
      <c r="CA368">
        <v>27491</v>
      </c>
      <c r="CB368">
        <v>15399</v>
      </c>
      <c r="CC368">
        <v>131908</v>
      </c>
      <c r="CD368">
        <v>287035</v>
      </c>
      <c r="CE368">
        <v>39532</v>
      </c>
      <c r="CF368">
        <v>63746</v>
      </c>
      <c r="CG368">
        <v>0</v>
      </c>
      <c r="CH368">
        <v>9</v>
      </c>
      <c r="CI368">
        <v>0</v>
      </c>
      <c r="CJ368">
        <v>99</v>
      </c>
      <c r="CK368">
        <v>0</v>
      </c>
      <c r="CL368">
        <v>0</v>
      </c>
      <c r="CM368">
        <v>0</v>
      </c>
      <c r="CN368">
        <v>0</v>
      </c>
      <c r="CO368">
        <v>0</v>
      </c>
      <c r="CP368">
        <v>0</v>
      </c>
      <c r="CQ368">
        <v>810</v>
      </c>
      <c r="CR368">
        <v>26</v>
      </c>
      <c r="CY368">
        <v>0</v>
      </c>
      <c r="CZ368">
        <v>0</v>
      </c>
      <c r="DA368">
        <v>0</v>
      </c>
      <c r="DB368">
        <v>13</v>
      </c>
      <c r="DC368">
        <v>0</v>
      </c>
      <c r="DD368">
        <v>24</v>
      </c>
      <c r="DE368">
        <f t="shared" si="117"/>
        <v>1214214</v>
      </c>
      <c r="DF368" s="1"/>
      <c r="DG368" s="1">
        <f t="shared" si="125"/>
        <v>855673</v>
      </c>
      <c r="DH368" s="1">
        <f t="shared" si="126"/>
        <v>287014</v>
      </c>
      <c r="DI368" s="1">
        <f t="shared" si="135"/>
        <v>1142687</v>
      </c>
      <c r="DK368" s="1">
        <f t="shared" si="127"/>
        <v>73079</v>
      </c>
      <c r="DL368" s="1">
        <f t="shared" si="118"/>
        <v>151245</v>
      </c>
      <c r="DM368" s="1">
        <f t="shared" si="128"/>
        <v>13881</v>
      </c>
      <c r="DN368" s="1">
        <f t="shared" si="129"/>
        <v>47969</v>
      </c>
      <c r="DO368" s="1">
        <f t="shared" si="130"/>
        <v>491117</v>
      </c>
      <c r="DP368" s="1">
        <f t="shared" si="119"/>
        <v>116709</v>
      </c>
      <c r="DQ368" s="1">
        <f t="shared" si="121"/>
        <v>17781</v>
      </c>
      <c r="DR368" s="1">
        <f t="shared" si="131"/>
        <v>15412</v>
      </c>
      <c r="DS368" s="1">
        <f t="shared" si="132"/>
        <v>138145</v>
      </c>
      <c r="DT368" s="1">
        <f t="shared" si="133"/>
        <v>13603</v>
      </c>
      <c r="DU368" s="1"/>
      <c r="DV368" s="1"/>
      <c r="DW368" s="1"/>
      <c r="DX368" s="1">
        <f t="shared" si="122"/>
        <v>1078941</v>
      </c>
      <c r="DZ368" s="1">
        <f t="shared" si="123"/>
        <v>63746</v>
      </c>
      <c r="EA368" s="1">
        <f t="shared" si="134"/>
        <v>71527</v>
      </c>
      <c r="EC368" s="1">
        <f t="shared" si="124"/>
        <v>1214214</v>
      </c>
      <c r="ED368" s="1">
        <f t="shared" si="120"/>
        <v>0</v>
      </c>
      <c r="EE368" s="1"/>
    </row>
    <row r="369" spans="1:135" x14ac:dyDescent="0.25">
      <c r="A369" s="10">
        <v>43435</v>
      </c>
      <c r="B369">
        <v>0</v>
      </c>
      <c r="C369">
        <v>0</v>
      </c>
      <c r="D369">
        <v>0</v>
      </c>
      <c r="E369">
        <v>0</v>
      </c>
      <c r="F369">
        <v>1171</v>
      </c>
      <c r="G369">
        <v>18092</v>
      </c>
      <c r="H369">
        <v>47536</v>
      </c>
      <c r="I369">
        <v>958</v>
      </c>
      <c r="J369">
        <v>2377</v>
      </c>
      <c r="K369">
        <v>1237</v>
      </c>
      <c r="L369">
        <v>33037</v>
      </c>
      <c r="M369">
        <v>1416</v>
      </c>
      <c r="N369">
        <v>795</v>
      </c>
      <c r="O369">
        <v>1771</v>
      </c>
      <c r="P369">
        <v>10267</v>
      </c>
      <c r="Q369">
        <v>250</v>
      </c>
      <c r="R369">
        <v>4923</v>
      </c>
      <c r="S369">
        <v>13880</v>
      </c>
      <c r="T369">
        <v>47</v>
      </c>
      <c r="U369">
        <v>4522</v>
      </c>
      <c r="V369">
        <v>45</v>
      </c>
      <c r="W369">
        <v>16802</v>
      </c>
      <c r="X369">
        <v>439</v>
      </c>
      <c r="Y369">
        <v>6</v>
      </c>
      <c r="Z369">
        <v>4</v>
      </c>
      <c r="AA369">
        <v>3</v>
      </c>
      <c r="AB369">
        <v>89</v>
      </c>
      <c r="AC369">
        <v>25</v>
      </c>
      <c r="AD369">
        <v>24</v>
      </c>
      <c r="AE369">
        <v>12</v>
      </c>
      <c r="AF369">
        <v>42</v>
      </c>
      <c r="AG369">
        <v>120</v>
      </c>
      <c r="AH369">
        <v>2477</v>
      </c>
      <c r="AI369">
        <v>1</v>
      </c>
      <c r="AJ369">
        <v>14844</v>
      </c>
      <c r="AK369">
        <v>113001</v>
      </c>
      <c r="AL369">
        <v>2103</v>
      </c>
      <c r="AM369">
        <v>21693</v>
      </c>
      <c r="AN369">
        <v>23</v>
      </c>
      <c r="AO369">
        <v>177</v>
      </c>
      <c r="AP369">
        <v>11403</v>
      </c>
      <c r="AQ369">
        <v>0</v>
      </c>
      <c r="AR369">
        <v>872</v>
      </c>
      <c r="AS369">
        <v>36</v>
      </c>
      <c r="AT369">
        <v>10446</v>
      </c>
      <c r="AU369">
        <v>2327</v>
      </c>
      <c r="AV369">
        <v>3248</v>
      </c>
      <c r="AW369">
        <v>14833</v>
      </c>
      <c r="AX369">
        <v>34</v>
      </c>
      <c r="AY369">
        <v>6</v>
      </c>
      <c r="AZ369">
        <v>878</v>
      </c>
      <c r="BA369">
        <v>0</v>
      </c>
      <c r="BB369">
        <v>139</v>
      </c>
      <c r="BC369">
        <v>1149</v>
      </c>
      <c r="BD369">
        <v>0</v>
      </c>
      <c r="BE369">
        <v>0</v>
      </c>
      <c r="BF369">
        <v>8340</v>
      </c>
      <c r="BG369">
        <v>0</v>
      </c>
      <c r="BH369">
        <v>0</v>
      </c>
      <c r="BI369">
        <v>0</v>
      </c>
      <c r="BJ369">
        <v>37</v>
      </c>
      <c r="BK369">
        <v>5284</v>
      </c>
      <c r="BL369">
        <v>0</v>
      </c>
      <c r="BM369">
        <v>104</v>
      </c>
      <c r="BN369">
        <v>0</v>
      </c>
      <c r="BO369">
        <v>141391</v>
      </c>
      <c r="BP369">
        <v>86657</v>
      </c>
      <c r="BQ369">
        <v>2924</v>
      </c>
      <c r="BR369">
        <v>21</v>
      </c>
      <c r="BS369">
        <v>29258</v>
      </c>
      <c r="BT369">
        <v>1931</v>
      </c>
      <c r="BU369">
        <v>0</v>
      </c>
      <c r="BV369">
        <v>0</v>
      </c>
      <c r="BW369">
        <v>3</v>
      </c>
      <c r="BX369">
        <v>17085</v>
      </c>
      <c r="BY369">
        <v>240</v>
      </c>
      <c r="BZ369">
        <v>0</v>
      </c>
      <c r="CA369">
        <v>27618</v>
      </c>
      <c r="CB369">
        <v>15185</v>
      </c>
      <c r="CC369">
        <v>131407</v>
      </c>
      <c r="CD369">
        <v>287186</v>
      </c>
      <c r="CE369">
        <v>39842</v>
      </c>
      <c r="CF369">
        <v>64008</v>
      </c>
      <c r="CG369">
        <v>0</v>
      </c>
      <c r="CH369">
        <v>11</v>
      </c>
      <c r="CI369">
        <v>0</v>
      </c>
      <c r="CJ369">
        <v>96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891</v>
      </c>
      <c r="CR369">
        <v>23</v>
      </c>
      <c r="CY369">
        <v>0</v>
      </c>
      <c r="CZ369">
        <v>0</v>
      </c>
      <c r="DA369">
        <v>0</v>
      </c>
      <c r="DB369">
        <v>13</v>
      </c>
      <c r="DC369">
        <v>0</v>
      </c>
      <c r="DD369">
        <v>24</v>
      </c>
      <c r="DE369">
        <f t="shared" si="117"/>
        <v>1219122</v>
      </c>
      <c r="DF369" s="1"/>
      <c r="DG369" s="1">
        <f t="shared" si="125"/>
        <v>859817</v>
      </c>
      <c r="DH369" s="1">
        <f t="shared" si="126"/>
        <v>287139</v>
      </c>
      <c r="DI369" s="1">
        <f t="shared" si="135"/>
        <v>1146956</v>
      </c>
      <c r="DK369" s="1">
        <f t="shared" si="127"/>
        <v>73080</v>
      </c>
      <c r="DL369" s="1">
        <f t="shared" si="118"/>
        <v>151113</v>
      </c>
      <c r="DM369" s="1">
        <f t="shared" si="128"/>
        <v>13880</v>
      </c>
      <c r="DN369" s="1">
        <f t="shared" si="129"/>
        <v>48148</v>
      </c>
      <c r="DO369" s="1">
        <f t="shared" si="130"/>
        <v>491336</v>
      </c>
      <c r="DP369" s="1">
        <f t="shared" si="119"/>
        <v>117174</v>
      </c>
      <c r="DQ369" s="1">
        <f t="shared" si="121"/>
        <v>17999</v>
      </c>
      <c r="DR369" s="1">
        <f t="shared" si="131"/>
        <v>15200</v>
      </c>
      <c r="DS369" s="1">
        <f t="shared" si="132"/>
        <v>141391</v>
      </c>
      <c r="DT369" s="1">
        <f t="shared" si="133"/>
        <v>13627</v>
      </c>
      <c r="DU369" s="1"/>
      <c r="DV369" s="1"/>
      <c r="DW369" s="1"/>
      <c r="DX369" s="1">
        <f t="shared" si="122"/>
        <v>1082948</v>
      </c>
      <c r="DZ369" s="1">
        <f t="shared" si="123"/>
        <v>64008</v>
      </c>
      <c r="EA369" s="1">
        <f t="shared" si="134"/>
        <v>72166</v>
      </c>
      <c r="EC369" s="1">
        <f t="shared" si="124"/>
        <v>1219122</v>
      </c>
      <c r="ED369" s="1">
        <f t="shared" si="120"/>
        <v>0</v>
      </c>
      <c r="EE369" s="1"/>
    </row>
    <row r="370" spans="1:135" x14ac:dyDescent="0.25">
      <c r="A370" s="10">
        <v>43466</v>
      </c>
      <c r="B370">
        <v>0</v>
      </c>
      <c r="C370">
        <v>0</v>
      </c>
      <c r="D370">
        <v>0</v>
      </c>
      <c r="E370">
        <v>0</v>
      </c>
      <c r="F370">
        <v>1267</v>
      </c>
      <c r="G370">
        <v>18438</v>
      </c>
      <c r="H370">
        <v>48573</v>
      </c>
      <c r="I370">
        <v>992</v>
      </c>
      <c r="J370">
        <v>2415</v>
      </c>
      <c r="K370">
        <v>1239</v>
      </c>
      <c r="L370">
        <v>33514</v>
      </c>
      <c r="M370">
        <v>1444</v>
      </c>
      <c r="N370">
        <v>800</v>
      </c>
      <c r="O370">
        <v>1718</v>
      </c>
      <c r="P370">
        <v>10866</v>
      </c>
      <c r="Q370">
        <v>262</v>
      </c>
      <c r="R370">
        <v>5328</v>
      </c>
      <c r="S370">
        <v>13835</v>
      </c>
      <c r="T370">
        <v>46</v>
      </c>
      <c r="U370">
        <v>4509</v>
      </c>
      <c r="V370">
        <v>43</v>
      </c>
      <c r="W370">
        <v>15792</v>
      </c>
      <c r="X370">
        <v>430</v>
      </c>
      <c r="Y370">
        <v>5</v>
      </c>
      <c r="Z370">
        <v>1</v>
      </c>
      <c r="AA370">
        <v>1</v>
      </c>
      <c r="AB370">
        <v>80</v>
      </c>
      <c r="AC370">
        <v>29</v>
      </c>
      <c r="AD370">
        <v>24</v>
      </c>
      <c r="AE370">
        <v>15</v>
      </c>
      <c r="AF370">
        <v>40</v>
      </c>
      <c r="AG370">
        <v>119</v>
      </c>
      <c r="AH370">
        <v>2468</v>
      </c>
      <c r="AI370">
        <v>1</v>
      </c>
      <c r="AJ370">
        <v>13734</v>
      </c>
      <c r="AK370">
        <v>112275</v>
      </c>
      <c r="AL370">
        <v>2049</v>
      </c>
      <c r="AM370">
        <v>21516</v>
      </c>
      <c r="AN370">
        <v>22</v>
      </c>
      <c r="AO370">
        <v>195</v>
      </c>
      <c r="AP370">
        <v>11151</v>
      </c>
      <c r="AQ370">
        <v>0</v>
      </c>
      <c r="AR370">
        <v>708</v>
      </c>
      <c r="AS370">
        <v>37</v>
      </c>
      <c r="AT370">
        <v>10747</v>
      </c>
      <c r="AU370">
        <v>2308</v>
      </c>
      <c r="AV370">
        <v>3230</v>
      </c>
      <c r="AW370">
        <v>14820</v>
      </c>
      <c r="AX370">
        <v>25</v>
      </c>
      <c r="AY370">
        <v>2</v>
      </c>
      <c r="AZ370">
        <v>859</v>
      </c>
      <c r="BA370">
        <v>0</v>
      </c>
      <c r="BB370">
        <v>141</v>
      </c>
      <c r="BC370">
        <v>1176</v>
      </c>
      <c r="BD370">
        <v>0</v>
      </c>
      <c r="BE370">
        <v>0</v>
      </c>
      <c r="BF370">
        <v>8338</v>
      </c>
      <c r="BG370">
        <v>0</v>
      </c>
      <c r="BH370">
        <v>0</v>
      </c>
      <c r="BI370">
        <v>0</v>
      </c>
      <c r="BJ370">
        <v>36</v>
      </c>
      <c r="BK370">
        <v>5240</v>
      </c>
      <c r="BL370">
        <v>0</v>
      </c>
      <c r="BM370">
        <v>68</v>
      </c>
      <c r="BN370">
        <v>0</v>
      </c>
      <c r="BO370">
        <v>41371</v>
      </c>
      <c r="BP370">
        <v>82978</v>
      </c>
      <c r="BQ370">
        <v>3099</v>
      </c>
      <c r="BR370">
        <v>20</v>
      </c>
      <c r="BS370">
        <v>27922</v>
      </c>
      <c r="BT370">
        <v>2006</v>
      </c>
      <c r="BU370">
        <v>0</v>
      </c>
      <c r="BV370">
        <v>0</v>
      </c>
      <c r="BW370">
        <v>3</v>
      </c>
      <c r="BX370">
        <v>102</v>
      </c>
      <c r="BY370">
        <v>235</v>
      </c>
      <c r="BZ370">
        <v>0</v>
      </c>
      <c r="CA370">
        <v>28286</v>
      </c>
      <c r="CB370">
        <v>14773</v>
      </c>
      <c r="CC370">
        <v>131025</v>
      </c>
      <c r="CD370">
        <v>287847</v>
      </c>
      <c r="CE370">
        <v>39675</v>
      </c>
      <c r="CF370">
        <v>65088</v>
      </c>
      <c r="CG370">
        <v>0</v>
      </c>
      <c r="CH370">
        <v>10</v>
      </c>
      <c r="CI370">
        <v>0</v>
      </c>
      <c r="CJ370">
        <v>92</v>
      </c>
      <c r="CK370">
        <v>44461</v>
      </c>
      <c r="CL370">
        <v>30749</v>
      </c>
      <c r="CM370">
        <v>96647</v>
      </c>
      <c r="CN370">
        <v>25888</v>
      </c>
      <c r="CO370">
        <v>0</v>
      </c>
      <c r="CP370">
        <v>908</v>
      </c>
      <c r="CQ370">
        <v>908</v>
      </c>
      <c r="CR370">
        <v>23</v>
      </c>
      <c r="CY370">
        <v>0</v>
      </c>
      <c r="CZ370">
        <v>0</v>
      </c>
      <c r="DA370">
        <v>0</v>
      </c>
      <c r="DB370">
        <v>13</v>
      </c>
      <c r="DC370">
        <v>0</v>
      </c>
      <c r="DD370">
        <v>24</v>
      </c>
      <c r="DE370">
        <f t="shared" si="117"/>
        <v>1297087</v>
      </c>
      <c r="DF370" s="1"/>
      <c r="DG370" s="1">
        <f t="shared" si="125"/>
        <v>938070</v>
      </c>
      <c r="DH370" s="1">
        <f t="shared" si="126"/>
        <v>285293</v>
      </c>
      <c r="DI370" s="1">
        <f t="shared" si="135"/>
        <v>1223363</v>
      </c>
      <c r="DK370" s="1">
        <f t="shared" si="127"/>
        <v>73522</v>
      </c>
      <c r="DL370" s="1">
        <f t="shared" si="118"/>
        <v>149282</v>
      </c>
      <c r="DM370" s="1">
        <f t="shared" si="128"/>
        <v>13835</v>
      </c>
      <c r="DN370" s="1">
        <f t="shared" si="129"/>
        <v>47722</v>
      </c>
      <c r="DO370" s="1">
        <f t="shared" si="130"/>
        <v>492346</v>
      </c>
      <c r="DP370" s="1">
        <f t="shared" si="119"/>
        <v>112146</v>
      </c>
      <c r="DQ370" s="1">
        <f t="shared" si="121"/>
        <v>1033</v>
      </c>
      <c r="DR370" s="1">
        <f t="shared" si="131"/>
        <v>14784</v>
      </c>
      <c r="DS370" s="1">
        <f t="shared" si="132"/>
        <v>41371</v>
      </c>
      <c r="DT370" s="1">
        <f t="shared" si="133"/>
        <v>13581</v>
      </c>
      <c r="DU370" s="1">
        <f>SUM(CK370:CL370)</f>
        <v>75210</v>
      </c>
      <c r="DV370" s="1">
        <f>SUM(CM37:CO370)</f>
        <v>122535</v>
      </c>
      <c r="DW370" s="1">
        <f>SUM(CP370, CU370, CV370)</f>
        <v>908</v>
      </c>
      <c r="DX370" s="1">
        <f t="shared" si="122"/>
        <v>1158275</v>
      </c>
      <c r="DZ370" s="1">
        <f t="shared" si="123"/>
        <v>65088</v>
      </c>
      <c r="EA370" s="1">
        <f t="shared" si="134"/>
        <v>73724</v>
      </c>
      <c r="EC370" s="1">
        <f t="shared" si="124"/>
        <v>1297087</v>
      </c>
      <c r="ED370" s="1">
        <f t="shared" si="120"/>
        <v>0</v>
      </c>
      <c r="EE370" s="1"/>
    </row>
    <row r="371" spans="1:135" x14ac:dyDescent="0.25">
      <c r="A371" s="10">
        <v>43497</v>
      </c>
      <c r="B371">
        <v>0</v>
      </c>
      <c r="C371">
        <v>0</v>
      </c>
      <c r="D371">
        <v>0</v>
      </c>
      <c r="E371">
        <v>0</v>
      </c>
      <c r="F371">
        <v>1305</v>
      </c>
      <c r="G371">
        <v>18355</v>
      </c>
      <c r="H371">
        <v>48665</v>
      </c>
      <c r="I371">
        <v>973</v>
      </c>
      <c r="J371">
        <v>2390</v>
      </c>
      <c r="K371">
        <v>1314</v>
      </c>
      <c r="L371">
        <v>33520</v>
      </c>
      <c r="M371">
        <v>1424</v>
      </c>
      <c r="N371">
        <v>805</v>
      </c>
      <c r="O371">
        <v>1720</v>
      </c>
      <c r="P371">
        <v>10976</v>
      </c>
      <c r="Q371">
        <v>264</v>
      </c>
      <c r="R371">
        <v>5914</v>
      </c>
      <c r="S371">
        <v>13962</v>
      </c>
      <c r="T371">
        <v>48</v>
      </c>
      <c r="U371">
        <v>4532</v>
      </c>
      <c r="V371">
        <v>42</v>
      </c>
      <c r="W371">
        <v>15260</v>
      </c>
      <c r="X371">
        <v>438</v>
      </c>
      <c r="Y371">
        <v>5</v>
      </c>
      <c r="Z371">
        <v>6</v>
      </c>
      <c r="AA371">
        <v>1</v>
      </c>
      <c r="AB371">
        <v>74</v>
      </c>
      <c r="AC371">
        <v>27</v>
      </c>
      <c r="AD371">
        <v>24</v>
      </c>
      <c r="AE371">
        <v>16</v>
      </c>
      <c r="AF371">
        <v>45</v>
      </c>
      <c r="AG371">
        <v>124</v>
      </c>
      <c r="AH371">
        <v>2465</v>
      </c>
      <c r="AI371">
        <v>1</v>
      </c>
      <c r="AJ371">
        <v>13011</v>
      </c>
      <c r="AK371">
        <v>112548</v>
      </c>
      <c r="AL371">
        <v>2059</v>
      </c>
      <c r="AM371">
        <v>21642</v>
      </c>
      <c r="AN371">
        <v>22</v>
      </c>
      <c r="AO371">
        <v>91</v>
      </c>
      <c r="AP371">
        <v>11352</v>
      </c>
      <c r="AQ371">
        <v>0</v>
      </c>
      <c r="AR371">
        <v>659</v>
      </c>
      <c r="AS371">
        <v>37</v>
      </c>
      <c r="AT371">
        <v>10902</v>
      </c>
      <c r="AU371">
        <v>2328</v>
      </c>
      <c r="AV371">
        <v>3408</v>
      </c>
      <c r="AW371">
        <v>14964</v>
      </c>
      <c r="AX371">
        <v>63</v>
      </c>
      <c r="AY371">
        <v>10</v>
      </c>
      <c r="AZ371">
        <v>873</v>
      </c>
      <c r="BA371">
        <v>0</v>
      </c>
      <c r="BB371">
        <v>163</v>
      </c>
      <c r="BC371">
        <v>1205</v>
      </c>
      <c r="BD371">
        <v>0</v>
      </c>
      <c r="BE371">
        <v>0</v>
      </c>
      <c r="BF371">
        <v>8349</v>
      </c>
      <c r="BG371">
        <v>0</v>
      </c>
      <c r="BH371">
        <v>0</v>
      </c>
      <c r="BI371">
        <v>0</v>
      </c>
      <c r="BJ371">
        <v>35</v>
      </c>
      <c r="BK371">
        <v>5221</v>
      </c>
      <c r="BL371">
        <v>0</v>
      </c>
      <c r="BM371">
        <v>44</v>
      </c>
      <c r="BN371">
        <v>0</v>
      </c>
      <c r="BO371">
        <v>41375</v>
      </c>
      <c r="BP371">
        <v>81873</v>
      </c>
      <c r="BQ371">
        <v>3205</v>
      </c>
      <c r="BR371">
        <v>21</v>
      </c>
      <c r="BS371">
        <v>27306</v>
      </c>
      <c r="BT371">
        <v>2065</v>
      </c>
      <c r="BU371">
        <v>0</v>
      </c>
      <c r="BV371">
        <v>0</v>
      </c>
      <c r="BW371">
        <v>3</v>
      </c>
      <c r="BX371">
        <v>104</v>
      </c>
      <c r="BY371">
        <v>245</v>
      </c>
      <c r="BZ371">
        <v>0</v>
      </c>
      <c r="CA371">
        <v>28602</v>
      </c>
      <c r="CB371">
        <v>14791</v>
      </c>
      <c r="CC371">
        <v>130888</v>
      </c>
      <c r="CD371">
        <v>289071</v>
      </c>
      <c r="CE371">
        <v>40289</v>
      </c>
      <c r="CF371">
        <v>65522</v>
      </c>
      <c r="CG371">
        <v>0</v>
      </c>
      <c r="CH371">
        <v>7</v>
      </c>
      <c r="CI371">
        <v>0</v>
      </c>
      <c r="CJ371">
        <v>96</v>
      </c>
      <c r="CK371">
        <v>48828</v>
      </c>
      <c r="CL371">
        <v>33798</v>
      </c>
      <c r="CM371">
        <v>108058</v>
      </c>
      <c r="CN371">
        <v>27966</v>
      </c>
      <c r="CO371">
        <v>579</v>
      </c>
      <c r="CP371">
        <v>1351</v>
      </c>
      <c r="CQ371">
        <v>942</v>
      </c>
      <c r="CR371">
        <v>24</v>
      </c>
      <c r="CY371">
        <v>0</v>
      </c>
      <c r="CZ371">
        <v>0</v>
      </c>
      <c r="DA371">
        <v>0</v>
      </c>
      <c r="DB371">
        <v>13</v>
      </c>
      <c r="DC371">
        <v>0</v>
      </c>
      <c r="DD371">
        <v>24</v>
      </c>
      <c r="DE371">
        <f t="shared" si="117"/>
        <v>1320690</v>
      </c>
      <c r="DF371" s="1"/>
      <c r="DG371" s="1">
        <f t="shared" si="125"/>
        <v>960970</v>
      </c>
      <c r="DH371" s="1">
        <f t="shared" si="126"/>
        <v>285913</v>
      </c>
      <c r="DI371" s="1">
        <f t="shared" si="135"/>
        <v>1246883</v>
      </c>
      <c r="DK371" s="1">
        <f t="shared" si="127"/>
        <v>73700</v>
      </c>
      <c r="DL371" s="1">
        <f t="shared" si="118"/>
        <v>149185</v>
      </c>
      <c r="DM371" s="1">
        <f t="shared" si="128"/>
        <v>13962</v>
      </c>
      <c r="DN371" s="1">
        <f t="shared" si="129"/>
        <v>48094</v>
      </c>
      <c r="DO371" s="1">
        <f t="shared" si="130"/>
        <v>494580</v>
      </c>
      <c r="DP371" s="1">
        <f t="shared" si="119"/>
        <v>110438</v>
      </c>
      <c r="DQ371" s="1">
        <f t="shared" si="121"/>
        <v>1070</v>
      </c>
      <c r="DR371" s="1">
        <f t="shared" si="131"/>
        <v>14804</v>
      </c>
      <c r="DS371" s="1">
        <f t="shared" si="132"/>
        <v>41375</v>
      </c>
      <c r="DT371" s="1">
        <f t="shared" si="133"/>
        <v>13573</v>
      </c>
      <c r="DU371" s="1">
        <f t="shared" ref="DU371:DU434" si="136">SUM(CK371:CL371)</f>
        <v>82626</v>
      </c>
      <c r="DV371" s="1">
        <f>SUM(CM371:CO371)</f>
        <v>136603</v>
      </c>
      <c r="DW371" s="1">
        <f t="shared" ref="DW371:DW434" si="137">SUM(CP371, CU371, CV371)</f>
        <v>1351</v>
      </c>
      <c r="DX371" s="1">
        <f t="shared" si="122"/>
        <v>1181361</v>
      </c>
      <c r="DZ371" s="1">
        <f t="shared" si="123"/>
        <v>65522</v>
      </c>
      <c r="EA371" s="1">
        <f t="shared" si="134"/>
        <v>73807</v>
      </c>
      <c r="EC371" s="1">
        <f t="shared" si="124"/>
        <v>1320690</v>
      </c>
      <c r="ED371" s="1">
        <f t="shared" si="120"/>
        <v>0</v>
      </c>
      <c r="EE371" s="1"/>
    </row>
    <row r="372" spans="1:135" x14ac:dyDescent="0.25">
      <c r="A372" s="10">
        <v>43525</v>
      </c>
      <c r="B372">
        <v>0</v>
      </c>
      <c r="C372">
        <v>0</v>
      </c>
      <c r="D372">
        <v>0</v>
      </c>
      <c r="E372">
        <v>0</v>
      </c>
      <c r="F372">
        <v>1269</v>
      </c>
      <c r="G372">
        <v>18250</v>
      </c>
      <c r="H372">
        <v>48232</v>
      </c>
      <c r="I372">
        <v>985</v>
      </c>
      <c r="J372">
        <v>2400</v>
      </c>
      <c r="K372">
        <v>1304</v>
      </c>
      <c r="L372">
        <v>33478</v>
      </c>
      <c r="M372">
        <v>1415</v>
      </c>
      <c r="N372">
        <v>813</v>
      </c>
      <c r="O372">
        <v>1714</v>
      </c>
      <c r="P372">
        <v>11000</v>
      </c>
      <c r="Q372">
        <v>265</v>
      </c>
      <c r="R372">
        <v>6441</v>
      </c>
      <c r="S372">
        <v>13981</v>
      </c>
      <c r="T372">
        <v>47</v>
      </c>
      <c r="U372">
        <v>4511</v>
      </c>
      <c r="V372">
        <v>49</v>
      </c>
      <c r="W372">
        <v>14832</v>
      </c>
      <c r="X372">
        <v>443</v>
      </c>
      <c r="Y372">
        <v>5</v>
      </c>
      <c r="Z372">
        <v>4</v>
      </c>
      <c r="AA372">
        <v>2</v>
      </c>
      <c r="AB372">
        <v>73</v>
      </c>
      <c r="AC372">
        <v>25</v>
      </c>
      <c r="AD372">
        <v>23</v>
      </c>
      <c r="AE372">
        <v>17</v>
      </c>
      <c r="AF372">
        <v>45</v>
      </c>
      <c r="AG372">
        <v>124</v>
      </c>
      <c r="AH372">
        <v>2447</v>
      </c>
      <c r="AI372">
        <v>1</v>
      </c>
      <c r="AJ372">
        <v>12386</v>
      </c>
      <c r="AK372">
        <v>112516</v>
      </c>
      <c r="AL372">
        <v>2059</v>
      </c>
      <c r="AM372">
        <v>21718</v>
      </c>
      <c r="AN372">
        <v>22</v>
      </c>
      <c r="AO372">
        <v>101</v>
      </c>
      <c r="AP372">
        <v>11488</v>
      </c>
      <c r="AQ372">
        <v>0</v>
      </c>
      <c r="AR372">
        <v>611</v>
      </c>
      <c r="AS372">
        <v>39</v>
      </c>
      <c r="AT372">
        <v>10954</v>
      </c>
      <c r="AU372">
        <v>2349</v>
      </c>
      <c r="AV372">
        <v>3604</v>
      </c>
      <c r="AW372">
        <v>14978</v>
      </c>
      <c r="AX372">
        <v>70</v>
      </c>
      <c r="AY372">
        <v>12</v>
      </c>
      <c r="AZ372">
        <v>863</v>
      </c>
      <c r="BA372">
        <v>0</v>
      </c>
      <c r="BB372">
        <v>174</v>
      </c>
      <c r="BC372">
        <v>1227</v>
      </c>
      <c r="BD372">
        <v>0</v>
      </c>
      <c r="BE372">
        <v>0</v>
      </c>
      <c r="BF372">
        <v>8361</v>
      </c>
      <c r="BG372">
        <v>0</v>
      </c>
      <c r="BH372">
        <v>0</v>
      </c>
      <c r="BI372">
        <v>0</v>
      </c>
      <c r="BJ372">
        <v>36</v>
      </c>
      <c r="BK372">
        <v>5208</v>
      </c>
      <c r="BL372">
        <v>0</v>
      </c>
      <c r="BM372">
        <v>39</v>
      </c>
      <c r="BN372">
        <v>0</v>
      </c>
      <c r="BO372">
        <v>40996</v>
      </c>
      <c r="BP372">
        <v>80583</v>
      </c>
      <c r="BQ372">
        <v>3188</v>
      </c>
      <c r="BR372">
        <v>21</v>
      </c>
      <c r="BS372">
        <v>26662</v>
      </c>
      <c r="BT372">
        <v>2089</v>
      </c>
      <c r="BU372">
        <v>3</v>
      </c>
      <c r="BV372">
        <v>0</v>
      </c>
      <c r="BW372">
        <v>3</v>
      </c>
      <c r="BX372">
        <v>93</v>
      </c>
      <c r="BY372">
        <v>253</v>
      </c>
      <c r="BZ372">
        <v>0</v>
      </c>
      <c r="CA372">
        <v>28457</v>
      </c>
      <c r="CB372">
        <v>14452</v>
      </c>
      <c r="CC372">
        <v>130896</v>
      </c>
      <c r="CD372">
        <v>289301</v>
      </c>
      <c r="CE372">
        <v>40089</v>
      </c>
      <c r="CF372">
        <v>65369</v>
      </c>
      <c r="CG372">
        <v>0</v>
      </c>
      <c r="CH372">
        <v>5</v>
      </c>
      <c r="CI372">
        <v>0</v>
      </c>
      <c r="CJ372">
        <v>91</v>
      </c>
      <c r="CK372">
        <v>51849</v>
      </c>
      <c r="CL372">
        <v>35446</v>
      </c>
      <c r="CM372">
        <v>118036</v>
      </c>
      <c r="CN372">
        <v>29408</v>
      </c>
      <c r="CO372">
        <v>616</v>
      </c>
      <c r="CP372">
        <v>1810</v>
      </c>
      <c r="CQ372">
        <v>981</v>
      </c>
      <c r="CR372">
        <v>24</v>
      </c>
      <c r="CY372">
        <v>0</v>
      </c>
      <c r="CZ372">
        <v>0</v>
      </c>
      <c r="DA372">
        <v>0</v>
      </c>
      <c r="DB372">
        <v>13</v>
      </c>
      <c r="DC372">
        <v>0</v>
      </c>
      <c r="DD372">
        <v>23</v>
      </c>
      <c r="DE372">
        <f t="shared" si="117"/>
        <v>1333731</v>
      </c>
      <c r="DF372" s="1"/>
      <c r="DG372" s="1">
        <f t="shared" si="125"/>
        <v>974669</v>
      </c>
      <c r="DH372" s="1">
        <f t="shared" si="126"/>
        <v>285809</v>
      </c>
      <c r="DI372" s="1">
        <f t="shared" si="135"/>
        <v>1260478</v>
      </c>
      <c r="DK372" s="1">
        <f t="shared" si="127"/>
        <v>73752</v>
      </c>
      <c r="DL372" s="1">
        <f t="shared" si="118"/>
        <v>148737</v>
      </c>
      <c r="DM372" s="1">
        <f t="shared" si="128"/>
        <v>13981</v>
      </c>
      <c r="DN372" s="1">
        <f t="shared" si="129"/>
        <v>48330</v>
      </c>
      <c r="DO372" s="1">
        <f t="shared" si="130"/>
        <v>494491</v>
      </c>
      <c r="DP372" s="1">
        <f t="shared" si="119"/>
        <v>108523</v>
      </c>
      <c r="DQ372" s="1">
        <f t="shared" si="121"/>
        <v>1098</v>
      </c>
      <c r="DR372" s="1">
        <f t="shared" si="131"/>
        <v>14461</v>
      </c>
      <c r="DS372" s="1">
        <f t="shared" si="132"/>
        <v>40999</v>
      </c>
      <c r="DT372" s="1">
        <f t="shared" si="133"/>
        <v>13572</v>
      </c>
      <c r="DU372" s="1">
        <f t="shared" si="136"/>
        <v>87295</v>
      </c>
      <c r="DV372" s="1">
        <f>SUM(CM372:CO372)</f>
        <v>148060</v>
      </c>
      <c r="DW372" s="1">
        <f t="shared" si="137"/>
        <v>1810</v>
      </c>
      <c r="DX372" s="1">
        <f t="shared" si="122"/>
        <v>1195109</v>
      </c>
      <c r="DZ372" s="1">
        <f t="shared" si="123"/>
        <v>65369</v>
      </c>
      <c r="EA372" s="1">
        <f t="shared" si="134"/>
        <v>73253</v>
      </c>
      <c r="EC372" s="1">
        <f t="shared" si="124"/>
        <v>1333731</v>
      </c>
      <c r="ED372" s="1">
        <f t="shared" si="120"/>
        <v>0</v>
      </c>
      <c r="EE372" s="1"/>
    </row>
    <row r="373" spans="1:135" x14ac:dyDescent="0.25">
      <c r="A373" s="10">
        <v>43556</v>
      </c>
      <c r="B373">
        <v>0</v>
      </c>
      <c r="C373">
        <v>0</v>
      </c>
      <c r="D373">
        <v>0</v>
      </c>
      <c r="E373">
        <v>0</v>
      </c>
      <c r="F373">
        <v>1278</v>
      </c>
      <c r="G373">
        <v>18172</v>
      </c>
      <c r="H373">
        <v>48051</v>
      </c>
      <c r="I373">
        <v>965</v>
      </c>
      <c r="J373">
        <v>2357</v>
      </c>
      <c r="K373">
        <v>1310</v>
      </c>
      <c r="L373">
        <v>33474</v>
      </c>
      <c r="M373">
        <v>1392</v>
      </c>
      <c r="N373">
        <v>794</v>
      </c>
      <c r="O373">
        <v>1742</v>
      </c>
      <c r="P373">
        <v>11027</v>
      </c>
      <c r="Q373">
        <v>265</v>
      </c>
      <c r="R373">
        <v>6969</v>
      </c>
      <c r="S373">
        <v>14094</v>
      </c>
      <c r="T373">
        <v>56</v>
      </c>
      <c r="U373">
        <v>4573</v>
      </c>
      <c r="V373">
        <v>43</v>
      </c>
      <c r="W373">
        <v>14626</v>
      </c>
      <c r="X373">
        <v>445</v>
      </c>
      <c r="Y373">
        <v>4</v>
      </c>
      <c r="Z373">
        <v>8</v>
      </c>
      <c r="AA373">
        <v>1</v>
      </c>
      <c r="AB373">
        <v>74</v>
      </c>
      <c r="AC373">
        <v>28</v>
      </c>
      <c r="AD373">
        <v>23</v>
      </c>
      <c r="AE373">
        <v>17</v>
      </c>
      <c r="AF373">
        <v>44</v>
      </c>
      <c r="AG373">
        <v>119</v>
      </c>
      <c r="AH373">
        <v>2468</v>
      </c>
      <c r="AI373">
        <v>1</v>
      </c>
      <c r="AJ373">
        <v>11868</v>
      </c>
      <c r="AK373">
        <v>112636</v>
      </c>
      <c r="AL373">
        <v>2067</v>
      </c>
      <c r="AM373">
        <v>21862</v>
      </c>
      <c r="AN373">
        <v>21</v>
      </c>
      <c r="AO373">
        <v>123</v>
      </c>
      <c r="AP373">
        <v>11697</v>
      </c>
      <c r="AQ373">
        <v>0</v>
      </c>
      <c r="AR373">
        <v>550</v>
      </c>
      <c r="AS373">
        <v>39</v>
      </c>
      <c r="AT373">
        <v>11027</v>
      </c>
      <c r="AU373">
        <v>2339</v>
      </c>
      <c r="AV373">
        <v>3799</v>
      </c>
      <c r="AW373">
        <v>15052</v>
      </c>
      <c r="AX373">
        <v>61</v>
      </c>
      <c r="AY373">
        <v>8</v>
      </c>
      <c r="AZ373">
        <v>857</v>
      </c>
      <c r="BA373">
        <v>0</v>
      </c>
      <c r="BB373">
        <v>175</v>
      </c>
      <c r="BC373">
        <v>1237</v>
      </c>
      <c r="BD373">
        <v>0</v>
      </c>
      <c r="BE373">
        <v>0</v>
      </c>
      <c r="BF373">
        <v>8393</v>
      </c>
      <c r="BG373">
        <v>0</v>
      </c>
      <c r="BH373">
        <v>0</v>
      </c>
      <c r="BI373">
        <v>0</v>
      </c>
      <c r="BJ373">
        <v>36</v>
      </c>
      <c r="BK373">
        <v>5223</v>
      </c>
      <c r="BL373">
        <v>0</v>
      </c>
      <c r="BM373">
        <v>27</v>
      </c>
      <c r="BN373">
        <v>0</v>
      </c>
      <c r="BO373">
        <v>40909</v>
      </c>
      <c r="BP373">
        <v>80065</v>
      </c>
      <c r="BQ373">
        <v>3256</v>
      </c>
      <c r="BR373">
        <v>21</v>
      </c>
      <c r="BS373">
        <v>26428</v>
      </c>
      <c r="BT373">
        <v>2041</v>
      </c>
      <c r="BU373">
        <v>0</v>
      </c>
      <c r="BV373">
        <v>0</v>
      </c>
      <c r="BW373">
        <v>3</v>
      </c>
      <c r="BX373">
        <v>8</v>
      </c>
      <c r="BY373">
        <v>247</v>
      </c>
      <c r="BZ373">
        <v>0</v>
      </c>
      <c r="CA373">
        <v>28538</v>
      </c>
      <c r="CB373">
        <v>14283</v>
      </c>
      <c r="CC373">
        <v>131298</v>
      </c>
      <c r="CD373">
        <v>290609</v>
      </c>
      <c r="CE373">
        <v>40279</v>
      </c>
      <c r="CF373">
        <v>65666</v>
      </c>
      <c r="CG373">
        <v>0</v>
      </c>
      <c r="CH373">
        <v>4</v>
      </c>
      <c r="CI373">
        <v>0</v>
      </c>
      <c r="CJ373">
        <v>89</v>
      </c>
      <c r="CK373">
        <v>54504</v>
      </c>
      <c r="CL373">
        <v>37057</v>
      </c>
      <c r="CM373">
        <v>130112</v>
      </c>
      <c r="CN373">
        <v>31042</v>
      </c>
      <c r="CO373">
        <v>675</v>
      </c>
      <c r="CP373">
        <v>2202</v>
      </c>
      <c r="CQ373">
        <v>997</v>
      </c>
      <c r="CR373">
        <v>26</v>
      </c>
      <c r="CY373">
        <v>0</v>
      </c>
      <c r="CZ373">
        <v>0</v>
      </c>
      <c r="DA373">
        <v>0</v>
      </c>
      <c r="DB373">
        <v>13</v>
      </c>
      <c r="DC373">
        <v>0</v>
      </c>
      <c r="DD373">
        <v>23</v>
      </c>
      <c r="DE373">
        <f t="shared" si="117"/>
        <v>1353876</v>
      </c>
      <c r="DF373" s="1"/>
      <c r="DG373" s="1">
        <f t="shared" si="125"/>
        <v>994321</v>
      </c>
      <c r="DH373" s="1">
        <f t="shared" si="126"/>
        <v>286628</v>
      </c>
      <c r="DI373" s="1">
        <f t="shared" si="135"/>
        <v>1280949</v>
      </c>
      <c r="DK373" s="1">
        <f t="shared" si="127"/>
        <v>74167</v>
      </c>
      <c r="DL373" s="1">
        <f t="shared" si="118"/>
        <v>148558</v>
      </c>
      <c r="DM373" s="1">
        <f t="shared" si="128"/>
        <v>14094</v>
      </c>
      <c r="DN373" s="1">
        <f t="shared" si="129"/>
        <v>48778</v>
      </c>
      <c r="DO373" s="1">
        <f t="shared" si="130"/>
        <v>496475</v>
      </c>
      <c r="DP373" s="1">
        <f t="shared" si="119"/>
        <v>107765</v>
      </c>
      <c r="DQ373" s="1">
        <f t="shared" si="121"/>
        <v>1031</v>
      </c>
      <c r="DR373" s="1">
        <f t="shared" si="131"/>
        <v>14295</v>
      </c>
      <c r="DS373" s="1">
        <f t="shared" si="132"/>
        <v>40909</v>
      </c>
      <c r="DT373" s="1">
        <f t="shared" si="133"/>
        <v>13619</v>
      </c>
      <c r="DU373" s="1">
        <f t="shared" si="136"/>
        <v>91561</v>
      </c>
      <c r="DV373" s="1">
        <f>SUM(CM373:CO373)</f>
        <v>161829</v>
      </c>
      <c r="DW373" s="1">
        <f t="shared" si="137"/>
        <v>2202</v>
      </c>
      <c r="DX373" s="1">
        <f t="shared" si="122"/>
        <v>1215283</v>
      </c>
      <c r="DZ373" s="1">
        <f t="shared" si="123"/>
        <v>65666</v>
      </c>
      <c r="EA373" s="1">
        <f t="shared" si="134"/>
        <v>72927</v>
      </c>
      <c r="EC373" s="1">
        <f t="shared" si="124"/>
        <v>1353876</v>
      </c>
      <c r="ED373" s="1">
        <f t="shared" si="120"/>
        <v>0</v>
      </c>
      <c r="EE373" s="1"/>
    </row>
    <row r="374" spans="1:135" x14ac:dyDescent="0.25">
      <c r="A374" s="10">
        <v>43586</v>
      </c>
      <c r="B374">
        <v>0</v>
      </c>
      <c r="C374">
        <v>0</v>
      </c>
      <c r="D374">
        <v>0</v>
      </c>
      <c r="E374">
        <v>0</v>
      </c>
      <c r="F374">
        <v>1293</v>
      </c>
      <c r="G374">
        <v>18290</v>
      </c>
      <c r="H374">
        <v>48299</v>
      </c>
      <c r="I374">
        <v>945</v>
      </c>
      <c r="J374">
        <v>2316</v>
      </c>
      <c r="K374">
        <v>1283</v>
      </c>
      <c r="L374">
        <v>33460</v>
      </c>
      <c r="M374">
        <v>1395</v>
      </c>
      <c r="N374">
        <v>804</v>
      </c>
      <c r="O374">
        <v>1771</v>
      </c>
      <c r="P374">
        <v>11030</v>
      </c>
      <c r="Q374">
        <v>270</v>
      </c>
      <c r="R374">
        <v>7391</v>
      </c>
      <c r="S374">
        <v>14215</v>
      </c>
      <c r="T374">
        <v>52</v>
      </c>
      <c r="U374">
        <v>4578</v>
      </c>
      <c r="V374">
        <v>41</v>
      </c>
      <c r="W374">
        <v>14326</v>
      </c>
      <c r="X374">
        <v>447</v>
      </c>
      <c r="Y374">
        <v>4</v>
      </c>
      <c r="Z374">
        <v>8</v>
      </c>
      <c r="AA374">
        <v>1</v>
      </c>
      <c r="AB374">
        <v>76</v>
      </c>
      <c r="AC374">
        <v>29</v>
      </c>
      <c r="AD374">
        <v>23</v>
      </c>
      <c r="AE374">
        <v>17</v>
      </c>
      <c r="AF374">
        <v>40</v>
      </c>
      <c r="AG374">
        <v>140</v>
      </c>
      <c r="AH374">
        <v>2473</v>
      </c>
      <c r="AI374">
        <v>1</v>
      </c>
      <c r="AJ374">
        <v>11425</v>
      </c>
      <c r="AK374">
        <v>112582</v>
      </c>
      <c r="AL374">
        <v>2058</v>
      </c>
      <c r="AM374">
        <v>21936</v>
      </c>
      <c r="AN374">
        <v>20</v>
      </c>
      <c r="AO374">
        <v>133</v>
      </c>
      <c r="AP374">
        <v>11858</v>
      </c>
      <c r="AQ374">
        <v>0</v>
      </c>
      <c r="AR374">
        <v>526</v>
      </c>
      <c r="AS374">
        <v>38</v>
      </c>
      <c r="AT374">
        <v>11095</v>
      </c>
      <c r="AU374">
        <v>2332</v>
      </c>
      <c r="AV374">
        <v>3989</v>
      </c>
      <c r="AW374">
        <v>15071</v>
      </c>
      <c r="AX374">
        <v>48</v>
      </c>
      <c r="AY374">
        <v>18</v>
      </c>
      <c r="AZ374">
        <v>838</v>
      </c>
      <c r="BA374">
        <v>0</v>
      </c>
      <c r="BB374">
        <v>177</v>
      </c>
      <c r="BC374">
        <v>1257</v>
      </c>
      <c r="BD374">
        <v>0</v>
      </c>
      <c r="BE374">
        <v>0</v>
      </c>
      <c r="BF374">
        <v>8417</v>
      </c>
      <c r="BG374">
        <v>0</v>
      </c>
      <c r="BH374">
        <v>0</v>
      </c>
      <c r="BI374">
        <v>0</v>
      </c>
      <c r="BJ374">
        <v>39</v>
      </c>
      <c r="BK374">
        <v>5278</v>
      </c>
      <c r="BL374">
        <v>0</v>
      </c>
      <c r="BM374">
        <v>14</v>
      </c>
      <c r="BN374">
        <v>0</v>
      </c>
      <c r="BO374">
        <v>41089</v>
      </c>
      <c r="BP374">
        <v>78933</v>
      </c>
      <c r="BQ374">
        <v>3304</v>
      </c>
      <c r="BR374">
        <v>20</v>
      </c>
      <c r="BS374">
        <v>26120</v>
      </c>
      <c r="BT374">
        <v>1977</v>
      </c>
      <c r="BU374">
        <v>0</v>
      </c>
      <c r="BV374">
        <v>0</v>
      </c>
      <c r="BW374">
        <v>3</v>
      </c>
      <c r="BX374">
        <v>5</v>
      </c>
      <c r="BY374">
        <v>237</v>
      </c>
      <c r="BZ374">
        <v>0</v>
      </c>
      <c r="CA374">
        <v>28689</v>
      </c>
      <c r="CB374">
        <v>14439</v>
      </c>
      <c r="CC374">
        <v>131642</v>
      </c>
      <c r="CD374">
        <v>291628</v>
      </c>
      <c r="CE374">
        <v>40190</v>
      </c>
      <c r="CF374">
        <v>65969</v>
      </c>
      <c r="CG374">
        <v>0</v>
      </c>
      <c r="CH374">
        <v>7</v>
      </c>
      <c r="CI374">
        <v>0</v>
      </c>
      <c r="CJ374">
        <v>91</v>
      </c>
      <c r="CK374">
        <v>57144</v>
      </c>
      <c r="CL374">
        <v>38660</v>
      </c>
      <c r="CM374">
        <v>139184</v>
      </c>
      <c r="CN374">
        <v>32566</v>
      </c>
      <c r="CO374">
        <v>637</v>
      </c>
      <c r="CP374">
        <v>2832</v>
      </c>
      <c r="CQ374">
        <v>1023</v>
      </c>
      <c r="CR374">
        <v>24</v>
      </c>
      <c r="CY374">
        <v>0</v>
      </c>
      <c r="CZ374">
        <v>0</v>
      </c>
      <c r="DA374">
        <v>0</v>
      </c>
      <c r="DB374">
        <v>13</v>
      </c>
      <c r="DC374">
        <v>0</v>
      </c>
      <c r="DD374">
        <v>23</v>
      </c>
      <c r="DE374">
        <f t="shared" si="117"/>
        <v>1370580</v>
      </c>
      <c r="DF374" s="1"/>
      <c r="DG374" s="1">
        <f t="shared" si="125"/>
        <v>1010437</v>
      </c>
      <c r="DH374" s="1">
        <f t="shared" si="126"/>
        <v>286913</v>
      </c>
      <c r="DI374" s="1">
        <f t="shared" si="135"/>
        <v>1297350</v>
      </c>
      <c r="DK374" s="1">
        <f t="shared" si="127"/>
        <v>74314</v>
      </c>
      <c r="DL374" s="1">
        <f t="shared" si="118"/>
        <v>148291</v>
      </c>
      <c r="DM374" s="1">
        <f t="shared" si="128"/>
        <v>14215</v>
      </c>
      <c r="DN374" s="1">
        <f t="shared" si="129"/>
        <v>49038</v>
      </c>
      <c r="DO374" s="1">
        <f t="shared" si="130"/>
        <v>497865</v>
      </c>
      <c r="DP374" s="1">
        <f t="shared" si="119"/>
        <v>106342</v>
      </c>
      <c r="DQ374" s="1">
        <f t="shared" si="121"/>
        <v>1052</v>
      </c>
      <c r="DR374" s="1">
        <f t="shared" si="131"/>
        <v>14454</v>
      </c>
      <c r="DS374" s="1">
        <f t="shared" si="132"/>
        <v>41089</v>
      </c>
      <c r="DT374" s="1">
        <f t="shared" ref="DT374:DT437" si="138">BF374+BI374+BK374+BL374+BW374</f>
        <v>13698</v>
      </c>
      <c r="DU374" s="1">
        <f t="shared" si="136"/>
        <v>95804</v>
      </c>
      <c r="DV374" s="1">
        <f t="shared" ref="DV374:DV437" si="139">SUM(CM374:CO374)</f>
        <v>172387</v>
      </c>
      <c r="DW374" s="1">
        <f t="shared" si="137"/>
        <v>2832</v>
      </c>
      <c r="DX374" s="1">
        <f t="shared" si="122"/>
        <v>1231381</v>
      </c>
      <c r="DZ374" s="1">
        <f t="shared" si="123"/>
        <v>65969</v>
      </c>
      <c r="EA374" s="1">
        <f t="shared" si="134"/>
        <v>73230</v>
      </c>
      <c r="EC374" s="1">
        <f t="shared" si="124"/>
        <v>1370580</v>
      </c>
      <c r="ED374" s="1">
        <f t="shared" si="120"/>
        <v>0</v>
      </c>
      <c r="EE374" s="1"/>
    </row>
    <row r="375" spans="1:135" x14ac:dyDescent="0.25">
      <c r="A375" s="10">
        <v>43617</v>
      </c>
      <c r="B375">
        <v>0</v>
      </c>
      <c r="C375">
        <v>0</v>
      </c>
      <c r="D375">
        <v>0</v>
      </c>
      <c r="E375">
        <v>0</v>
      </c>
      <c r="F375">
        <v>1368</v>
      </c>
      <c r="G375">
        <v>18340</v>
      </c>
      <c r="H375">
        <v>48279</v>
      </c>
      <c r="I375">
        <v>927</v>
      </c>
      <c r="J375">
        <v>2307</v>
      </c>
      <c r="K375">
        <v>1298</v>
      </c>
      <c r="L375">
        <v>33482</v>
      </c>
      <c r="M375">
        <v>1382</v>
      </c>
      <c r="N375">
        <v>785</v>
      </c>
      <c r="O375">
        <v>1783</v>
      </c>
      <c r="P375">
        <v>11162</v>
      </c>
      <c r="Q375">
        <v>276</v>
      </c>
      <c r="R375">
        <v>7837</v>
      </c>
      <c r="S375">
        <v>14421</v>
      </c>
      <c r="T375">
        <v>56</v>
      </c>
      <c r="U375">
        <v>4544</v>
      </c>
      <c r="V375">
        <v>45</v>
      </c>
      <c r="W375">
        <v>14090</v>
      </c>
      <c r="X375">
        <v>446</v>
      </c>
      <c r="Y375">
        <v>4</v>
      </c>
      <c r="Z375">
        <v>10</v>
      </c>
      <c r="AA375">
        <v>1</v>
      </c>
      <c r="AB375">
        <v>74</v>
      </c>
      <c r="AC375">
        <v>30</v>
      </c>
      <c r="AD375">
        <v>23</v>
      </c>
      <c r="AE375">
        <v>17</v>
      </c>
      <c r="AF375">
        <v>40</v>
      </c>
      <c r="AG375">
        <v>128</v>
      </c>
      <c r="AH375">
        <v>2477</v>
      </c>
      <c r="AI375">
        <v>1</v>
      </c>
      <c r="AJ375">
        <v>11057</v>
      </c>
      <c r="AK375">
        <v>112624</v>
      </c>
      <c r="AL375">
        <v>2063</v>
      </c>
      <c r="AM375">
        <v>22064</v>
      </c>
      <c r="AN375">
        <v>20</v>
      </c>
      <c r="AO375">
        <v>116</v>
      </c>
      <c r="AP375">
        <v>12012</v>
      </c>
      <c r="AQ375">
        <v>0</v>
      </c>
      <c r="AR375">
        <v>521</v>
      </c>
      <c r="AS375">
        <v>40</v>
      </c>
      <c r="AT375">
        <v>11107</v>
      </c>
      <c r="AU375">
        <v>2354</v>
      </c>
      <c r="AV375">
        <v>4153</v>
      </c>
      <c r="AW375">
        <v>15187</v>
      </c>
      <c r="AX375">
        <v>52</v>
      </c>
      <c r="AY375">
        <v>7</v>
      </c>
      <c r="AZ375">
        <v>841</v>
      </c>
      <c r="BA375">
        <v>0</v>
      </c>
      <c r="BB375">
        <v>169</v>
      </c>
      <c r="BC375">
        <v>1269</v>
      </c>
      <c r="BD375">
        <v>0</v>
      </c>
      <c r="BE375">
        <v>0</v>
      </c>
      <c r="BF375">
        <v>8399</v>
      </c>
      <c r="BG375">
        <v>0</v>
      </c>
      <c r="BH375">
        <v>0</v>
      </c>
      <c r="BI375">
        <v>0</v>
      </c>
      <c r="BJ375">
        <v>37</v>
      </c>
      <c r="BK375">
        <v>5313</v>
      </c>
      <c r="BL375">
        <v>0</v>
      </c>
      <c r="BM375">
        <v>14</v>
      </c>
      <c r="BN375">
        <v>0</v>
      </c>
      <c r="BO375">
        <v>41289</v>
      </c>
      <c r="BP375">
        <v>78439</v>
      </c>
      <c r="BQ375">
        <v>3302</v>
      </c>
      <c r="BR375">
        <v>22</v>
      </c>
      <c r="BS375">
        <v>25934</v>
      </c>
      <c r="BT375">
        <v>1968</v>
      </c>
      <c r="BU375">
        <v>0</v>
      </c>
      <c r="BV375">
        <v>0</v>
      </c>
      <c r="BW375">
        <v>4</v>
      </c>
      <c r="BX375">
        <v>0</v>
      </c>
      <c r="BY375">
        <v>245</v>
      </c>
      <c r="BZ375">
        <v>0</v>
      </c>
      <c r="CA375">
        <v>28760</v>
      </c>
      <c r="CB375">
        <v>14458</v>
      </c>
      <c r="CC375">
        <v>132298</v>
      </c>
      <c r="CD375">
        <v>293134</v>
      </c>
      <c r="CE375">
        <v>40061</v>
      </c>
      <c r="CF375">
        <v>66297</v>
      </c>
      <c r="CG375">
        <v>0</v>
      </c>
      <c r="CH375">
        <v>6</v>
      </c>
      <c r="CI375">
        <v>0</v>
      </c>
      <c r="CJ375">
        <v>89</v>
      </c>
      <c r="CK375">
        <v>59432</v>
      </c>
      <c r="CL375">
        <v>39818</v>
      </c>
      <c r="CM375">
        <v>147106</v>
      </c>
      <c r="CN375">
        <v>33797</v>
      </c>
      <c r="CO375">
        <v>637</v>
      </c>
      <c r="CP375">
        <v>3676</v>
      </c>
      <c r="CQ375">
        <v>1032</v>
      </c>
      <c r="CR375">
        <v>29</v>
      </c>
      <c r="CY375">
        <v>0</v>
      </c>
      <c r="CZ375">
        <v>0</v>
      </c>
      <c r="DA375">
        <v>0</v>
      </c>
      <c r="DB375">
        <v>13</v>
      </c>
      <c r="DC375">
        <v>0</v>
      </c>
      <c r="DD375">
        <v>23</v>
      </c>
      <c r="DE375">
        <f t="shared" si="117"/>
        <v>1386885</v>
      </c>
      <c r="DG375" s="1">
        <f t="shared" si="125"/>
        <v>1025863</v>
      </c>
      <c r="DH375" s="1">
        <f t="shared" si="126"/>
        <v>287718</v>
      </c>
      <c r="DI375" s="1">
        <f t="shared" si="135"/>
        <v>1313581</v>
      </c>
      <c r="DJ375" s="1"/>
      <c r="DK375" s="1">
        <f t="shared" si="127"/>
        <v>74657</v>
      </c>
      <c r="DL375" s="1">
        <f t="shared" si="118"/>
        <v>148150</v>
      </c>
      <c r="DM375" s="1">
        <f t="shared" si="128"/>
        <v>14421</v>
      </c>
      <c r="DN375" s="1">
        <f t="shared" si="129"/>
        <v>49419</v>
      </c>
      <c r="DO375" s="1">
        <f t="shared" si="130"/>
        <v>499968</v>
      </c>
      <c r="DP375" s="1">
        <f t="shared" si="119"/>
        <v>105663</v>
      </c>
      <c r="DQ375" s="1">
        <f t="shared" si="121"/>
        <v>1061</v>
      </c>
      <c r="DR375" s="1">
        <f t="shared" si="131"/>
        <v>14474</v>
      </c>
      <c r="DS375" s="1">
        <f t="shared" si="132"/>
        <v>41289</v>
      </c>
      <c r="DT375" s="1">
        <f t="shared" si="138"/>
        <v>13716</v>
      </c>
      <c r="DU375" s="1">
        <f t="shared" si="136"/>
        <v>99250</v>
      </c>
      <c r="DV375" s="1">
        <f t="shared" si="139"/>
        <v>181540</v>
      </c>
      <c r="DW375" s="1">
        <f t="shared" si="137"/>
        <v>3676</v>
      </c>
      <c r="DX375" s="1">
        <f t="shared" si="122"/>
        <v>1247284</v>
      </c>
      <c r="DY375" s="1"/>
      <c r="DZ375" s="1">
        <f t="shared" si="123"/>
        <v>66297</v>
      </c>
      <c r="EA375" s="1">
        <f t="shared" si="134"/>
        <v>73304</v>
      </c>
      <c r="EC375" s="1">
        <f t="shared" si="124"/>
        <v>1386885</v>
      </c>
      <c r="ED375" s="1">
        <f t="shared" si="120"/>
        <v>0</v>
      </c>
      <c r="EE375" s="1"/>
    </row>
    <row r="376" spans="1:135" x14ac:dyDescent="0.25">
      <c r="A376" s="10">
        <v>43647</v>
      </c>
      <c r="B376">
        <v>0</v>
      </c>
      <c r="C376">
        <v>0</v>
      </c>
      <c r="D376">
        <v>0</v>
      </c>
      <c r="E376">
        <v>0</v>
      </c>
      <c r="F376">
        <v>1413</v>
      </c>
      <c r="G376">
        <v>18415</v>
      </c>
      <c r="H376">
        <v>48474</v>
      </c>
      <c r="I376">
        <v>917</v>
      </c>
      <c r="J376">
        <v>2297</v>
      </c>
      <c r="K376">
        <v>1282</v>
      </c>
      <c r="L376">
        <v>33487</v>
      </c>
      <c r="M376">
        <v>1379</v>
      </c>
      <c r="N376">
        <v>811</v>
      </c>
      <c r="O376">
        <v>1754</v>
      </c>
      <c r="P376">
        <v>11162</v>
      </c>
      <c r="Q376">
        <v>275</v>
      </c>
      <c r="R376">
        <v>7681</v>
      </c>
      <c r="S376">
        <v>14469</v>
      </c>
      <c r="T376">
        <v>61</v>
      </c>
      <c r="U376">
        <v>4567</v>
      </c>
      <c r="V376">
        <v>48</v>
      </c>
      <c r="W376">
        <v>14395</v>
      </c>
      <c r="X376">
        <v>448</v>
      </c>
      <c r="Y376">
        <v>4</v>
      </c>
      <c r="Z376">
        <v>4</v>
      </c>
      <c r="AA376">
        <v>0</v>
      </c>
      <c r="AB376">
        <v>73</v>
      </c>
      <c r="AC376">
        <v>28</v>
      </c>
      <c r="AD376">
        <v>22</v>
      </c>
      <c r="AE376">
        <v>18</v>
      </c>
      <c r="AF376">
        <v>41</v>
      </c>
      <c r="AG376">
        <v>133</v>
      </c>
      <c r="AH376">
        <v>2476</v>
      </c>
      <c r="AI376">
        <v>2</v>
      </c>
      <c r="AJ376">
        <v>10837</v>
      </c>
      <c r="AK376">
        <v>112626</v>
      </c>
      <c r="AL376">
        <v>2043</v>
      </c>
      <c r="AM376">
        <v>22065</v>
      </c>
      <c r="AN376">
        <v>18</v>
      </c>
      <c r="AO376">
        <v>98</v>
      </c>
      <c r="AP376">
        <v>12121</v>
      </c>
      <c r="AQ376">
        <v>0</v>
      </c>
      <c r="AR376">
        <v>510</v>
      </c>
      <c r="AS376">
        <v>41</v>
      </c>
      <c r="AT376">
        <v>10980</v>
      </c>
      <c r="AU376">
        <v>2361</v>
      </c>
      <c r="AV376">
        <v>4151</v>
      </c>
      <c r="AW376">
        <v>15223</v>
      </c>
      <c r="AX376">
        <v>40</v>
      </c>
      <c r="AY376">
        <v>2</v>
      </c>
      <c r="AZ376">
        <v>824</v>
      </c>
      <c r="BA376">
        <v>0</v>
      </c>
      <c r="BB376">
        <v>171</v>
      </c>
      <c r="BC376">
        <v>1271</v>
      </c>
      <c r="BD376">
        <v>0</v>
      </c>
      <c r="BE376">
        <v>0</v>
      </c>
      <c r="BF376">
        <v>8398</v>
      </c>
      <c r="BG376">
        <v>0</v>
      </c>
      <c r="BH376">
        <v>0</v>
      </c>
      <c r="BI376">
        <v>0</v>
      </c>
      <c r="BJ376">
        <v>36</v>
      </c>
      <c r="BK376">
        <v>5301</v>
      </c>
      <c r="BL376">
        <v>1</v>
      </c>
      <c r="BM376">
        <v>12</v>
      </c>
      <c r="BN376">
        <v>0</v>
      </c>
      <c r="BO376">
        <v>41514</v>
      </c>
      <c r="BP376">
        <v>77938</v>
      </c>
      <c r="BQ376">
        <v>2960</v>
      </c>
      <c r="BR376">
        <v>18</v>
      </c>
      <c r="BS376">
        <v>25832</v>
      </c>
      <c r="BT376">
        <v>1816</v>
      </c>
      <c r="BU376">
        <v>0</v>
      </c>
      <c r="BV376">
        <v>0</v>
      </c>
      <c r="BW376">
        <v>4</v>
      </c>
      <c r="BX376">
        <v>0</v>
      </c>
      <c r="BY376">
        <v>247</v>
      </c>
      <c r="BZ376">
        <v>0</v>
      </c>
      <c r="CA376">
        <v>28872</v>
      </c>
      <c r="CB376">
        <v>14262</v>
      </c>
      <c r="CC376">
        <v>132121</v>
      </c>
      <c r="CD376">
        <v>293739</v>
      </c>
      <c r="CE376">
        <v>39891</v>
      </c>
      <c r="CF376">
        <v>66477</v>
      </c>
      <c r="CG376">
        <v>0</v>
      </c>
      <c r="CH376">
        <v>4</v>
      </c>
      <c r="CI376">
        <v>0</v>
      </c>
      <c r="CJ376">
        <v>91</v>
      </c>
      <c r="CK376">
        <v>60381</v>
      </c>
      <c r="CL376">
        <v>40681</v>
      </c>
      <c r="CM376">
        <v>152885</v>
      </c>
      <c r="CN376">
        <v>34800</v>
      </c>
      <c r="CO376">
        <v>522</v>
      </c>
      <c r="CP376">
        <v>4296</v>
      </c>
      <c r="CQ376">
        <v>1069</v>
      </c>
      <c r="CR376">
        <v>30</v>
      </c>
      <c r="CY376">
        <v>0</v>
      </c>
      <c r="CZ376">
        <v>0</v>
      </c>
      <c r="DA376">
        <v>0</v>
      </c>
      <c r="DB376">
        <v>13</v>
      </c>
      <c r="DC376">
        <v>0</v>
      </c>
      <c r="DD376">
        <v>23</v>
      </c>
      <c r="DE376">
        <f t="shared" si="117"/>
        <v>1395716</v>
      </c>
      <c r="DG376" s="1">
        <f t="shared" si="125"/>
        <v>1034412</v>
      </c>
      <c r="DH376" s="1">
        <f t="shared" si="126"/>
        <v>287695</v>
      </c>
      <c r="DI376" s="1">
        <f t="shared" si="135"/>
        <v>1322107</v>
      </c>
      <c r="DJ376" s="1"/>
      <c r="DK376" s="1">
        <f t="shared" si="127"/>
        <v>74809</v>
      </c>
      <c r="DL376" s="1">
        <f t="shared" si="118"/>
        <v>147766</v>
      </c>
      <c r="DM376" s="1">
        <f t="shared" si="128"/>
        <v>14469</v>
      </c>
      <c r="DN376" s="1">
        <f t="shared" si="129"/>
        <v>49548</v>
      </c>
      <c r="DO376" s="1">
        <f t="shared" si="130"/>
        <v>499831</v>
      </c>
      <c r="DP376" s="1">
        <f t="shared" si="119"/>
        <v>105055</v>
      </c>
      <c r="DQ376" s="1">
        <f t="shared" si="121"/>
        <v>1099</v>
      </c>
      <c r="DR376" s="1">
        <f t="shared" si="131"/>
        <v>14270</v>
      </c>
      <c r="DS376" s="1">
        <f t="shared" si="132"/>
        <v>41514</v>
      </c>
      <c r="DT376" s="1">
        <f t="shared" si="138"/>
        <v>13704</v>
      </c>
      <c r="DU376" s="1">
        <f t="shared" si="136"/>
        <v>101062</v>
      </c>
      <c r="DV376" s="1">
        <f t="shared" si="139"/>
        <v>188207</v>
      </c>
      <c r="DW376" s="1">
        <f t="shared" si="137"/>
        <v>4296</v>
      </c>
      <c r="DX376" s="1">
        <f t="shared" si="122"/>
        <v>1255630</v>
      </c>
      <c r="DY376" s="1"/>
      <c r="DZ376" s="1">
        <f t="shared" si="123"/>
        <v>66477</v>
      </c>
      <c r="EA376" s="1">
        <f t="shared" si="134"/>
        <v>73609</v>
      </c>
      <c r="EC376" s="1">
        <f t="shared" si="124"/>
        <v>1395716</v>
      </c>
      <c r="ED376" s="1">
        <f t="shared" si="120"/>
        <v>0</v>
      </c>
      <c r="EE376" s="1"/>
    </row>
    <row r="377" spans="1:135" x14ac:dyDescent="0.25">
      <c r="A377" s="10">
        <v>43678</v>
      </c>
      <c r="B377">
        <v>0</v>
      </c>
      <c r="C377">
        <v>0</v>
      </c>
      <c r="D377">
        <v>0</v>
      </c>
      <c r="E377">
        <v>0</v>
      </c>
      <c r="F377">
        <v>1426</v>
      </c>
      <c r="G377">
        <v>18636</v>
      </c>
      <c r="H377">
        <v>48654</v>
      </c>
      <c r="I377">
        <v>915</v>
      </c>
      <c r="J377">
        <v>2279</v>
      </c>
      <c r="K377">
        <v>1320</v>
      </c>
      <c r="L377">
        <v>33447</v>
      </c>
      <c r="M377">
        <v>1366</v>
      </c>
      <c r="N377">
        <v>844</v>
      </c>
      <c r="O377">
        <v>1758</v>
      </c>
      <c r="P377">
        <v>11057</v>
      </c>
      <c r="Q377">
        <v>272</v>
      </c>
      <c r="R377">
        <v>7385</v>
      </c>
      <c r="S377">
        <v>14591</v>
      </c>
      <c r="T377">
        <v>55</v>
      </c>
      <c r="U377">
        <v>4578</v>
      </c>
      <c r="V377">
        <v>50</v>
      </c>
      <c r="W377">
        <v>14921</v>
      </c>
      <c r="X377">
        <v>452</v>
      </c>
      <c r="Y377">
        <v>4</v>
      </c>
      <c r="Z377">
        <v>5</v>
      </c>
      <c r="AA377">
        <v>0</v>
      </c>
      <c r="AB377">
        <v>74</v>
      </c>
      <c r="AC377">
        <v>24</v>
      </c>
      <c r="AD377">
        <v>23</v>
      </c>
      <c r="AE377">
        <v>19</v>
      </c>
      <c r="AF377">
        <v>42</v>
      </c>
      <c r="AG377">
        <v>149</v>
      </c>
      <c r="AH377">
        <v>2494</v>
      </c>
      <c r="AI377">
        <v>2</v>
      </c>
      <c r="AJ377">
        <v>10758</v>
      </c>
      <c r="AK377">
        <v>112507</v>
      </c>
      <c r="AL377">
        <v>2027</v>
      </c>
      <c r="AM377">
        <v>22173</v>
      </c>
      <c r="AN377">
        <v>16</v>
      </c>
      <c r="AO377">
        <v>66</v>
      </c>
      <c r="AP377">
        <v>12145</v>
      </c>
      <c r="AQ377">
        <v>0</v>
      </c>
      <c r="AR377">
        <v>521</v>
      </c>
      <c r="AS377">
        <v>40</v>
      </c>
      <c r="AT377">
        <v>10845</v>
      </c>
      <c r="AU377">
        <v>2370</v>
      </c>
      <c r="AV377">
        <v>4112</v>
      </c>
      <c r="AW377">
        <v>15218</v>
      </c>
      <c r="AX377">
        <v>57</v>
      </c>
      <c r="AY377">
        <v>6</v>
      </c>
      <c r="AZ377">
        <v>804</v>
      </c>
      <c r="BA377">
        <v>0</v>
      </c>
      <c r="BB377">
        <v>178</v>
      </c>
      <c r="BC377">
        <v>1294</v>
      </c>
      <c r="BD377">
        <v>0</v>
      </c>
      <c r="BE377">
        <v>0</v>
      </c>
      <c r="BF377">
        <v>8392</v>
      </c>
      <c r="BG377">
        <v>0</v>
      </c>
      <c r="BH377">
        <v>0</v>
      </c>
      <c r="BI377">
        <v>0</v>
      </c>
      <c r="BJ377">
        <v>33</v>
      </c>
      <c r="BK377">
        <v>5313</v>
      </c>
      <c r="BL377">
        <v>0</v>
      </c>
      <c r="BM377">
        <v>12</v>
      </c>
      <c r="BN377">
        <v>0</v>
      </c>
      <c r="BO377">
        <v>41557</v>
      </c>
      <c r="BP377">
        <v>77880</v>
      </c>
      <c r="BQ377">
        <v>2628</v>
      </c>
      <c r="BR377">
        <v>20</v>
      </c>
      <c r="BS377">
        <v>25918</v>
      </c>
      <c r="BT377">
        <v>1629</v>
      </c>
      <c r="BU377">
        <v>0</v>
      </c>
      <c r="BV377">
        <v>0</v>
      </c>
      <c r="BW377">
        <v>3</v>
      </c>
      <c r="BX377">
        <v>0</v>
      </c>
      <c r="BY377">
        <v>264</v>
      </c>
      <c r="BZ377">
        <v>0</v>
      </c>
      <c r="CA377">
        <v>28955</v>
      </c>
      <c r="CB377">
        <v>14167</v>
      </c>
      <c r="CC377">
        <v>131998</v>
      </c>
      <c r="CD377">
        <v>294254</v>
      </c>
      <c r="CE377">
        <v>39942</v>
      </c>
      <c r="CF377">
        <v>66531</v>
      </c>
      <c r="CG377">
        <v>0</v>
      </c>
      <c r="CH377">
        <v>4</v>
      </c>
      <c r="CI377">
        <v>0</v>
      </c>
      <c r="CJ377">
        <v>89</v>
      </c>
      <c r="CK377">
        <v>61351</v>
      </c>
      <c r="CL377">
        <v>41496</v>
      </c>
      <c r="CM377">
        <v>159102</v>
      </c>
      <c r="CN377">
        <v>35953</v>
      </c>
      <c r="CO377">
        <v>698</v>
      </c>
      <c r="CP377">
        <v>4558</v>
      </c>
      <c r="CQ377">
        <v>1092</v>
      </c>
      <c r="CR377">
        <v>27</v>
      </c>
      <c r="CY377">
        <v>0</v>
      </c>
      <c r="CZ377">
        <v>0</v>
      </c>
      <c r="DA377">
        <v>0</v>
      </c>
      <c r="DB377">
        <v>13</v>
      </c>
      <c r="DC377">
        <v>0</v>
      </c>
      <c r="DD377">
        <v>23</v>
      </c>
      <c r="DE377">
        <f t="shared" si="117"/>
        <v>1405845</v>
      </c>
      <c r="DG377" s="1">
        <f t="shared" si="125"/>
        <v>1044104</v>
      </c>
      <c r="DH377" s="1">
        <f t="shared" si="126"/>
        <v>287667</v>
      </c>
      <c r="DI377" s="1">
        <f t="shared" si="135"/>
        <v>1331771</v>
      </c>
      <c r="DJ377" s="1"/>
      <c r="DK377" s="1">
        <f t="shared" si="127"/>
        <v>74889</v>
      </c>
      <c r="DL377" s="1">
        <f t="shared" si="118"/>
        <v>147419</v>
      </c>
      <c r="DM377" s="1">
        <f t="shared" si="128"/>
        <v>14591</v>
      </c>
      <c r="DN377" s="1">
        <f t="shared" si="129"/>
        <v>49644</v>
      </c>
      <c r="DO377" s="1">
        <f t="shared" si="130"/>
        <v>499869</v>
      </c>
      <c r="DP377" s="1">
        <f t="shared" si="119"/>
        <v>105110</v>
      </c>
      <c r="DQ377" s="1">
        <f t="shared" si="121"/>
        <v>1119</v>
      </c>
      <c r="DR377" s="1">
        <f t="shared" si="131"/>
        <v>14176</v>
      </c>
      <c r="DS377" s="1">
        <f t="shared" si="132"/>
        <v>41557</v>
      </c>
      <c r="DT377" s="1">
        <f t="shared" si="138"/>
        <v>13708</v>
      </c>
      <c r="DU377" s="1">
        <f t="shared" si="136"/>
        <v>102847</v>
      </c>
      <c r="DV377" s="1">
        <f t="shared" si="139"/>
        <v>195753</v>
      </c>
      <c r="DW377" s="1">
        <f t="shared" si="137"/>
        <v>4558</v>
      </c>
      <c r="DX377" s="1">
        <f t="shared" si="122"/>
        <v>1265240</v>
      </c>
      <c r="DY377" s="1"/>
      <c r="DZ377" s="1">
        <f t="shared" si="123"/>
        <v>66531</v>
      </c>
      <c r="EA377" s="1">
        <f t="shared" si="134"/>
        <v>74074</v>
      </c>
      <c r="EC377" s="1">
        <f t="shared" si="124"/>
        <v>1405845</v>
      </c>
      <c r="ED377" s="1">
        <f t="shared" si="120"/>
        <v>0</v>
      </c>
      <c r="EE377" s="1"/>
    </row>
    <row r="378" spans="1:135" x14ac:dyDescent="0.25">
      <c r="A378" s="10">
        <v>43709</v>
      </c>
      <c r="B378">
        <v>0</v>
      </c>
      <c r="C378">
        <v>0</v>
      </c>
      <c r="D378">
        <v>0</v>
      </c>
      <c r="E378">
        <v>0</v>
      </c>
      <c r="F378">
        <v>1456</v>
      </c>
      <c r="G378">
        <v>19031</v>
      </c>
      <c r="H378">
        <v>49235</v>
      </c>
      <c r="I378">
        <v>904</v>
      </c>
      <c r="J378">
        <v>2343</v>
      </c>
      <c r="K378">
        <v>1350</v>
      </c>
      <c r="L378">
        <v>33497</v>
      </c>
      <c r="M378">
        <v>1370</v>
      </c>
      <c r="N378">
        <v>874</v>
      </c>
      <c r="O378">
        <v>1753</v>
      </c>
      <c r="P378">
        <v>11114</v>
      </c>
      <c r="Q378">
        <v>272</v>
      </c>
      <c r="R378">
        <v>7209</v>
      </c>
      <c r="S378">
        <v>14649</v>
      </c>
      <c r="T378">
        <v>53</v>
      </c>
      <c r="U378">
        <v>4617</v>
      </c>
      <c r="V378">
        <v>54</v>
      </c>
      <c r="W378">
        <v>15363</v>
      </c>
      <c r="X378">
        <v>457</v>
      </c>
      <c r="Y378">
        <v>4</v>
      </c>
      <c r="Z378">
        <v>3</v>
      </c>
      <c r="AA378">
        <v>0</v>
      </c>
      <c r="AB378">
        <v>72</v>
      </c>
      <c r="AC378">
        <v>24</v>
      </c>
      <c r="AD378">
        <v>24</v>
      </c>
      <c r="AE378">
        <v>19</v>
      </c>
      <c r="AF378">
        <v>42</v>
      </c>
      <c r="AG378">
        <v>160</v>
      </c>
      <c r="AH378">
        <v>2524</v>
      </c>
      <c r="AI378">
        <v>2</v>
      </c>
      <c r="AJ378">
        <v>10638</v>
      </c>
      <c r="AK378">
        <v>112543</v>
      </c>
      <c r="AL378">
        <v>2037</v>
      </c>
      <c r="AM378">
        <v>22320</v>
      </c>
      <c r="AN378">
        <v>14</v>
      </c>
      <c r="AO378">
        <v>61</v>
      </c>
      <c r="AP378">
        <v>12191</v>
      </c>
      <c r="AQ378">
        <v>0</v>
      </c>
      <c r="AR378">
        <v>520</v>
      </c>
      <c r="AS378">
        <v>39</v>
      </c>
      <c r="AT378">
        <v>10743</v>
      </c>
      <c r="AU378">
        <v>2366</v>
      </c>
      <c r="AV378">
        <v>4058</v>
      </c>
      <c r="AW378">
        <v>15196</v>
      </c>
      <c r="AX378">
        <v>58</v>
      </c>
      <c r="AY378">
        <v>2</v>
      </c>
      <c r="AZ378">
        <v>795</v>
      </c>
      <c r="BA378">
        <v>0</v>
      </c>
      <c r="BB378">
        <v>183</v>
      </c>
      <c r="BC378">
        <v>1398</v>
      </c>
      <c r="BD378">
        <v>0</v>
      </c>
      <c r="BE378">
        <v>0</v>
      </c>
      <c r="BF378">
        <v>8420</v>
      </c>
      <c r="BG378">
        <v>0</v>
      </c>
      <c r="BH378">
        <v>0</v>
      </c>
      <c r="BI378">
        <v>0</v>
      </c>
      <c r="BJ378">
        <v>27</v>
      </c>
      <c r="BK378">
        <v>5280</v>
      </c>
      <c r="BL378">
        <v>0</v>
      </c>
      <c r="BM378">
        <v>14</v>
      </c>
      <c r="BN378">
        <v>0</v>
      </c>
      <c r="BO378">
        <v>41635</v>
      </c>
      <c r="BP378">
        <v>78101</v>
      </c>
      <c r="BQ378">
        <v>2352</v>
      </c>
      <c r="BR378">
        <v>19</v>
      </c>
      <c r="BS378">
        <v>25981</v>
      </c>
      <c r="BT378">
        <v>1457</v>
      </c>
      <c r="BU378">
        <v>0</v>
      </c>
      <c r="BV378">
        <v>0</v>
      </c>
      <c r="BW378">
        <v>1</v>
      </c>
      <c r="BX378">
        <v>0</v>
      </c>
      <c r="BY378">
        <v>277</v>
      </c>
      <c r="BZ378">
        <v>0</v>
      </c>
      <c r="CA378">
        <v>29010</v>
      </c>
      <c r="CB378">
        <v>14576</v>
      </c>
      <c r="CC378">
        <v>132045</v>
      </c>
      <c r="CD378">
        <v>294621</v>
      </c>
      <c r="CE378">
        <v>39841</v>
      </c>
      <c r="CF378">
        <v>66658</v>
      </c>
      <c r="CG378">
        <v>0</v>
      </c>
      <c r="CH378">
        <v>9</v>
      </c>
      <c r="CI378">
        <v>0</v>
      </c>
      <c r="CJ378">
        <v>89</v>
      </c>
      <c r="CK378">
        <v>61997</v>
      </c>
      <c r="CL378">
        <v>42337</v>
      </c>
      <c r="CM378">
        <v>165236</v>
      </c>
      <c r="CN378">
        <v>37068</v>
      </c>
      <c r="CO378">
        <v>556</v>
      </c>
      <c r="CP378">
        <v>5432</v>
      </c>
      <c r="CQ378">
        <v>1015</v>
      </c>
      <c r="CR378">
        <v>33</v>
      </c>
      <c r="CY378">
        <v>0</v>
      </c>
      <c r="CZ378">
        <v>0</v>
      </c>
      <c r="DA378">
        <v>0</v>
      </c>
      <c r="DB378">
        <v>13</v>
      </c>
      <c r="DC378">
        <v>0</v>
      </c>
      <c r="DD378">
        <v>23</v>
      </c>
      <c r="DE378">
        <f t="shared" si="117"/>
        <v>1417724</v>
      </c>
      <c r="DG378" s="1">
        <f t="shared" si="125"/>
        <v>1054497</v>
      </c>
      <c r="DH378" s="1">
        <f t="shared" si="126"/>
        <v>288034</v>
      </c>
      <c r="DI378" s="1">
        <f t="shared" si="135"/>
        <v>1342531</v>
      </c>
      <c r="DJ378" s="1"/>
      <c r="DK378" s="1">
        <f t="shared" si="127"/>
        <v>75302</v>
      </c>
      <c r="DL378" s="1">
        <f t="shared" si="118"/>
        <v>147222</v>
      </c>
      <c r="DM378" s="1">
        <f t="shared" si="128"/>
        <v>14649</v>
      </c>
      <c r="DN378" s="1">
        <f t="shared" si="129"/>
        <v>49810</v>
      </c>
      <c r="DO378" s="1">
        <f t="shared" si="130"/>
        <v>499796</v>
      </c>
      <c r="DP378" s="1">
        <f t="shared" si="119"/>
        <v>105496</v>
      </c>
      <c r="DQ378" s="1">
        <f t="shared" si="121"/>
        <v>1048</v>
      </c>
      <c r="DR378" s="1">
        <f t="shared" si="131"/>
        <v>14588</v>
      </c>
      <c r="DS378" s="1">
        <f t="shared" si="132"/>
        <v>41635</v>
      </c>
      <c r="DT378" s="1">
        <f t="shared" si="138"/>
        <v>13701</v>
      </c>
      <c r="DU378" s="1">
        <f t="shared" si="136"/>
        <v>104334</v>
      </c>
      <c r="DV378" s="1">
        <f t="shared" si="139"/>
        <v>202860</v>
      </c>
      <c r="DW378" s="1">
        <f t="shared" si="137"/>
        <v>5432</v>
      </c>
      <c r="DX378" s="1">
        <f t="shared" si="122"/>
        <v>1275873</v>
      </c>
      <c r="DY378" s="1"/>
      <c r="DZ378" s="1">
        <f t="shared" si="123"/>
        <v>66658</v>
      </c>
      <c r="EA378" s="1">
        <f t="shared" si="134"/>
        <v>75193</v>
      </c>
      <c r="EC378" s="1">
        <f t="shared" si="124"/>
        <v>1417724</v>
      </c>
      <c r="ED378" s="1">
        <f t="shared" si="120"/>
        <v>0</v>
      </c>
      <c r="EE378" s="1"/>
    </row>
    <row r="379" spans="1:135" x14ac:dyDescent="0.25">
      <c r="A379" s="10">
        <v>43739</v>
      </c>
      <c r="B379">
        <v>0</v>
      </c>
      <c r="C379">
        <v>0</v>
      </c>
      <c r="D379">
        <v>0</v>
      </c>
      <c r="E379">
        <v>0</v>
      </c>
      <c r="F379">
        <v>1467</v>
      </c>
      <c r="G379">
        <v>19121</v>
      </c>
      <c r="H379">
        <v>49741</v>
      </c>
      <c r="I379">
        <v>911</v>
      </c>
      <c r="J379">
        <v>2382</v>
      </c>
      <c r="K379">
        <v>1350</v>
      </c>
      <c r="L379">
        <v>33578</v>
      </c>
      <c r="M379">
        <v>1378</v>
      </c>
      <c r="N379">
        <v>888</v>
      </c>
      <c r="O379">
        <v>1752</v>
      </c>
      <c r="P379">
        <v>11100</v>
      </c>
      <c r="Q379">
        <v>276</v>
      </c>
      <c r="R379">
        <v>7021</v>
      </c>
      <c r="S379">
        <v>14679</v>
      </c>
      <c r="T379">
        <v>56</v>
      </c>
      <c r="U379">
        <v>4674</v>
      </c>
      <c r="V379">
        <v>54</v>
      </c>
      <c r="W379">
        <v>15705</v>
      </c>
      <c r="X379">
        <v>457</v>
      </c>
      <c r="Y379">
        <v>3</v>
      </c>
      <c r="Z379">
        <v>2</v>
      </c>
      <c r="AA379">
        <v>0</v>
      </c>
      <c r="AB379">
        <v>74</v>
      </c>
      <c r="AC379">
        <v>24</v>
      </c>
      <c r="AD379">
        <v>24</v>
      </c>
      <c r="AE379">
        <v>18</v>
      </c>
      <c r="AF379">
        <v>43</v>
      </c>
      <c r="AG379">
        <v>167</v>
      </c>
      <c r="AH379">
        <v>2541</v>
      </c>
      <c r="AI379">
        <v>2</v>
      </c>
      <c r="AJ379">
        <v>10571</v>
      </c>
      <c r="AK379">
        <v>112552</v>
      </c>
      <c r="AL379">
        <v>2023</v>
      </c>
      <c r="AM379">
        <v>22313</v>
      </c>
      <c r="AN379">
        <v>12</v>
      </c>
      <c r="AO379">
        <v>50</v>
      </c>
      <c r="AP379">
        <v>12270</v>
      </c>
      <c r="AQ379">
        <v>0</v>
      </c>
      <c r="AR379">
        <v>502</v>
      </c>
      <c r="AS379">
        <v>40</v>
      </c>
      <c r="AT379">
        <v>10675</v>
      </c>
      <c r="AU379">
        <v>2372</v>
      </c>
      <c r="AV379">
        <v>4024</v>
      </c>
      <c r="AW379">
        <v>15138</v>
      </c>
      <c r="AX379">
        <v>63</v>
      </c>
      <c r="AY379">
        <v>1</v>
      </c>
      <c r="AZ379">
        <v>777</v>
      </c>
      <c r="BA379">
        <v>0</v>
      </c>
      <c r="BB379">
        <v>188</v>
      </c>
      <c r="BC379">
        <v>1422</v>
      </c>
      <c r="BD379">
        <v>0</v>
      </c>
      <c r="BE379">
        <v>0</v>
      </c>
      <c r="BF379">
        <v>8432</v>
      </c>
      <c r="BG379">
        <v>0</v>
      </c>
      <c r="BH379">
        <v>0</v>
      </c>
      <c r="BI379">
        <v>0</v>
      </c>
      <c r="BJ379">
        <v>23</v>
      </c>
      <c r="BK379">
        <v>5282</v>
      </c>
      <c r="BL379">
        <v>0</v>
      </c>
      <c r="BM379">
        <v>11</v>
      </c>
      <c r="BN379">
        <v>0</v>
      </c>
      <c r="BO379">
        <v>42114</v>
      </c>
      <c r="BP379">
        <v>78906</v>
      </c>
      <c r="BQ379">
        <v>2039</v>
      </c>
      <c r="BR379">
        <v>24</v>
      </c>
      <c r="BS379">
        <v>26202</v>
      </c>
      <c r="BT379">
        <v>1349</v>
      </c>
      <c r="BU379">
        <v>0</v>
      </c>
      <c r="BV379">
        <v>0</v>
      </c>
      <c r="BW379">
        <v>1</v>
      </c>
      <c r="BX379">
        <v>0</v>
      </c>
      <c r="BY379">
        <v>259</v>
      </c>
      <c r="BZ379">
        <v>0</v>
      </c>
      <c r="CA379">
        <v>29015</v>
      </c>
      <c r="CB379">
        <v>13924</v>
      </c>
      <c r="CC379">
        <v>132047</v>
      </c>
      <c r="CD379">
        <v>295629</v>
      </c>
      <c r="CE379">
        <v>40023</v>
      </c>
      <c r="CF379">
        <v>67165</v>
      </c>
      <c r="CG379">
        <v>0</v>
      </c>
      <c r="CH379">
        <v>7</v>
      </c>
      <c r="CI379">
        <v>0</v>
      </c>
      <c r="CJ379">
        <v>88</v>
      </c>
      <c r="CK379">
        <v>63246</v>
      </c>
      <c r="CL379">
        <v>43230</v>
      </c>
      <c r="CM379">
        <v>171170</v>
      </c>
      <c r="CN379">
        <v>37856</v>
      </c>
      <c r="CO379">
        <v>488</v>
      </c>
      <c r="CP379">
        <v>7030</v>
      </c>
      <c r="CQ379">
        <v>1104</v>
      </c>
      <c r="CR379">
        <v>33</v>
      </c>
      <c r="CY379">
        <v>0</v>
      </c>
      <c r="CZ379">
        <v>0</v>
      </c>
      <c r="DA379">
        <v>0</v>
      </c>
      <c r="DB379">
        <v>13</v>
      </c>
      <c r="DC379">
        <v>0</v>
      </c>
      <c r="DD379">
        <v>23</v>
      </c>
      <c r="DE379">
        <f t="shared" si="117"/>
        <v>1431178</v>
      </c>
      <c r="DG379" s="1">
        <f t="shared" ref="DG379:DG410" si="140">SUM(AX379:AY379,BC379:CP379,CU379:CX379)</f>
        <v>1067046</v>
      </c>
      <c r="DH379" s="1">
        <f t="shared" ref="DH379:DH410" si="141">SUM(L379:M379,O379:AW379,AZ379:BB379)+CQ379+CR379</f>
        <v>288272</v>
      </c>
      <c r="DI379" s="1">
        <f t="shared" si="135"/>
        <v>1355318</v>
      </c>
      <c r="DJ379" s="1"/>
      <c r="DK379" s="1">
        <f t="shared" ref="DK379:DK410" si="142">SUM(L379:M379,O379:R379,T379:W379)</f>
        <v>75594</v>
      </c>
      <c r="DL379" s="1">
        <f t="shared" si="118"/>
        <v>147046</v>
      </c>
      <c r="DM379" s="1">
        <f t="shared" ref="DM379:DM410" si="143">S379</f>
        <v>14679</v>
      </c>
      <c r="DN379" s="1">
        <f t="shared" ref="DN379:DN410" si="144">AF379+AW379+AM379+AO379+AP379+AQ379</f>
        <v>49814</v>
      </c>
      <c r="DO379" s="1">
        <f t="shared" ref="DO379:DO410" si="145">SUM(AX379,BE379,BH379,BJ379,BN379,BQ379:BR379,BT379,BV379,BY379:CA379,CC379:CE379,CI379:CJ379)</f>
        <v>500559</v>
      </c>
      <c r="DP379" s="1">
        <f t="shared" si="119"/>
        <v>106542</v>
      </c>
      <c r="DQ379" s="1">
        <f t="shared" si="121"/>
        <v>1137</v>
      </c>
      <c r="DR379" s="1">
        <f t="shared" ref="DR379:DR410" si="146">CB379+CH379+Z379</f>
        <v>13933</v>
      </c>
      <c r="DS379" s="1">
        <f t="shared" ref="DS379:DS410" si="147">BO379+BU379</f>
        <v>42114</v>
      </c>
      <c r="DT379" s="1">
        <f t="shared" si="138"/>
        <v>13715</v>
      </c>
      <c r="DU379" s="1">
        <f t="shared" si="136"/>
        <v>106476</v>
      </c>
      <c r="DV379" s="1">
        <f t="shared" si="139"/>
        <v>209514</v>
      </c>
      <c r="DW379" s="1">
        <f t="shared" si="137"/>
        <v>7030</v>
      </c>
      <c r="DX379" s="1">
        <f t="shared" si="122"/>
        <v>1288153</v>
      </c>
      <c r="DY379" s="1"/>
      <c r="DZ379" s="1">
        <f t="shared" si="123"/>
        <v>67165</v>
      </c>
      <c r="EA379" s="1">
        <f t="shared" ref="EA379:EA410" si="148">SUM(F379:K379,N379,CS379:CT379)</f>
        <v>75860</v>
      </c>
      <c r="EC379" s="1">
        <f t="shared" si="124"/>
        <v>1431178</v>
      </c>
      <c r="ED379" s="1">
        <f t="shared" si="120"/>
        <v>0</v>
      </c>
      <c r="EE379" s="1"/>
    </row>
    <row r="380" spans="1:135" x14ac:dyDescent="0.25">
      <c r="A380" s="10">
        <v>43770</v>
      </c>
      <c r="B380">
        <v>0</v>
      </c>
      <c r="C380">
        <v>0</v>
      </c>
      <c r="D380">
        <v>0</v>
      </c>
      <c r="E380">
        <v>0</v>
      </c>
      <c r="F380">
        <v>1466</v>
      </c>
      <c r="G380">
        <v>19238</v>
      </c>
      <c r="H380">
        <v>49767</v>
      </c>
      <c r="I380">
        <v>930</v>
      </c>
      <c r="J380">
        <v>2362</v>
      </c>
      <c r="K380">
        <v>1375</v>
      </c>
      <c r="L380">
        <v>33555</v>
      </c>
      <c r="M380">
        <v>1380</v>
      </c>
      <c r="N380">
        <v>899</v>
      </c>
      <c r="O380">
        <v>1752</v>
      </c>
      <c r="P380">
        <v>11086</v>
      </c>
      <c r="Q380">
        <v>276</v>
      </c>
      <c r="R380">
        <v>6848</v>
      </c>
      <c r="S380">
        <v>14805</v>
      </c>
      <c r="T380">
        <v>47</v>
      </c>
      <c r="U380">
        <v>4652</v>
      </c>
      <c r="V380">
        <v>53</v>
      </c>
      <c r="W380">
        <v>16063</v>
      </c>
      <c r="X380">
        <v>456</v>
      </c>
      <c r="Y380">
        <v>3</v>
      </c>
      <c r="Z380">
        <v>3</v>
      </c>
      <c r="AA380">
        <v>0</v>
      </c>
      <c r="AB380">
        <v>73</v>
      </c>
      <c r="AC380">
        <v>24</v>
      </c>
      <c r="AD380">
        <v>23</v>
      </c>
      <c r="AE380">
        <v>17</v>
      </c>
      <c r="AF380">
        <v>38</v>
      </c>
      <c r="AG380">
        <v>169</v>
      </c>
      <c r="AH380">
        <v>2547</v>
      </c>
      <c r="AI380">
        <v>2</v>
      </c>
      <c r="AJ380">
        <v>10512</v>
      </c>
      <c r="AK380">
        <v>112527</v>
      </c>
      <c r="AL380">
        <v>2014</v>
      </c>
      <c r="AM380">
        <v>22439</v>
      </c>
      <c r="AN380">
        <v>10</v>
      </c>
      <c r="AO380">
        <v>38</v>
      </c>
      <c r="AP380">
        <v>12303</v>
      </c>
      <c r="AQ380">
        <v>0</v>
      </c>
      <c r="AR380">
        <v>470</v>
      </c>
      <c r="AS380">
        <v>40</v>
      </c>
      <c r="AT380">
        <v>10622</v>
      </c>
      <c r="AU380">
        <v>2382</v>
      </c>
      <c r="AV380">
        <v>3984</v>
      </c>
      <c r="AW380">
        <v>15180</v>
      </c>
      <c r="AX380">
        <v>75</v>
      </c>
      <c r="AY380">
        <v>3</v>
      </c>
      <c r="AZ380">
        <v>769</v>
      </c>
      <c r="BA380">
        <v>0</v>
      </c>
      <c r="BB380">
        <v>184</v>
      </c>
      <c r="BC380">
        <v>1470</v>
      </c>
      <c r="BD380">
        <v>0</v>
      </c>
      <c r="BE380">
        <v>0</v>
      </c>
      <c r="BF380">
        <v>8453</v>
      </c>
      <c r="BG380">
        <v>0</v>
      </c>
      <c r="BH380">
        <v>0</v>
      </c>
      <c r="BI380">
        <v>0</v>
      </c>
      <c r="BJ380">
        <v>21</v>
      </c>
      <c r="BK380">
        <v>5314</v>
      </c>
      <c r="BL380">
        <v>0</v>
      </c>
      <c r="BM380">
        <v>5</v>
      </c>
      <c r="BN380">
        <v>0</v>
      </c>
      <c r="BO380">
        <v>42963</v>
      </c>
      <c r="BP380">
        <v>79182</v>
      </c>
      <c r="BQ380">
        <v>1847</v>
      </c>
      <c r="BR380">
        <v>25</v>
      </c>
      <c r="BS380">
        <v>26489</v>
      </c>
      <c r="BT380">
        <v>1276</v>
      </c>
      <c r="BU380">
        <v>0</v>
      </c>
      <c r="BV380">
        <v>0</v>
      </c>
      <c r="BW380">
        <v>1</v>
      </c>
      <c r="BX380">
        <v>0</v>
      </c>
      <c r="BY380">
        <v>254</v>
      </c>
      <c r="BZ380">
        <v>0</v>
      </c>
      <c r="CA380">
        <v>29063</v>
      </c>
      <c r="CB380">
        <v>13662</v>
      </c>
      <c r="CC380">
        <v>132009</v>
      </c>
      <c r="CD380">
        <v>296256</v>
      </c>
      <c r="CE380">
        <v>40534</v>
      </c>
      <c r="CF380">
        <v>67404</v>
      </c>
      <c r="CG380">
        <v>0</v>
      </c>
      <c r="CH380">
        <v>6</v>
      </c>
      <c r="CI380">
        <v>0</v>
      </c>
      <c r="CJ380">
        <v>83</v>
      </c>
      <c r="CK380">
        <v>63838</v>
      </c>
      <c r="CL380">
        <v>43434</v>
      </c>
      <c r="CM380">
        <v>174133</v>
      </c>
      <c r="CN380">
        <v>35722</v>
      </c>
      <c r="CO380">
        <v>508</v>
      </c>
      <c r="CP380">
        <v>9235</v>
      </c>
      <c r="CQ380">
        <v>1243</v>
      </c>
      <c r="CR380">
        <v>41</v>
      </c>
      <c r="CY380">
        <v>0</v>
      </c>
      <c r="CZ380">
        <v>0</v>
      </c>
      <c r="DA380">
        <v>0</v>
      </c>
      <c r="DB380">
        <v>13</v>
      </c>
      <c r="DC380">
        <v>0</v>
      </c>
      <c r="DD380">
        <v>23</v>
      </c>
      <c r="DE380">
        <f t="shared" si="117"/>
        <v>1437932</v>
      </c>
      <c r="DG380" s="1">
        <f t="shared" si="140"/>
        <v>1073265</v>
      </c>
      <c r="DH380" s="1">
        <f t="shared" si="141"/>
        <v>288630</v>
      </c>
      <c r="DI380" s="1">
        <f t="shared" si="135"/>
        <v>1361895</v>
      </c>
      <c r="DJ380" s="1"/>
      <c r="DK380" s="1">
        <f t="shared" si="142"/>
        <v>75712</v>
      </c>
      <c r="DL380" s="1">
        <f t="shared" si="118"/>
        <v>146828</v>
      </c>
      <c r="DM380" s="1">
        <f t="shared" si="143"/>
        <v>14805</v>
      </c>
      <c r="DN380" s="1">
        <f t="shared" si="144"/>
        <v>49998</v>
      </c>
      <c r="DO380" s="1">
        <f t="shared" si="145"/>
        <v>501443</v>
      </c>
      <c r="DP380" s="1">
        <f t="shared" si="119"/>
        <v>107149</v>
      </c>
      <c r="DQ380" s="1">
        <f t="shared" si="121"/>
        <v>1284</v>
      </c>
      <c r="DR380" s="1">
        <f t="shared" si="146"/>
        <v>13671</v>
      </c>
      <c r="DS380" s="1">
        <f t="shared" si="147"/>
        <v>42963</v>
      </c>
      <c r="DT380" s="1">
        <f t="shared" si="138"/>
        <v>13768</v>
      </c>
      <c r="DU380" s="1">
        <f t="shared" si="136"/>
        <v>107272</v>
      </c>
      <c r="DV380" s="1">
        <f t="shared" si="139"/>
        <v>210363</v>
      </c>
      <c r="DW380" s="1">
        <f t="shared" si="137"/>
        <v>9235</v>
      </c>
      <c r="DX380" s="1">
        <f t="shared" si="122"/>
        <v>1294491</v>
      </c>
      <c r="DY380" s="1"/>
      <c r="DZ380" s="1">
        <f t="shared" si="123"/>
        <v>67404</v>
      </c>
      <c r="EA380" s="1">
        <f t="shared" si="148"/>
        <v>76037</v>
      </c>
      <c r="EC380" s="1">
        <f t="shared" si="124"/>
        <v>1437932</v>
      </c>
      <c r="ED380" s="1">
        <f t="shared" si="120"/>
        <v>0</v>
      </c>
      <c r="EE380" s="1"/>
    </row>
    <row r="381" spans="1:135" x14ac:dyDescent="0.25">
      <c r="A381" s="10">
        <v>43800</v>
      </c>
      <c r="B381">
        <v>0</v>
      </c>
      <c r="C381">
        <v>0</v>
      </c>
      <c r="D381">
        <v>0</v>
      </c>
      <c r="E381">
        <v>0</v>
      </c>
      <c r="F381">
        <v>1591</v>
      </c>
      <c r="G381">
        <v>19315</v>
      </c>
      <c r="H381">
        <v>49379</v>
      </c>
      <c r="I381">
        <v>948</v>
      </c>
      <c r="J381">
        <v>2375</v>
      </c>
      <c r="K381">
        <v>1409</v>
      </c>
      <c r="L381">
        <v>33646</v>
      </c>
      <c r="M381">
        <v>1371</v>
      </c>
      <c r="N381">
        <v>889</v>
      </c>
      <c r="O381">
        <v>1782</v>
      </c>
      <c r="P381">
        <v>11067</v>
      </c>
      <c r="Q381">
        <v>277</v>
      </c>
      <c r="R381">
        <v>6677</v>
      </c>
      <c r="S381">
        <v>14829</v>
      </c>
      <c r="T381">
        <v>51</v>
      </c>
      <c r="U381">
        <v>4691</v>
      </c>
      <c r="V381">
        <v>45</v>
      </c>
      <c r="W381">
        <v>16331</v>
      </c>
      <c r="X381">
        <v>464</v>
      </c>
      <c r="Y381">
        <v>3</v>
      </c>
      <c r="Z381">
        <v>3</v>
      </c>
      <c r="AA381">
        <v>0</v>
      </c>
      <c r="AB381">
        <v>76</v>
      </c>
      <c r="AC381">
        <v>24</v>
      </c>
      <c r="AD381">
        <v>24</v>
      </c>
      <c r="AE381">
        <v>17</v>
      </c>
      <c r="AF381">
        <v>40</v>
      </c>
      <c r="AG381">
        <v>153</v>
      </c>
      <c r="AH381">
        <v>2578</v>
      </c>
      <c r="AI381">
        <v>2</v>
      </c>
      <c r="AJ381">
        <v>10496</v>
      </c>
      <c r="AK381">
        <v>112466</v>
      </c>
      <c r="AL381">
        <v>2025</v>
      </c>
      <c r="AM381">
        <v>22487</v>
      </c>
      <c r="AN381">
        <v>9</v>
      </c>
      <c r="AO381">
        <v>31</v>
      </c>
      <c r="AP381">
        <v>12349</v>
      </c>
      <c r="AQ381">
        <v>0</v>
      </c>
      <c r="AR381">
        <v>455</v>
      </c>
      <c r="AS381">
        <v>38</v>
      </c>
      <c r="AT381">
        <v>10517</v>
      </c>
      <c r="AU381">
        <v>2395</v>
      </c>
      <c r="AV381">
        <v>3951</v>
      </c>
      <c r="AW381">
        <v>15228</v>
      </c>
      <c r="AX381">
        <v>44</v>
      </c>
      <c r="AY381">
        <v>3</v>
      </c>
      <c r="AZ381">
        <v>761</v>
      </c>
      <c r="BA381">
        <v>0</v>
      </c>
      <c r="BB381">
        <v>177</v>
      </c>
      <c r="BC381">
        <v>1493</v>
      </c>
      <c r="BD381">
        <v>0</v>
      </c>
      <c r="BE381">
        <v>0</v>
      </c>
      <c r="BF381">
        <v>8487</v>
      </c>
      <c r="BG381">
        <v>0</v>
      </c>
      <c r="BH381">
        <v>0</v>
      </c>
      <c r="BI381">
        <v>0</v>
      </c>
      <c r="BJ381">
        <v>16</v>
      </c>
      <c r="BK381">
        <v>5354</v>
      </c>
      <c r="BL381">
        <v>1</v>
      </c>
      <c r="BM381">
        <v>2</v>
      </c>
      <c r="BN381">
        <v>0</v>
      </c>
      <c r="BO381">
        <v>43647</v>
      </c>
      <c r="BP381">
        <v>79268</v>
      </c>
      <c r="BQ381">
        <v>1650</v>
      </c>
      <c r="BR381">
        <v>23</v>
      </c>
      <c r="BS381">
        <v>26559</v>
      </c>
      <c r="BT381">
        <v>1112</v>
      </c>
      <c r="BU381">
        <v>1</v>
      </c>
      <c r="BV381">
        <v>0</v>
      </c>
      <c r="BW381">
        <v>1</v>
      </c>
      <c r="BX381">
        <v>0</v>
      </c>
      <c r="BY381">
        <v>256</v>
      </c>
      <c r="BZ381">
        <v>0</v>
      </c>
      <c r="CA381">
        <v>30453</v>
      </c>
      <c r="CB381">
        <v>13351</v>
      </c>
      <c r="CC381">
        <v>131946</v>
      </c>
      <c r="CD381">
        <v>297302</v>
      </c>
      <c r="CE381">
        <v>40414</v>
      </c>
      <c r="CF381">
        <v>70767</v>
      </c>
      <c r="CG381">
        <v>0</v>
      </c>
      <c r="CH381">
        <v>6</v>
      </c>
      <c r="CI381">
        <v>0</v>
      </c>
      <c r="CJ381">
        <v>81</v>
      </c>
      <c r="CK381">
        <v>65386</v>
      </c>
      <c r="CL381">
        <v>45532</v>
      </c>
      <c r="CM381">
        <v>180728</v>
      </c>
      <c r="CN381">
        <v>39641</v>
      </c>
      <c r="CO381">
        <v>358</v>
      </c>
      <c r="CP381">
        <v>11402</v>
      </c>
      <c r="CQ381">
        <v>1333</v>
      </c>
      <c r="CR381">
        <v>43</v>
      </c>
      <c r="CY381">
        <v>0</v>
      </c>
      <c r="CZ381">
        <v>0</v>
      </c>
      <c r="DA381">
        <v>0</v>
      </c>
      <c r="DB381">
        <v>13</v>
      </c>
      <c r="DC381">
        <v>0</v>
      </c>
      <c r="DD381">
        <v>23</v>
      </c>
      <c r="DE381">
        <f t="shared" si="117"/>
        <v>1460102</v>
      </c>
      <c r="DG381" s="1">
        <f t="shared" si="140"/>
        <v>1095284</v>
      </c>
      <c r="DH381" s="1">
        <f t="shared" si="141"/>
        <v>288912</v>
      </c>
      <c r="DI381" s="1">
        <f t="shared" si="135"/>
        <v>1384196</v>
      </c>
      <c r="DJ381" s="1"/>
      <c r="DK381" s="1">
        <f t="shared" si="142"/>
        <v>75938</v>
      </c>
      <c r="DL381" s="1">
        <f t="shared" si="118"/>
        <v>146631</v>
      </c>
      <c r="DM381" s="1">
        <f t="shared" si="143"/>
        <v>14829</v>
      </c>
      <c r="DN381" s="1">
        <f t="shared" si="144"/>
        <v>50135</v>
      </c>
      <c r="DO381" s="1">
        <f t="shared" si="145"/>
        <v>503297</v>
      </c>
      <c r="DP381" s="1">
        <f t="shared" si="119"/>
        <v>107325</v>
      </c>
      <c r="DQ381" s="1">
        <f t="shared" si="121"/>
        <v>1376</v>
      </c>
      <c r="DR381" s="1">
        <f t="shared" si="146"/>
        <v>13360</v>
      </c>
      <c r="DS381" s="1">
        <f t="shared" si="147"/>
        <v>43648</v>
      </c>
      <c r="DT381" s="1">
        <f t="shared" si="138"/>
        <v>13843</v>
      </c>
      <c r="DU381" s="1">
        <f t="shared" si="136"/>
        <v>110918</v>
      </c>
      <c r="DV381" s="1">
        <f t="shared" si="139"/>
        <v>220727</v>
      </c>
      <c r="DW381" s="1">
        <f t="shared" si="137"/>
        <v>11402</v>
      </c>
      <c r="DX381" s="1">
        <f t="shared" si="122"/>
        <v>1313429</v>
      </c>
      <c r="DY381" s="1"/>
      <c r="DZ381" s="1">
        <f t="shared" si="123"/>
        <v>70767</v>
      </c>
      <c r="EA381" s="1">
        <f t="shared" si="148"/>
        <v>75906</v>
      </c>
      <c r="EC381" s="1">
        <f t="shared" si="124"/>
        <v>1460102</v>
      </c>
      <c r="ED381" s="1">
        <f t="shared" si="120"/>
        <v>0</v>
      </c>
      <c r="EE381" s="1"/>
    </row>
    <row r="382" spans="1:135" x14ac:dyDescent="0.25">
      <c r="A382" s="10">
        <v>43831</v>
      </c>
      <c r="B382">
        <v>0</v>
      </c>
      <c r="C382">
        <v>0</v>
      </c>
      <c r="D382">
        <v>0</v>
      </c>
      <c r="E382">
        <v>0</v>
      </c>
      <c r="F382">
        <v>1719</v>
      </c>
      <c r="G382">
        <v>19328</v>
      </c>
      <c r="H382">
        <v>49470</v>
      </c>
      <c r="I382">
        <v>915</v>
      </c>
      <c r="J382">
        <v>2336</v>
      </c>
      <c r="K382">
        <v>1406</v>
      </c>
      <c r="L382">
        <v>34177</v>
      </c>
      <c r="M382">
        <v>1383</v>
      </c>
      <c r="N382">
        <v>894</v>
      </c>
      <c r="O382">
        <v>1754</v>
      </c>
      <c r="P382">
        <v>11234</v>
      </c>
      <c r="Q382">
        <v>280</v>
      </c>
      <c r="R382">
        <v>5860</v>
      </c>
      <c r="S382">
        <v>14914</v>
      </c>
      <c r="T382">
        <v>45</v>
      </c>
      <c r="U382">
        <v>4762</v>
      </c>
      <c r="V382">
        <v>47</v>
      </c>
      <c r="W382">
        <v>16954</v>
      </c>
      <c r="X382">
        <v>459</v>
      </c>
      <c r="Y382">
        <v>4</v>
      </c>
      <c r="Z382">
        <v>3</v>
      </c>
      <c r="AA382">
        <v>0</v>
      </c>
      <c r="AB382">
        <v>72</v>
      </c>
      <c r="AC382">
        <v>22</v>
      </c>
      <c r="AD382">
        <v>24</v>
      </c>
      <c r="AE382">
        <v>18</v>
      </c>
      <c r="AF382">
        <v>42</v>
      </c>
      <c r="AG382">
        <v>155</v>
      </c>
      <c r="AH382">
        <v>2561</v>
      </c>
      <c r="AI382">
        <v>1</v>
      </c>
      <c r="AJ382">
        <v>10616</v>
      </c>
      <c r="AK382">
        <v>111729</v>
      </c>
      <c r="AL382">
        <v>1982</v>
      </c>
      <c r="AM382">
        <v>22505</v>
      </c>
      <c r="AN382">
        <v>8</v>
      </c>
      <c r="AO382">
        <v>26</v>
      </c>
      <c r="AP382">
        <v>12141</v>
      </c>
      <c r="AQ382">
        <v>0</v>
      </c>
      <c r="AR382">
        <v>472</v>
      </c>
      <c r="AS382">
        <v>35</v>
      </c>
      <c r="AT382">
        <v>10363</v>
      </c>
      <c r="AU382">
        <v>2404</v>
      </c>
      <c r="AV382">
        <v>3612</v>
      </c>
      <c r="AW382">
        <v>15192</v>
      </c>
      <c r="AX382">
        <v>34</v>
      </c>
      <c r="AY382">
        <v>0</v>
      </c>
      <c r="AZ382">
        <v>750</v>
      </c>
      <c r="BA382">
        <v>0</v>
      </c>
      <c r="BB382">
        <v>166</v>
      </c>
      <c r="BC382">
        <v>1505</v>
      </c>
      <c r="BD382">
        <v>0</v>
      </c>
      <c r="BE382">
        <v>0</v>
      </c>
      <c r="BF382">
        <v>8495</v>
      </c>
      <c r="BG382">
        <v>0</v>
      </c>
      <c r="BH382">
        <v>0</v>
      </c>
      <c r="BI382">
        <v>0</v>
      </c>
      <c r="BJ382">
        <v>15</v>
      </c>
      <c r="BK382">
        <v>5373</v>
      </c>
      <c r="BL382">
        <v>0</v>
      </c>
      <c r="BM382">
        <v>0</v>
      </c>
      <c r="BN382">
        <v>0</v>
      </c>
      <c r="BO382">
        <v>44139</v>
      </c>
      <c r="BP382">
        <v>79553</v>
      </c>
      <c r="BQ382">
        <v>1468</v>
      </c>
      <c r="BR382">
        <v>20</v>
      </c>
      <c r="BS382">
        <v>26944</v>
      </c>
      <c r="BT382">
        <v>1036</v>
      </c>
      <c r="BU382">
        <v>1</v>
      </c>
      <c r="BV382">
        <v>0</v>
      </c>
      <c r="BW382">
        <v>0</v>
      </c>
      <c r="BX382">
        <v>0</v>
      </c>
      <c r="BY382">
        <v>264</v>
      </c>
      <c r="BZ382">
        <v>0</v>
      </c>
      <c r="CA382">
        <v>32076</v>
      </c>
      <c r="CB382">
        <v>13148</v>
      </c>
      <c r="CC382">
        <v>132286</v>
      </c>
      <c r="CD382">
        <v>299338</v>
      </c>
      <c r="CE382">
        <v>40714</v>
      </c>
      <c r="CF382">
        <v>75187</v>
      </c>
      <c r="CG382">
        <v>0</v>
      </c>
      <c r="CH382">
        <v>7</v>
      </c>
      <c r="CI382">
        <v>0</v>
      </c>
      <c r="CJ382">
        <v>79</v>
      </c>
      <c r="CK382">
        <v>67536</v>
      </c>
      <c r="CL382">
        <v>48833</v>
      </c>
      <c r="CM382">
        <v>193704</v>
      </c>
      <c r="CN382">
        <v>46990</v>
      </c>
      <c r="CO382">
        <v>355</v>
      </c>
      <c r="CP382">
        <v>14680</v>
      </c>
      <c r="CQ382">
        <v>1448</v>
      </c>
      <c r="CR382">
        <v>36</v>
      </c>
      <c r="CY382">
        <v>0</v>
      </c>
      <c r="CZ382">
        <v>0</v>
      </c>
      <c r="DA382">
        <v>0</v>
      </c>
      <c r="DB382">
        <v>13</v>
      </c>
      <c r="DC382">
        <v>0</v>
      </c>
      <c r="DD382">
        <v>23</v>
      </c>
      <c r="DE382">
        <f t="shared" si="117"/>
        <v>1498104</v>
      </c>
      <c r="DG382" s="1">
        <f t="shared" si="140"/>
        <v>1133780</v>
      </c>
      <c r="DH382" s="1">
        <f t="shared" si="141"/>
        <v>288256</v>
      </c>
      <c r="DI382" s="1">
        <f t="shared" si="135"/>
        <v>1422036</v>
      </c>
      <c r="DJ382" s="1"/>
      <c r="DK382" s="1">
        <f t="shared" si="142"/>
        <v>76496</v>
      </c>
      <c r="DL382" s="1">
        <f t="shared" si="118"/>
        <v>145453</v>
      </c>
      <c r="DM382" s="1">
        <f t="shared" si="143"/>
        <v>14914</v>
      </c>
      <c r="DN382" s="1">
        <f t="shared" si="144"/>
        <v>49906</v>
      </c>
      <c r="DO382" s="1">
        <f t="shared" si="145"/>
        <v>507330</v>
      </c>
      <c r="DP382" s="1">
        <f t="shared" si="119"/>
        <v>108002</v>
      </c>
      <c r="DQ382" s="1">
        <f t="shared" si="121"/>
        <v>1484</v>
      </c>
      <c r="DR382" s="1">
        <f t="shared" si="146"/>
        <v>13158</v>
      </c>
      <c r="DS382" s="1">
        <f t="shared" si="147"/>
        <v>44140</v>
      </c>
      <c r="DT382" s="1">
        <f t="shared" si="138"/>
        <v>13868</v>
      </c>
      <c r="DU382" s="1">
        <f t="shared" si="136"/>
        <v>116369</v>
      </c>
      <c r="DV382" s="1">
        <f t="shared" si="139"/>
        <v>241049</v>
      </c>
      <c r="DW382" s="1">
        <f t="shared" si="137"/>
        <v>14680</v>
      </c>
      <c r="DX382" s="1">
        <f t="shared" si="122"/>
        <v>1346849</v>
      </c>
      <c r="DY382" s="1"/>
      <c r="DZ382" s="1">
        <f t="shared" si="123"/>
        <v>75187</v>
      </c>
      <c r="EA382" s="1">
        <f t="shared" si="148"/>
        <v>76068</v>
      </c>
      <c r="EB382" s="1"/>
      <c r="EC382" s="1">
        <f t="shared" si="124"/>
        <v>1498104</v>
      </c>
      <c r="ED382" s="1">
        <f t="shared" si="120"/>
        <v>0</v>
      </c>
      <c r="EE382" s="1"/>
    </row>
    <row r="383" spans="1:135" x14ac:dyDescent="0.25">
      <c r="A383" s="10">
        <v>43862</v>
      </c>
      <c r="B383">
        <v>0</v>
      </c>
      <c r="C383">
        <v>0</v>
      </c>
      <c r="D383">
        <v>0</v>
      </c>
      <c r="E383">
        <v>0</v>
      </c>
      <c r="F383">
        <v>1687</v>
      </c>
      <c r="G383">
        <v>19385</v>
      </c>
      <c r="H383">
        <v>49994</v>
      </c>
      <c r="I383">
        <v>920</v>
      </c>
      <c r="J383">
        <v>2322</v>
      </c>
      <c r="K383">
        <v>1409</v>
      </c>
      <c r="L383">
        <v>34006</v>
      </c>
      <c r="M383">
        <v>1364</v>
      </c>
      <c r="N383">
        <v>913</v>
      </c>
      <c r="O383">
        <v>1747</v>
      </c>
      <c r="P383">
        <v>11065</v>
      </c>
      <c r="Q383">
        <v>279</v>
      </c>
      <c r="R383">
        <v>5557</v>
      </c>
      <c r="S383">
        <v>14949</v>
      </c>
      <c r="T383">
        <v>54</v>
      </c>
      <c r="U383">
        <v>4726</v>
      </c>
      <c r="V383">
        <v>42</v>
      </c>
      <c r="W383">
        <v>17333</v>
      </c>
      <c r="X383">
        <v>466</v>
      </c>
      <c r="Y383">
        <v>5</v>
      </c>
      <c r="Z383">
        <v>4</v>
      </c>
      <c r="AA383">
        <v>2</v>
      </c>
      <c r="AB383">
        <v>69</v>
      </c>
      <c r="AC383">
        <v>19</v>
      </c>
      <c r="AD383">
        <v>26</v>
      </c>
      <c r="AE383">
        <v>16</v>
      </c>
      <c r="AF383">
        <v>43</v>
      </c>
      <c r="AG383">
        <v>140</v>
      </c>
      <c r="AH383">
        <v>2587</v>
      </c>
      <c r="AI383">
        <v>1</v>
      </c>
      <c r="AJ383">
        <v>10620</v>
      </c>
      <c r="AK383">
        <v>111657</v>
      </c>
      <c r="AL383">
        <v>1959</v>
      </c>
      <c r="AM383">
        <v>22430</v>
      </c>
      <c r="AN383">
        <v>5</v>
      </c>
      <c r="AO383">
        <v>13</v>
      </c>
      <c r="AP383">
        <v>12061</v>
      </c>
      <c r="AQ383">
        <v>0</v>
      </c>
      <c r="AR383">
        <v>482</v>
      </c>
      <c r="AS383">
        <v>38</v>
      </c>
      <c r="AT383">
        <v>10336</v>
      </c>
      <c r="AU383">
        <v>2395</v>
      </c>
      <c r="AV383">
        <v>3592</v>
      </c>
      <c r="AW383">
        <v>15155</v>
      </c>
      <c r="AX383">
        <v>44</v>
      </c>
      <c r="AY383">
        <v>1</v>
      </c>
      <c r="AZ383">
        <v>736</v>
      </c>
      <c r="BA383">
        <v>0</v>
      </c>
      <c r="BB383">
        <v>148</v>
      </c>
      <c r="BC383">
        <v>1543</v>
      </c>
      <c r="BD383">
        <v>0</v>
      </c>
      <c r="BE383">
        <v>0</v>
      </c>
      <c r="BF383">
        <v>8510</v>
      </c>
      <c r="BG383">
        <v>0</v>
      </c>
      <c r="BH383">
        <v>0</v>
      </c>
      <c r="BI383">
        <v>0</v>
      </c>
      <c r="BJ383">
        <v>15</v>
      </c>
      <c r="BK383">
        <v>5347</v>
      </c>
      <c r="BL383">
        <v>2</v>
      </c>
      <c r="BM383">
        <v>7</v>
      </c>
      <c r="BN383">
        <v>0</v>
      </c>
      <c r="BO383">
        <v>45213</v>
      </c>
      <c r="BP383">
        <v>79395</v>
      </c>
      <c r="BQ383">
        <v>1448</v>
      </c>
      <c r="BR383">
        <v>20</v>
      </c>
      <c r="BS383">
        <v>26963</v>
      </c>
      <c r="BT383">
        <v>1002</v>
      </c>
      <c r="BU383">
        <v>2</v>
      </c>
      <c r="BV383">
        <v>0</v>
      </c>
      <c r="BW383">
        <v>0</v>
      </c>
      <c r="BX383">
        <v>0</v>
      </c>
      <c r="BY383">
        <v>268</v>
      </c>
      <c r="BZ383">
        <v>0</v>
      </c>
      <c r="CA383">
        <v>32065</v>
      </c>
      <c r="CB383">
        <v>13263</v>
      </c>
      <c r="CC383">
        <v>132071</v>
      </c>
      <c r="CD383">
        <v>299281</v>
      </c>
      <c r="CE383">
        <v>40982</v>
      </c>
      <c r="CF383">
        <v>75211</v>
      </c>
      <c r="CG383">
        <v>0</v>
      </c>
      <c r="CH383">
        <v>8</v>
      </c>
      <c r="CI383">
        <v>0</v>
      </c>
      <c r="CJ383">
        <v>76</v>
      </c>
      <c r="CK383">
        <v>68004</v>
      </c>
      <c r="CL383">
        <v>49417</v>
      </c>
      <c r="CM383">
        <v>198071</v>
      </c>
      <c r="CN383">
        <v>47730</v>
      </c>
      <c r="CO383">
        <v>500</v>
      </c>
      <c r="CP383">
        <v>18205</v>
      </c>
      <c r="CQ383">
        <v>1563</v>
      </c>
      <c r="CR383">
        <v>40</v>
      </c>
      <c r="CY383">
        <v>0</v>
      </c>
      <c r="CZ383">
        <v>0</v>
      </c>
      <c r="DA383">
        <v>0</v>
      </c>
      <c r="DB383">
        <v>13</v>
      </c>
      <c r="DC383">
        <v>0</v>
      </c>
      <c r="DD383">
        <v>23</v>
      </c>
      <c r="DE383">
        <f t="shared" si="117"/>
        <v>1509024</v>
      </c>
      <c r="DG383" s="1">
        <f t="shared" si="140"/>
        <v>1144664</v>
      </c>
      <c r="DH383" s="1">
        <f t="shared" si="141"/>
        <v>287730</v>
      </c>
      <c r="DI383" s="1">
        <f t="shared" si="135"/>
        <v>1432394</v>
      </c>
      <c r="DJ383" s="1"/>
      <c r="DK383" s="1">
        <f t="shared" si="142"/>
        <v>76173</v>
      </c>
      <c r="DL383" s="1">
        <f t="shared" si="118"/>
        <v>145299</v>
      </c>
      <c r="DM383" s="1">
        <f t="shared" si="143"/>
        <v>14949</v>
      </c>
      <c r="DN383" s="1">
        <f t="shared" si="144"/>
        <v>49702</v>
      </c>
      <c r="DO383" s="1">
        <f t="shared" si="145"/>
        <v>507272</v>
      </c>
      <c r="DP383" s="1">
        <f t="shared" si="119"/>
        <v>107909</v>
      </c>
      <c r="DQ383" s="1">
        <f t="shared" si="121"/>
        <v>1603</v>
      </c>
      <c r="DR383" s="1">
        <f t="shared" si="146"/>
        <v>13275</v>
      </c>
      <c r="DS383" s="1">
        <f t="shared" si="147"/>
        <v>45215</v>
      </c>
      <c r="DT383" s="1">
        <f t="shared" si="138"/>
        <v>13859</v>
      </c>
      <c r="DU383" s="1">
        <f t="shared" si="136"/>
        <v>117421</v>
      </c>
      <c r="DV383" s="1">
        <f t="shared" si="139"/>
        <v>246301</v>
      </c>
      <c r="DW383" s="1">
        <f t="shared" si="137"/>
        <v>18205</v>
      </c>
      <c r="DX383" s="1">
        <f t="shared" si="122"/>
        <v>1357183</v>
      </c>
      <c r="DY383" s="1"/>
      <c r="DZ383" s="1">
        <f t="shared" si="123"/>
        <v>75211</v>
      </c>
      <c r="EA383" s="1">
        <f t="shared" si="148"/>
        <v>76630</v>
      </c>
      <c r="EB383" s="1"/>
      <c r="EC383" s="1">
        <f t="shared" si="124"/>
        <v>1509024</v>
      </c>
      <c r="ED383" s="1">
        <f t="shared" si="120"/>
        <v>0</v>
      </c>
      <c r="EE383" s="1"/>
    </row>
    <row r="384" spans="1:135" x14ac:dyDescent="0.25">
      <c r="A384" s="10">
        <v>43891</v>
      </c>
      <c r="B384">
        <v>0</v>
      </c>
      <c r="C384">
        <v>0</v>
      </c>
      <c r="D384">
        <v>0</v>
      </c>
      <c r="E384">
        <v>0</v>
      </c>
      <c r="F384">
        <v>1563</v>
      </c>
      <c r="G384">
        <v>19477</v>
      </c>
      <c r="H384">
        <v>50179</v>
      </c>
      <c r="I384">
        <v>934</v>
      </c>
      <c r="J384">
        <v>2337</v>
      </c>
      <c r="K384">
        <v>1457</v>
      </c>
      <c r="L384">
        <v>33945</v>
      </c>
      <c r="M384">
        <v>1358</v>
      </c>
      <c r="N384">
        <v>912</v>
      </c>
      <c r="O384">
        <v>1735</v>
      </c>
      <c r="P384">
        <v>10958</v>
      </c>
      <c r="Q384">
        <v>281</v>
      </c>
      <c r="R384">
        <v>5386</v>
      </c>
      <c r="S384">
        <v>14911</v>
      </c>
      <c r="T384">
        <v>47</v>
      </c>
      <c r="U384">
        <v>4693</v>
      </c>
      <c r="V384">
        <v>35</v>
      </c>
      <c r="W384">
        <v>17668</v>
      </c>
      <c r="X384">
        <v>461</v>
      </c>
      <c r="Y384">
        <v>4</v>
      </c>
      <c r="Z384">
        <v>2</v>
      </c>
      <c r="AA384">
        <v>1</v>
      </c>
      <c r="AB384">
        <v>68</v>
      </c>
      <c r="AC384">
        <v>19</v>
      </c>
      <c r="AD384">
        <v>27</v>
      </c>
      <c r="AE384">
        <v>17</v>
      </c>
      <c r="AF384">
        <v>44</v>
      </c>
      <c r="AG384">
        <v>137</v>
      </c>
      <c r="AH384">
        <v>2597</v>
      </c>
      <c r="AI384">
        <v>1</v>
      </c>
      <c r="AJ384">
        <v>10826</v>
      </c>
      <c r="AK384">
        <v>111695</v>
      </c>
      <c r="AL384">
        <v>1938</v>
      </c>
      <c r="AM384">
        <v>22349</v>
      </c>
      <c r="AN384">
        <v>4</v>
      </c>
      <c r="AO384">
        <v>8</v>
      </c>
      <c r="AP384">
        <v>11976</v>
      </c>
      <c r="AQ384">
        <v>0</v>
      </c>
      <c r="AR384">
        <v>478</v>
      </c>
      <c r="AS384">
        <v>39</v>
      </c>
      <c r="AT384">
        <v>10225</v>
      </c>
      <c r="AU384">
        <v>2399</v>
      </c>
      <c r="AV384">
        <v>3501</v>
      </c>
      <c r="AW384">
        <v>15128</v>
      </c>
      <c r="AX384">
        <v>38</v>
      </c>
      <c r="AY384">
        <v>3</v>
      </c>
      <c r="AZ384">
        <v>731</v>
      </c>
      <c r="BA384">
        <v>0</v>
      </c>
      <c r="BB384">
        <v>167</v>
      </c>
      <c r="BC384">
        <v>1549</v>
      </c>
      <c r="BD384">
        <v>0</v>
      </c>
      <c r="BE384">
        <v>0</v>
      </c>
      <c r="BF384">
        <v>8512</v>
      </c>
      <c r="BG384">
        <v>0</v>
      </c>
      <c r="BH384">
        <v>0</v>
      </c>
      <c r="BI384">
        <v>0</v>
      </c>
      <c r="BJ384">
        <v>14</v>
      </c>
      <c r="BK384">
        <v>5334</v>
      </c>
      <c r="BL384">
        <v>1</v>
      </c>
      <c r="BM384">
        <v>6</v>
      </c>
      <c r="BN384">
        <v>0</v>
      </c>
      <c r="BO384">
        <v>45893</v>
      </c>
      <c r="BP384">
        <v>79748</v>
      </c>
      <c r="BQ384">
        <v>1410</v>
      </c>
      <c r="BR384">
        <v>20</v>
      </c>
      <c r="BS384">
        <v>27063</v>
      </c>
      <c r="BT384">
        <v>949</v>
      </c>
      <c r="BU384">
        <v>0</v>
      </c>
      <c r="BV384">
        <v>0</v>
      </c>
      <c r="BW384">
        <v>1</v>
      </c>
      <c r="BX384">
        <v>0</v>
      </c>
      <c r="BY384">
        <v>265</v>
      </c>
      <c r="BZ384">
        <v>0</v>
      </c>
      <c r="CA384">
        <v>32019</v>
      </c>
      <c r="CB384">
        <v>13155</v>
      </c>
      <c r="CC384">
        <v>132271</v>
      </c>
      <c r="CD384">
        <v>299678</v>
      </c>
      <c r="CE384">
        <v>41312</v>
      </c>
      <c r="CF384">
        <v>75329</v>
      </c>
      <c r="CG384">
        <v>0</v>
      </c>
      <c r="CH384">
        <v>11</v>
      </c>
      <c r="CI384">
        <v>0</v>
      </c>
      <c r="CJ384">
        <v>75</v>
      </c>
      <c r="CK384">
        <v>68303</v>
      </c>
      <c r="CL384">
        <v>49637</v>
      </c>
      <c r="CM384">
        <v>202112</v>
      </c>
      <c r="CN384">
        <v>48188</v>
      </c>
      <c r="CO384">
        <v>329</v>
      </c>
      <c r="CP384">
        <v>18420</v>
      </c>
      <c r="CQ384">
        <v>1585</v>
      </c>
      <c r="CR384">
        <v>47</v>
      </c>
      <c r="CY384">
        <v>0</v>
      </c>
      <c r="CZ384">
        <v>0</v>
      </c>
      <c r="DA384">
        <v>0</v>
      </c>
      <c r="DB384">
        <v>13</v>
      </c>
      <c r="DC384">
        <v>0</v>
      </c>
      <c r="DD384">
        <v>23</v>
      </c>
      <c r="DE384">
        <f t="shared" si="117"/>
        <v>1515995</v>
      </c>
      <c r="DG384" s="1">
        <f t="shared" si="140"/>
        <v>1151645</v>
      </c>
      <c r="DH384" s="1">
        <f t="shared" si="141"/>
        <v>287491</v>
      </c>
      <c r="DI384" s="1">
        <f t="shared" si="135"/>
        <v>1439136</v>
      </c>
      <c r="DJ384" s="1"/>
      <c r="DK384" s="1">
        <f t="shared" si="142"/>
        <v>76106</v>
      </c>
      <c r="DL384" s="1">
        <f t="shared" si="118"/>
        <v>145335</v>
      </c>
      <c r="DM384" s="1">
        <f t="shared" si="143"/>
        <v>14911</v>
      </c>
      <c r="DN384" s="1">
        <f t="shared" si="144"/>
        <v>49505</v>
      </c>
      <c r="DO384" s="1">
        <f t="shared" si="145"/>
        <v>508051</v>
      </c>
      <c r="DP384" s="1">
        <f t="shared" si="119"/>
        <v>108369</v>
      </c>
      <c r="DQ384" s="1">
        <f t="shared" si="121"/>
        <v>1632</v>
      </c>
      <c r="DR384" s="1">
        <f t="shared" si="146"/>
        <v>13168</v>
      </c>
      <c r="DS384" s="1">
        <f t="shared" si="147"/>
        <v>45893</v>
      </c>
      <c r="DT384" s="1">
        <f t="shared" si="138"/>
        <v>13848</v>
      </c>
      <c r="DU384" s="1">
        <f t="shared" si="136"/>
        <v>117940</v>
      </c>
      <c r="DV384" s="1">
        <f t="shared" si="139"/>
        <v>250629</v>
      </c>
      <c r="DW384" s="1">
        <f t="shared" si="137"/>
        <v>18420</v>
      </c>
      <c r="DX384" s="1">
        <f t="shared" si="122"/>
        <v>1363807</v>
      </c>
      <c r="DY384" s="1"/>
      <c r="DZ384" s="1">
        <f t="shared" si="123"/>
        <v>75329</v>
      </c>
      <c r="EA384" s="1">
        <f t="shared" si="148"/>
        <v>76859</v>
      </c>
      <c r="EB384" s="1"/>
      <c r="EC384" s="1">
        <f t="shared" si="124"/>
        <v>1515995</v>
      </c>
      <c r="ED384" s="1">
        <f t="shared" si="120"/>
        <v>0</v>
      </c>
      <c r="EE384" s="1"/>
    </row>
    <row r="385" spans="1:135" x14ac:dyDescent="0.25">
      <c r="A385" s="10">
        <v>43922</v>
      </c>
      <c r="B385">
        <v>0</v>
      </c>
      <c r="C385">
        <v>0</v>
      </c>
      <c r="D385">
        <v>0</v>
      </c>
      <c r="E385">
        <v>0</v>
      </c>
      <c r="F385">
        <v>1642</v>
      </c>
      <c r="G385">
        <v>19631</v>
      </c>
      <c r="H385">
        <v>50836</v>
      </c>
      <c r="I385">
        <v>894</v>
      </c>
      <c r="J385">
        <v>2343</v>
      </c>
      <c r="K385">
        <v>1443</v>
      </c>
      <c r="L385">
        <v>33910</v>
      </c>
      <c r="M385">
        <v>1341</v>
      </c>
      <c r="N385">
        <v>927</v>
      </c>
      <c r="O385">
        <v>1747</v>
      </c>
      <c r="P385">
        <v>11093</v>
      </c>
      <c r="Q385">
        <v>281</v>
      </c>
      <c r="R385">
        <v>5265</v>
      </c>
      <c r="S385">
        <v>15036</v>
      </c>
      <c r="T385">
        <v>51</v>
      </c>
      <c r="U385">
        <v>4678</v>
      </c>
      <c r="V385">
        <v>38</v>
      </c>
      <c r="W385">
        <v>18238</v>
      </c>
      <c r="X385">
        <v>459</v>
      </c>
      <c r="Y385">
        <v>4</v>
      </c>
      <c r="Z385">
        <v>1</v>
      </c>
      <c r="AA385">
        <v>1</v>
      </c>
      <c r="AB385">
        <v>70</v>
      </c>
      <c r="AC385">
        <v>21</v>
      </c>
      <c r="AD385">
        <v>26</v>
      </c>
      <c r="AE385">
        <v>15</v>
      </c>
      <c r="AF385">
        <v>43</v>
      </c>
      <c r="AG385">
        <v>149</v>
      </c>
      <c r="AH385">
        <v>2610</v>
      </c>
      <c r="AI385">
        <v>1</v>
      </c>
      <c r="AJ385">
        <v>11129</v>
      </c>
      <c r="AK385">
        <v>111889</v>
      </c>
      <c r="AL385">
        <v>1944</v>
      </c>
      <c r="AM385">
        <v>22474</v>
      </c>
      <c r="AN385">
        <v>7</v>
      </c>
      <c r="AO385">
        <v>8</v>
      </c>
      <c r="AP385">
        <v>12009</v>
      </c>
      <c r="AQ385">
        <v>0</v>
      </c>
      <c r="AR385">
        <v>464</v>
      </c>
      <c r="AS385">
        <v>39</v>
      </c>
      <c r="AT385">
        <v>10242</v>
      </c>
      <c r="AU385">
        <v>2415</v>
      </c>
      <c r="AV385">
        <v>3462</v>
      </c>
      <c r="AW385">
        <v>15220</v>
      </c>
      <c r="AX385">
        <v>13</v>
      </c>
      <c r="AY385">
        <v>1</v>
      </c>
      <c r="AZ385">
        <v>734</v>
      </c>
      <c r="BA385">
        <v>0</v>
      </c>
      <c r="BB385">
        <v>173</v>
      </c>
      <c r="BC385">
        <v>1588</v>
      </c>
      <c r="BD385">
        <v>0</v>
      </c>
      <c r="BE385">
        <v>0</v>
      </c>
      <c r="BF385">
        <v>8514</v>
      </c>
      <c r="BG385">
        <v>0</v>
      </c>
      <c r="BH385">
        <v>0</v>
      </c>
      <c r="BI385">
        <v>0</v>
      </c>
      <c r="BJ385">
        <v>13</v>
      </c>
      <c r="BK385">
        <v>5431</v>
      </c>
      <c r="BL385">
        <v>0</v>
      </c>
      <c r="BM385">
        <v>6</v>
      </c>
      <c r="BN385">
        <v>0</v>
      </c>
      <c r="BO385">
        <v>46520</v>
      </c>
      <c r="BP385">
        <v>80503</v>
      </c>
      <c r="BQ385">
        <v>1405</v>
      </c>
      <c r="BR385">
        <v>19</v>
      </c>
      <c r="BS385">
        <v>27314</v>
      </c>
      <c r="BT385">
        <v>933</v>
      </c>
      <c r="BU385">
        <v>1</v>
      </c>
      <c r="BV385">
        <v>0</v>
      </c>
      <c r="BW385">
        <v>1</v>
      </c>
      <c r="BX385">
        <v>0</v>
      </c>
      <c r="BY385">
        <v>283</v>
      </c>
      <c r="BZ385">
        <v>0</v>
      </c>
      <c r="CA385">
        <v>31927</v>
      </c>
      <c r="CB385">
        <v>13727</v>
      </c>
      <c r="CC385">
        <v>132893</v>
      </c>
      <c r="CD385">
        <v>302504</v>
      </c>
      <c r="CE385">
        <v>41729</v>
      </c>
      <c r="CF385">
        <v>75899</v>
      </c>
      <c r="CG385">
        <v>0</v>
      </c>
      <c r="CH385">
        <v>13</v>
      </c>
      <c r="CI385">
        <v>0</v>
      </c>
      <c r="CJ385">
        <v>70</v>
      </c>
      <c r="CK385">
        <v>68913</v>
      </c>
      <c r="CL385">
        <v>49908</v>
      </c>
      <c r="CM385">
        <v>208585</v>
      </c>
      <c r="CN385">
        <v>49122</v>
      </c>
      <c r="CO385">
        <v>315</v>
      </c>
      <c r="CP385">
        <v>19780</v>
      </c>
      <c r="CQ385">
        <v>1686</v>
      </c>
      <c r="CR385">
        <v>51</v>
      </c>
      <c r="CY385">
        <v>0</v>
      </c>
      <c r="CZ385">
        <v>0</v>
      </c>
      <c r="DA385">
        <v>0</v>
      </c>
      <c r="DB385">
        <v>13</v>
      </c>
      <c r="DC385">
        <v>0</v>
      </c>
      <c r="DD385">
        <v>23</v>
      </c>
      <c r="DE385">
        <f t="shared" si="117"/>
        <v>1534670</v>
      </c>
      <c r="DG385" s="1">
        <f t="shared" si="140"/>
        <v>1167930</v>
      </c>
      <c r="DH385" s="1">
        <f t="shared" si="141"/>
        <v>289024</v>
      </c>
      <c r="DI385" s="1">
        <f t="shared" si="135"/>
        <v>1456954</v>
      </c>
      <c r="DJ385" s="1"/>
      <c r="DK385" s="1">
        <f t="shared" si="142"/>
        <v>76642</v>
      </c>
      <c r="DL385" s="1">
        <f t="shared" si="118"/>
        <v>145854</v>
      </c>
      <c r="DM385" s="1">
        <f t="shared" si="143"/>
        <v>15036</v>
      </c>
      <c r="DN385" s="1">
        <f t="shared" si="144"/>
        <v>49754</v>
      </c>
      <c r="DO385" s="1">
        <f t="shared" si="145"/>
        <v>511789</v>
      </c>
      <c r="DP385" s="1">
        <f t="shared" si="119"/>
        <v>109412</v>
      </c>
      <c r="DQ385" s="1">
        <f t="shared" si="121"/>
        <v>1737</v>
      </c>
      <c r="DR385" s="1">
        <f t="shared" si="146"/>
        <v>13741</v>
      </c>
      <c r="DS385" s="1">
        <f t="shared" si="147"/>
        <v>46521</v>
      </c>
      <c r="DT385" s="1">
        <f t="shared" si="138"/>
        <v>13946</v>
      </c>
      <c r="DU385" s="1">
        <f t="shared" si="136"/>
        <v>118821</v>
      </c>
      <c r="DV385" s="1">
        <f t="shared" si="139"/>
        <v>258022</v>
      </c>
      <c r="DW385" s="1">
        <f t="shared" si="137"/>
        <v>19780</v>
      </c>
      <c r="DX385" s="1">
        <f t="shared" si="122"/>
        <v>1381055</v>
      </c>
      <c r="DY385" s="1"/>
      <c r="DZ385" s="1">
        <f t="shared" si="123"/>
        <v>75899</v>
      </c>
      <c r="EA385" s="1">
        <f t="shared" si="148"/>
        <v>77716</v>
      </c>
      <c r="EB385" s="1"/>
      <c r="EC385" s="1">
        <f t="shared" si="124"/>
        <v>1534670</v>
      </c>
      <c r="ED385" s="1">
        <f t="shared" si="120"/>
        <v>0</v>
      </c>
      <c r="EE385" s="1"/>
    </row>
    <row r="386" spans="1:135" x14ac:dyDescent="0.25">
      <c r="A386" s="10">
        <v>43952</v>
      </c>
      <c r="B386">
        <v>0</v>
      </c>
      <c r="C386">
        <v>0</v>
      </c>
      <c r="D386">
        <v>0</v>
      </c>
      <c r="E386">
        <v>0</v>
      </c>
      <c r="F386">
        <v>1772</v>
      </c>
      <c r="G386">
        <v>19559</v>
      </c>
      <c r="H386">
        <v>51471</v>
      </c>
      <c r="I386">
        <v>933</v>
      </c>
      <c r="J386">
        <v>2397</v>
      </c>
      <c r="K386">
        <v>1496</v>
      </c>
      <c r="L386">
        <v>34175</v>
      </c>
      <c r="M386">
        <v>1337</v>
      </c>
      <c r="N386">
        <v>981</v>
      </c>
      <c r="O386">
        <v>1841</v>
      </c>
      <c r="P386">
        <v>11524</v>
      </c>
      <c r="Q386">
        <v>290</v>
      </c>
      <c r="R386">
        <v>5273</v>
      </c>
      <c r="S386">
        <v>15429</v>
      </c>
      <c r="T386">
        <v>44</v>
      </c>
      <c r="U386">
        <v>4794</v>
      </c>
      <c r="V386">
        <v>47</v>
      </c>
      <c r="W386">
        <v>19207</v>
      </c>
      <c r="X386">
        <v>468</v>
      </c>
      <c r="Y386">
        <v>3</v>
      </c>
      <c r="Z386">
        <v>3</v>
      </c>
      <c r="AA386">
        <v>2</v>
      </c>
      <c r="AB386">
        <v>73</v>
      </c>
      <c r="AC386">
        <v>21</v>
      </c>
      <c r="AD386">
        <v>26</v>
      </c>
      <c r="AE386">
        <v>16</v>
      </c>
      <c r="AF386">
        <v>48</v>
      </c>
      <c r="AG386">
        <v>167</v>
      </c>
      <c r="AH386">
        <v>2636</v>
      </c>
      <c r="AI386">
        <v>1</v>
      </c>
      <c r="AJ386">
        <v>11751</v>
      </c>
      <c r="AK386">
        <v>113005</v>
      </c>
      <c r="AL386">
        <v>1919</v>
      </c>
      <c r="AM386">
        <v>22997</v>
      </c>
      <c r="AN386">
        <v>7</v>
      </c>
      <c r="AO386">
        <v>8</v>
      </c>
      <c r="AP386">
        <v>12272</v>
      </c>
      <c r="AQ386">
        <v>0</v>
      </c>
      <c r="AR386">
        <v>498</v>
      </c>
      <c r="AS386">
        <v>40</v>
      </c>
      <c r="AT386">
        <v>10432</v>
      </c>
      <c r="AU386">
        <v>2464</v>
      </c>
      <c r="AV386">
        <v>3481</v>
      </c>
      <c r="AW386">
        <v>15566</v>
      </c>
      <c r="AX386">
        <v>15</v>
      </c>
      <c r="AY386">
        <v>1</v>
      </c>
      <c r="AZ386">
        <v>756</v>
      </c>
      <c r="BA386">
        <v>0</v>
      </c>
      <c r="BB386">
        <v>193</v>
      </c>
      <c r="BC386">
        <v>1649</v>
      </c>
      <c r="BD386">
        <v>0</v>
      </c>
      <c r="BE386">
        <v>0</v>
      </c>
      <c r="BF386">
        <v>8575</v>
      </c>
      <c r="BG386">
        <v>0</v>
      </c>
      <c r="BH386">
        <v>0</v>
      </c>
      <c r="BI386">
        <v>0</v>
      </c>
      <c r="BJ386">
        <v>14</v>
      </c>
      <c r="BK386">
        <v>5513</v>
      </c>
      <c r="BL386">
        <v>0</v>
      </c>
      <c r="BM386">
        <v>10</v>
      </c>
      <c r="BN386">
        <v>0</v>
      </c>
      <c r="BO386">
        <v>45220</v>
      </c>
      <c r="BP386">
        <v>84437</v>
      </c>
      <c r="BQ386">
        <v>1487</v>
      </c>
      <c r="BR386">
        <v>22</v>
      </c>
      <c r="BS386">
        <v>29677</v>
      </c>
      <c r="BT386">
        <v>1048</v>
      </c>
      <c r="BU386">
        <v>4</v>
      </c>
      <c r="BV386">
        <v>0</v>
      </c>
      <c r="BW386">
        <v>1</v>
      </c>
      <c r="BX386">
        <v>0</v>
      </c>
      <c r="BY386">
        <v>272</v>
      </c>
      <c r="BZ386">
        <v>0</v>
      </c>
      <c r="CA386">
        <v>32003</v>
      </c>
      <c r="CB386">
        <v>15752</v>
      </c>
      <c r="CC386">
        <v>136909</v>
      </c>
      <c r="CD386">
        <v>313174</v>
      </c>
      <c r="CE386">
        <v>43500</v>
      </c>
      <c r="CF386">
        <v>76873</v>
      </c>
      <c r="CG386">
        <v>0</v>
      </c>
      <c r="CH386">
        <v>15</v>
      </c>
      <c r="CI386">
        <v>0</v>
      </c>
      <c r="CJ386">
        <v>75</v>
      </c>
      <c r="CK386">
        <v>71044</v>
      </c>
      <c r="CL386">
        <v>51496</v>
      </c>
      <c r="CM386">
        <v>222745</v>
      </c>
      <c r="CN386">
        <v>51403</v>
      </c>
      <c r="CO386">
        <v>189</v>
      </c>
      <c r="CP386">
        <v>19614</v>
      </c>
      <c r="CQ386">
        <v>1665</v>
      </c>
      <c r="CR386">
        <v>45</v>
      </c>
      <c r="CY386">
        <v>0</v>
      </c>
      <c r="CZ386">
        <v>0</v>
      </c>
      <c r="DA386">
        <v>0</v>
      </c>
      <c r="DB386">
        <v>13</v>
      </c>
      <c r="DC386">
        <v>0</v>
      </c>
      <c r="DD386">
        <v>23</v>
      </c>
      <c r="DE386">
        <f t="shared" si="117"/>
        <v>1585870</v>
      </c>
      <c r="DG386" s="1">
        <f t="shared" si="140"/>
        <v>1212737</v>
      </c>
      <c r="DH386" s="1">
        <f t="shared" si="141"/>
        <v>294524</v>
      </c>
      <c r="DI386" s="1">
        <f t="shared" si="135"/>
        <v>1507261</v>
      </c>
      <c r="DJ386" s="1"/>
      <c r="DK386" s="1">
        <f t="shared" si="142"/>
        <v>78532</v>
      </c>
      <c r="DL386" s="1">
        <f t="shared" si="118"/>
        <v>147959</v>
      </c>
      <c r="DM386" s="1">
        <f t="shared" si="143"/>
        <v>15429</v>
      </c>
      <c r="DN386" s="1">
        <f t="shared" si="144"/>
        <v>50891</v>
      </c>
      <c r="DO386" s="1">
        <f t="shared" si="145"/>
        <v>528519</v>
      </c>
      <c r="DP386" s="1">
        <f t="shared" si="119"/>
        <v>115774</v>
      </c>
      <c r="DQ386" s="1">
        <f t="shared" si="121"/>
        <v>1710</v>
      </c>
      <c r="DR386" s="1">
        <f t="shared" si="146"/>
        <v>15770</v>
      </c>
      <c r="DS386" s="1">
        <f t="shared" si="147"/>
        <v>45224</v>
      </c>
      <c r="DT386" s="1">
        <f t="shared" si="138"/>
        <v>14089</v>
      </c>
      <c r="DU386" s="1">
        <f t="shared" si="136"/>
        <v>122540</v>
      </c>
      <c r="DV386" s="1">
        <f t="shared" si="139"/>
        <v>274337</v>
      </c>
      <c r="DW386" s="1">
        <f t="shared" si="137"/>
        <v>19614</v>
      </c>
      <c r="DX386" s="1">
        <f t="shared" si="122"/>
        <v>1430388</v>
      </c>
      <c r="DY386" s="1"/>
      <c r="DZ386" s="1">
        <f t="shared" si="123"/>
        <v>76873</v>
      </c>
      <c r="EA386" s="1">
        <f t="shared" si="148"/>
        <v>78609</v>
      </c>
      <c r="EB386" s="1"/>
      <c r="EC386" s="1">
        <f t="shared" si="124"/>
        <v>1585870</v>
      </c>
      <c r="ED386" s="1">
        <f t="shared" si="120"/>
        <v>0</v>
      </c>
      <c r="EE386" s="1"/>
    </row>
    <row r="387" spans="1:135" x14ac:dyDescent="0.25">
      <c r="A387" s="10">
        <v>43983</v>
      </c>
      <c r="B387">
        <v>0</v>
      </c>
      <c r="C387">
        <v>0</v>
      </c>
      <c r="D387">
        <v>0</v>
      </c>
      <c r="E387">
        <v>0</v>
      </c>
      <c r="F387">
        <v>1841</v>
      </c>
      <c r="G387">
        <v>19254</v>
      </c>
      <c r="H387">
        <v>51500</v>
      </c>
      <c r="I387">
        <v>925</v>
      </c>
      <c r="J387">
        <v>2425</v>
      </c>
      <c r="K387">
        <v>1540</v>
      </c>
      <c r="L387">
        <v>34130</v>
      </c>
      <c r="M387">
        <v>1332</v>
      </c>
      <c r="N387">
        <v>1027</v>
      </c>
      <c r="O387">
        <v>1874</v>
      </c>
      <c r="P387">
        <v>11562</v>
      </c>
      <c r="Q387">
        <v>288</v>
      </c>
      <c r="R387">
        <v>5204</v>
      </c>
      <c r="S387">
        <v>15530</v>
      </c>
      <c r="T387">
        <v>57</v>
      </c>
      <c r="U387">
        <v>4773</v>
      </c>
      <c r="V387">
        <v>53</v>
      </c>
      <c r="W387">
        <v>19581</v>
      </c>
      <c r="X387">
        <v>472</v>
      </c>
      <c r="Y387">
        <v>3</v>
      </c>
      <c r="Z387">
        <v>2</v>
      </c>
      <c r="AA387">
        <v>2</v>
      </c>
      <c r="AB387">
        <v>78</v>
      </c>
      <c r="AC387">
        <v>21</v>
      </c>
      <c r="AD387">
        <v>26</v>
      </c>
      <c r="AE387">
        <v>16</v>
      </c>
      <c r="AF387">
        <v>48</v>
      </c>
      <c r="AG387">
        <v>186</v>
      </c>
      <c r="AH387">
        <v>2634</v>
      </c>
      <c r="AI387">
        <v>1</v>
      </c>
      <c r="AJ387">
        <v>11968</v>
      </c>
      <c r="AK387">
        <v>113287</v>
      </c>
      <c r="AL387">
        <v>1901</v>
      </c>
      <c r="AM387">
        <v>23077</v>
      </c>
      <c r="AN387">
        <v>5</v>
      </c>
      <c r="AO387">
        <v>8</v>
      </c>
      <c r="AP387">
        <v>12287</v>
      </c>
      <c r="AQ387">
        <v>0</v>
      </c>
      <c r="AR387">
        <v>549</v>
      </c>
      <c r="AS387">
        <v>40</v>
      </c>
      <c r="AT387">
        <v>10460</v>
      </c>
      <c r="AU387">
        <v>2480</v>
      </c>
      <c r="AV387">
        <v>3472</v>
      </c>
      <c r="AW387">
        <v>15645</v>
      </c>
      <c r="AX387">
        <v>9</v>
      </c>
      <c r="AY387">
        <v>0</v>
      </c>
      <c r="AZ387">
        <v>768</v>
      </c>
      <c r="BA387">
        <v>0</v>
      </c>
      <c r="BB387">
        <v>210</v>
      </c>
      <c r="BC387">
        <v>1668</v>
      </c>
      <c r="BD387">
        <v>0</v>
      </c>
      <c r="BE387">
        <v>0</v>
      </c>
      <c r="BF387">
        <v>8633</v>
      </c>
      <c r="BG387">
        <v>0</v>
      </c>
      <c r="BH387">
        <v>0</v>
      </c>
      <c r="BI387">
        <v>0</v>
      </c>
      <c r="BJ387">
        <v>13</v>
      </c>
      <c r="BK387">
        <v>5510</v>
      </c>
      <c r="BL387">
        <v>0</v>
      </c>
      <c r="BM387">
        <v>6</v>
      </c>
      <c r="BN387">
        <v>0</v>
      </c>
      <c r="BO387">
        <v>45024</v>
      </c>
      <c r="BP387">
        <v>85908</v>
      </c>
      <c r="BQ387">
        <v>1500</v>
      </c>
      <c r="BR387">
        <v>21</v>
      </c>
      <c r="BS387">
        <v>30729</v>
      </c>
      <c r="BT387">
        <v>1059</v>
      </c>
      <c r="BU387">
        <v>2</v>
      </c>
      <c r="BV387">
        <v>0</v>
      </c>
      <c r="BW387">
        <v>1</v>
      </c>
      <c r="BX387">
        <v>0</v>
      </c>
      <c r="BY387">
        <v>269</v>
      </c>
      <c r="BZ387">
        <v>0</v>
      </c>
      <c r="CA387">
        <v>31732</v>
      </c>
      <c r="CB387">
        <v>16921</v>
      </c>
      <c r="CC387">
        <v>137609</v>
      </c>
      <c r="CD387">
        <v>318579</v>
      </c>
      <c r="CE387">
        <v>44689</v>
      </c>
      <c r="CF387">
        <v>77419</v>
      </c>
      <c r="CG387">
        <v>0</v>
      </c>
      <c r="CH387">
        <v>16</v>
      </c>
      <c r="CI387">
        <v>0</v>
      </c>
      <c r="CJ387">
        <v>71</v>
      </c>
      <c r="CK387">
        <v>72133</v>
      </c>
      <c r="CL387">
        <v>52027</v>
      </c>
      <c r="CM387">
        <v>229862</v>
      </c>
      <c r="CN387">
        <v>52500</v>
      </c>
      <c r="CO387">
        <v>226</v>
      </c>
      <c r="CP387">
        <v>19352</v>
      </c>
      <c r="CQ387">
        <v>1629</v>
      </c>
      <c r="CR387">
        <v>44</v>
      </c>
      <c r="CY387">
        <v>0</v>
      </c>
      <c r="CZ387">
        <v>0</v>
      </c>
      <c r="DA387">
        <v>0</v>
      </c>
      <c r="DB387">
        <v>13</v>
      </c>
      <c r="DC387">
        <v>0</v>
      </c>
      <c r="DD387">
        <v>23</v>
      </c>
      <c r="DE387">
        <f t="shared" si="117"/>
        <v>1607703</v>
      </c>
      <c r="DG387" s="1">
        <f t="shared" si="140"/>
        <v>1233488</v>
      </c>
      <c r="DH387" s="1">
        <f t="shared" si="141"/>
        <v>295703</v>
      </c>
      <c r="DI387" s="1">
        <f t="shared" si="135"/>
        <v>1529191</v>
      </c>
      <c r="DJ387" s="1"/>
      <c r="DK387" s="1">
        <f t="shared" si="142"/>
        <v>78854</v>
      </c>
      <c r="DL387" s="1">
        <f t="shared" si="118"/>
        <v>148579</v>
      </c>
      <c r="DM387" s="1">
        <f t="shared" si="143"/>
        <v>15530</v>
      </c>
      <c r="DN387" s="1">
        <f t="shared" si="144"/>
        <v>51065</v>
      </c>
      <c r="DO387" s="1">
        <f t="shared" si="145"/>
        <v>535551</v>
      </c>
      <c r="DP387" s="1">
        <f t="shared" si="119"/>
        <v>118311</v>
      </c>
      <c r="DQ387" s="1">
        <f t="shared" si="121"/>
        <v>1673</v>
      </c>
      <c r="DR387" s="1">
        <f t="shared" si="146"/>
        <v>16939</v>
      </c>
      <c r="DS387" s="1">
        <f t="shared" si="147"/>
        <v>45026</v>
      </c>
      <c r="DT387" s="1">
        <f t="shared" si="138"/>
        <v>14144</v>
      </c>
      <c r="DU387" s="1">
        <f t="shared" si="136"/>
        <v>124160</v>
      </c>
      <c r="DV387" s="1">
        <f t="shared" si="139"/>
        <v>282588</v>
      </c>
      <c r="DW387" s="1">
        <f t="shared" si="137"/>
        <v>19352</v>
      </c>
      <c r="DX387" s="1">
        <f t="shared" si="122"/>
        <v>1451772</v>
      </c>
      <c r="DY387" s="1"/>
      <c r="DZ387" s="1">
        <f t="shared" si="123"/>
        <v>77419</v>
      </c>
      <c r="EA387" s="1">
        <f t="shared" si="148"/>
        <v>78512</v>
      </c>
      <c r="EB387" s="1"/>
      <c r="EC387" s="1">
        <f t="shared" si="124"/>
        <v>1607703</v>
      </c>
      <c r="ED387" s="1">
        <f t="shared" si="120"/>
        <v>0</v>
      </c>
      <c r="EE387" s="1"/>
    </row>
    <row r="388" spans="1:135" x14ac:dyDescent="0.25">
      <c r="A388" s="10">
        <v>44013</v>
      </c>
      <c r="B388">
        <v>0</v>
      </c>
      <c r="C388">
        <v>0</v>
      </c>
      <c r="D388">
        <v>0</v>
      </c>
      <c r="E388">
        <v>0</v>
      </c>
      <c r="F388">
        <v>1936</v>
      </c>
      <c r="G388">
        <v>18931</v>
      </c>
      <c r="H388">
        <v>51553</v>
      </c>
      <c r="I388">
        <v>935</v>
      </c>
      <c r="J388">
        <v>2465</v>
      </c>
      <c r="K388">
        <v>1616</v>
      </c>
      <c r="L388">
        <v>34116</v>
      </c>
      <c r="M388">
        <v>1338</v>
      </c>
      <c r="N388">
        <v>1074</v>
      </c>
      <c r="O388">
        <v>1868</v>
      </c>
      <c r="P388">
        <v>11560</v>
      </c>
      <c r="Q388">
        <v>290</v>
      </c>
      <c r="R388">
        <v>5165</v>
      </c>
      <c r="S388">
        <v>15629</v>
      </c>
      <c r="T388">
        <v>62</v>
      </c>
      <c r="U388">
        <v>4761</v>
      </c>
      <c r="V388">
        <v>51</v>
      </c>
      <c r="W388">
        <v>19884</v>
      </c>
      <c r="X388">
        <v>474</v>
      </c>
      <c r="Y388">
        <v>3</v>
      </c>
      <c r="Z388">
        <v>10</v>
      </c>
      <c r="AA388">
        <v>2</v>
      </c>
      <c r="AB388">
        <v>78</v>
      </c>
      <c r="AC388">
        <v>20</v>
      </c>
      <c r="AD388">
        <v>26</v>
      </c>
      <c r="AE388">
        <v>15</v>
      </c>
      <c r="AF388">
        <v>48</v>
      </c>
      <c r="AG388">
        <v>191</v>
      </c>
      <c r="AH388">
        <v>2630</v>
      </c>
      <c r="AI388">
        <v>1</v>
      </c>
      <c r="AJ388">
        <v>12158</v>
      </c>
      <c r="AK388">
        <v>113624</v>
      </c>
      <c r="AL388">
        <v>1880</v>
      </c>
      <c r="AM388">
        <v>23159</v>
      </c>
      <c r="AN388">
        <v>4</v>
      </c>
      <c r="AO388">
        <v>8</v>
      </c>
      <c r="AP388">
        <v>12297</v>
      </c>
      <c r="AQ388">
        <v>0</v>
      </c>
      <c r="AR388">
        <v>542</v>
      </c>
      <c r="AS388">
        <v>40</v>
      </c>
      <c r="AT388">
        <v>10494</v>
      </c>
      <c r="AU388">
        <v>2492</v>
      </c>
      <c r="AV388">
        <v>3460</v>
      </c>
      <c r="AW388">
        <v>15655</v>
      </c>
      <c r="AX388">
        <v>10</v>
      </c>
      <c r="AY388">
        <v>0</v>
      </c>
      <c r="AZ388">
        <v>777</v>
      </c>
      <c r="BA388">
        <v>0</v>
      </c>
      <c r="BB388">
        <v>220</v>
      </c>
      <c r="BC388">
        <v>1698</v>
      </c>
      <c r="BD388">
        <v>0</v>
      </c>
      <c r="BE388">
        <v>0</v>
      </c>
      <c r="BF388">
        <v>8682</v>
      </c>
      <c r="BG388">
        <v>0</v>
      </c>
      <c r="BH388">
        <v>0</v>
      </c>
      <c r="BI388">
        <v>0</v>
      </c>
      <c r="BJ388">
        <v>12</v>
      </c>
      <c r="BK388">
        <v>5520</v>
      </c>
      <c r="BL388">
        <v>0</v>
      </c>
      <c r="BM388">
        <v>4</v>
      </c>
      <c r="BN388">
        <v>0</v>
      </c>
      <c r="BO388">
        <v>44943</v>
      </c>
      <c r="BP388">
        <v>87295</v>
      </c>
      <c r="BQ388">
        <v>1515</v>
      </c>
      <c r="BR388">
        <v>24</v>
      </c>
      <c r="BS388">
        <v>31538</v>
      </c>
      <c r="BT388">
        <v>1054</v>
      </c>
      <c r="BU388">
        <v>3</v>
      </c>
      <c r="BV388">
        <v>0</v>
      </c>
      <c r="BW388">
        <v>1</v>
      </c>
      <c r="BX388">
        <v>0</v>
      </c>
      <c r="BY388">
        <v>272</v>
      </c>
      <c r="BZ388">
        <v>0</v>
      </c>
      <c r="CA388">
        <v>31357</v>
      </c>
      <c r="CB388">
        <v>17983</v>
      </c>
      <c r="CC388">
        <v>138264</v>
      </c>
      <c r="CD388">
        <v>323677</v>
      </c>
      <c r="CE388">
        <v>46533</v>
      </c>
      <c r="CF388">
        <v>77996</v>
      </c>
      <c r="CG388">
        <v>0</v>
      </c>
      <c r="CH388">
        <v>18</v>
      </c>
      <c r="CI388">
        <v>0</v>
      </c>
      <c r="CJ388">
        <v>70</v>
      </c>
      <c r="CK388">
        <v>73235</v>
      </c>
      <c r="CL388">
        <v>52501</v>
      </c>
      <c r="CM388">
        <v>237433</v>
      </c>
      <c r="CN388">
        <v>53558</v>
      </c>
      <c r="CO388">
        <v>276</v>
      </c>
      <c r="CP388">
        <v>19178</v>
      </c>
      <c r="CQ388">
        <v>1598</v>
      </c>
      <c r="CR388">
        <v>32</v>
      </c>
      <c r="CY388">
        <v>0</v>
      </c>
      <c r="CZ388">
        <v>0</v>
      </c>
      <c r="DA388">
        <v>0</v>
      </c>
      <c r="DB388">
        <v>13</v>
      </c>
      <c r="DC388">
        <v>0</v>
      </c>
      <c r="DD388">
        <v>23</v>
      </c>
      <c r="DE388">
        <f t="shared" ref="DE388:DE416" si="149">SUM(B388:CX388)</f>
        <v>1629822</v>
      </c>
      <c r="DG388" s="1">
        <f t="shared" si="140"/>
        <v>1254650</v>
      </c>
      <c r="DH388" s="1">
        <f t="shared" si="141"/>
        <v>296662</v>
      </c>
      <c r="DI388" s="1">
        <f t="shared" si="135"/>
        <v>1551312</v>
      </c>
      <c r="DJ388" s="1"/>
      <c r="DK388" s="1">
        <f t="shared" si="142"/>
        <v>79095</v>
      </c>
      <c r="DL388" s="1">
        <f t="shared" ref="DL388:DL436" si="150">SUM(X388:Y388,AA388:AE388,AG388:AL388,AN388,AR388:AV388,AZ388:BB388)</f>
        <v>149131</v>
      </c>
      <c r="DM388" s="1">
        <f t="shared" si="143"/>
        <v>15629</v>
      </c>
      <c r="DN388" s="1">
        <f t="shared" si="144"/>
        <v>51167</v>
      </c>
      <c r="DO388" s="1">
        <f t="shared" si="145"/>
        <v>542788</v>
      </c>
      <c r="DP388" s="1">
        <f t="shared" ref="DP388:DP411" si="151">SUM(AY388,BC388:BD388,BG388,BM388,BP388,BS388)</f>
        <v>120535</v>
      </c>
      <c r="DQ388" s="1">
        <f t="shared" si="121"/>
        <v>1630</v>
      </c>
      <c r="DR388" s="1">
        <f t="shared" si="146"/>
        <v>18011</v>
      </c>
      <c r="DS388" s="1">
        <f t="shared" si="147"/>
        <v>44946</v>
      </c>
      <c r="DT388" s="1">
        <f t="shared" si="138"/>
        <v>14203</v>
      </c>
      <c r="DU388" s="1">
        <f t="shared" si="136"/>
        <v>125736</v>
      </c>
      <c r="DV388" s="1">
        <f t="shared" si="139"/>
        <v>291267</v>
      </c>
      <c r="DW388" s="1">
        <f t="shared" si="137"/>
        <v>19178</v>
      </c>
      <c r="DX388" s="1">
        <f t="shared" si="122"/>
        <v>1473316</v>
      </c>
      <c r="DY388" s="1"/>
      <c r="DZ388" s="1">
        <f t="shared" si="123"/>
        <v>77996</v>
      </c>
      <c r="EA388" s="1">
        <f t="shared" si="148"/>
        <v>78510</v>
      </c>
      <c r="EB388" s="1"/>
      <c r="EC388" s="1">
        <f t="shared" si="124"/>
        <v>1629822</v>
      </c>
      <c r="ED388" s="1">
        <f t="shared" ref="ED388:ED437" si="152">EC388-DE388</f>
        <v>0</v>
      </c>
      <c r="EE388" s="1"/>
    </row>
    <row r="389" spans="1:135" x14ac:dyDescent="0.25">
      <c r="A389" s="10">
        <v>44044</v>
      </c>
      <c r="B389">
        <v>0</v>
      </c>
      <c r="C389">
        <v>0</v>
      </c>
      <c r="D389">
        <v>0</v>
      </c>
      <c r="E389">
        <v>0</v>
      </c>
      <c r="F389">
        <v>1739</v>
      </c>
      <c r="G389">
        <v>18752</v>
      </c>
      <c r="H389">
        <v>51631</v>
      </c>
      <c r="I389">
        <v>1137</v>
      </c>
      <c r="J389">
        <v>2822</v>
      </c>
      <c r="K389">
        <v>1644</v>
      </c>
      <c r="L389">
        <v>34102</v>
      </c>
      <c r="M389">
        <v>1327</v>
      </c>
      <c r="N389">
        <v>1126</v>
      </c>
      <c r="O389">
        <v>1889</v>
      </c>
      <c r="P389">
        <v>11605</v>
      </c>
      <c r="Q389">
        <v>290</v>
      </c>
      <c r="R389">
        <v>5161</v>
      </c>
      <c r="S389">
        <v>15702</v>
      </c>
      <c r="T389">
        <v>61</v>
      </c>
      <c r="U389">
        <v>4780</v>
      </c>
      <c r="V389">
        <v>58</v>
      </c>
      <c r="W389">
        <v>20159</v>
      </c>
      <c r="X389">
        <v>478</v>
      </c>
      <c r="Y389">
        <v>4</v>
      </c>
      <c r="Z389">
        <v>1</v>
      </c>
      <c r="AA389">
        <v>2</v>
      </c>
      <c r="AB389">
        <v>78</v>
      </c>
      <c r="AC389">
        <v>20</v>
      </c>
      <c r="AD389">
        <v>26</v>
      </c>
      <c r="AE389">
        <v>15</v>
      </c>
      <c r="AF389">
        <v>49</v>
      </c>
      <c r="AG389">
        <v>217</v>
      </c>
      <c r="AH389">
        <v>2613</v>
      </c>
      <c r="AI389">
        <v>1</v>
      </c>
      <c r="AJ389">
        <v>12324</v>
      </c>
      <c r="AK389">
        <v>114025</v>
      </c>
      <c r="AL389">
        <v>1863</v>
      </c>
      <c r="AM389">
        <v>23274</v>
      </c>
      <c r="AN389">
        <v>5</v>
      </c>
      <c r="AO389">
        <v>8</v>
      </c>
      <c r="AP389">
        <v>12293</v>
      </c>
      <c r="AQ389">
        <v>0</v>
      </c>
      <c r="AR389">
        <v>575</v>
      </c>
      <c r="AS389">
        <v>40</v>
      </c>
      <c r="AT389">
        <v>10528</v>
      </c>
      <c r="AU389">
        <v>2499</v>
      </c>
      <c r="AV389">
        <v>3464</v>
      </c>
      <c r="AW389">
        <v>15685</v>
      </c>
      <c r="AX389">
        <v>12</v>
      </c>
      <c r="AY389">
        <v>0</v>
      </c>
      <c r="AZ389">
        <v>786</v>
      </c>
      <c r="BA389">
        <v>0</v>
      </c>
      <c r="BB389">
        <v>229</v>
      </c>
      <c r="BC389">
        <v>1737</v>
      </c>
      <c r="BD389">
        <v>0</v>
      </c>
      <c r="BE389">
        <v>0</v>
      </c>
      <c r="BF389">
        <v>8748</v>
      </c>
      <c r="BG389">
        <v>0</v>
      </c>
      <c r="BH389">
        <v>0</v>
      </c>
      <c r="BI389">
        <v>0</v>
      </c>
      <c r="BJ389">
        <v>12</v>
      </c>
      <c r="BK389">
        <v>5528</v>
      </c>
      <c r="BL389">
        <v>0</v>
      </c>
      <c r="BM389">
        <v>4</v>
      </c>
      <c r="BN389">
        <v>0</v>
      </c>
      <c r="BO389">
        <v>45360</v>
      </c>
      <c r="BP389">
        <v>88623</v>
      </c>
      <c r="BQ389">
        <v>1560</v>
      </c>
      <c r="BR389">
        <v>24</v>
      </c>
      <c r="BS389">
        <v>32347</v>
      </c>
      <c r="BT389">
        <v>1075</v>
      </c>
      <c r="BU389">
        <v>11</v>
      </c>
      <c r="BV389">
        <v>0</v>
      </c>
      <c r="BW389">
        <v>1</v>
      </c>
      <c r="BX389">
        <v>0</v>
      </c>
      <c r="BY389">
        <v>278</v>
      </c>
      <c r="BZ389">
        <v>0</v>
      </c>
      <c r="CA389">
        <v>31082</v>
      </c>
      <c r="CB389">
        <v>18722</v>
      </c>
      <c r="CC389">
        <v>138352</v>
      </c>
      <c r="CD389">
        <v>325764</v>
      </c>
      <c r="CE389">
        <v>48491</v>
      </c>
      <c r="CF389">
        <v>78089</v>
      </c>
      <c r="CG389">
        <v>0</v>
      </c>
      <c r="CH389">
        <v>14</v>
      </c>
      <c r="CI389">
        <v>0</v>
      </c>
      <c r="CJ389">
        <v>71</v>
      </c>
      <c r="CK389">
        <v>74121</v>
      </c>
      <c r="CL389">
        <v>53077</v>
      </c>
      <c r="CM389">
        <v>246579</v>
      </c>
      <c r="CN389">
        <v>55213</v>
      </c>
      <c r="CO389">
        <v>293</v>
      </c>
      <c r="CP389">
        <v>18956</v>
      </c>
      <c r="CQ389">
        <v>1591</v>
      </c>
      <c r="CR389">
        <v>30</v>
      </c>
      <c r="CY389">
        <v>0</v>
      </c>
      <c r="CZ389">
        <v>0</v>
      </c>
      <c r="DA389">
        <v>0</v>
      </c>
      <c r="DB389">
        <v>13</v>
      </c>
      <c r="DC389">
        <v>0</v>
      </c>
      <c r="DD389">
        <v>23</v>
      </c>
      <c r="DE389">
        <f t="shared" si="149"/>
        <v>1650852</v>
      </c>
      <c r="DG389" s="1">
        <f t="shared" si="140"/>
        <v>1274144</v>
      </c>
      <c r="DH389" s="1">
        <f t="shared" si="141"/>
        <v>297857</v>
      </c>
      <c r="DI389" s="1">
        <f t="shared" si="135"/>
        <v>1572001</v>
      </c>
      <c r="DJ389" s="1"/>
      <c r="DK389" s="1">
        <f t="shared" si="142"/>
        <v>79432</v>
      </c>
      <c r="DL389" s="1">
        <f t="shared" si="150"/>
        <v>149792</v>
      </c>
      <c r="DM389" s="1">
        <f t="shared" si="143"/>
        <v>15702</v>
      </c>
      <c r="DN389" s="1">
        <f t="shared" si="144"/>
        <v>51309</v>
      </c>
      <c r="DO389" s="1">
        <f t="shared" si="145"/>
        <v>546721</v>
      </c>
      <c r="DP389" s="1">
        <f t="shared" si="151"/>
        <v>122711</v>
      </c>
      <c r="DQ389" s="1">
        <f t="shared" ref="DQ389:DQ437" si="153">SUM(BX389,CQ389,CR389,CW389,CX389)</f>
        <v>1621</v>
      </c>
      <c r="DR389" s="1">
        <f t="shared" si="146"/>
        <v>18737</v>
      </c>
      <c r="DS389" s="1">
        <f t="shared" si="147"/>
        <v>45371</v>
      </c>
      <c r="DT389" s="1">
        <f t="shared" si="138"/>
        <v>14277</v>
      </c>
      <c r="DU389" s="1">
        <f t="shared" si="136"/>
        <v>127198</v>
      </c>
      <c r="DV389" s="1">
        <f t="shared" si="139"/>
        <v>302085</v>
      </c>
      <c r="DW389" s="1">
        <f t="shared" si="137"/>
        <v>18956</v>
      </c>
      <c r="DX389" s="1">
        <f t="shared" ref="DX389:DX437" si="154">SUM(DK389:DW389)</f>
        <v>1493912</v>
      </c>
      <c r="DY389" s="1"/>
      <c r="DZ389" s="1">
        <f t="shared" ref="DZ389:DZ437" si="155">CF389</f>
        <v>78089</v>
      </c>
      <c r="EA389" s="1">
        <f t="shared" si="148"/>
        <v>78851</v>
      </c>
      <c r="EB389" s="1"/>
      <c r="EC389" s="1">
        <f t="shared" ref="EC389:EC437" si="156">DX389+EA389+DZ389</f>
        <v>1650852</v>
      </c>
      <c r="ED389" s="1">
        <f t="shared" si="152"/>
        <v>0</v>
      </c>
      <c r="EE389" s="1"/>
    </row>
    <row r="390" spans="1:135" x14ac:dyDescent="0.25">
      <c r="A390" s="10">
        <v>44075</v>
      </c>
      <c r="B390">
        <v>0</v>
      </c>
      <c r="C390">
        <v>0</v>
      </c>
      <c r="D390">
        <v>0</v>
      </c>
      <c r="E390">
        <v>0</v>
      </c>
      <c r="F390">
        <v>1567</v>
      </c>
      <c r="G390">
        <v>18466</v>
      </c>
      <c r="H390">
        <v>51166</v>
      </c>
      <c r="I390">
        <v>1340</v>
      </c>
      <c r="J390">
        <v>3305</v>
      </c>
      <c r="K390">
        <v>1648</v>
      </c>
      <c r="L390">
        <v>34205</v>
      </c>
      <c r="M390">
        <v>1317</v>
      </c>
      <c r="N390">
        <v>1138</v>
      </c>
      <c r="O390">
        <v>1896</v>
      </c>
      <c r="P390">
        <v>11533</v>
      </c>
      <c r="Q390">
        <v>288</v>
      </c>
      <c r="R390">
        <v>5130</v>
      </c>
      <c r="S390">
        <v>15708</v>
      </c>
      <c r="T390">
        <v>58</v>
      </c>
      <c r="U390">
        <v>4739</v>
      </c>
      <c r="V390">
        <v>64</v>
      </c>
      <c r="W390">
        <v>20366</v>
      </c>
      <c r="X390">
        <v>481</v>
      </c>
      <c r="Y390">
        <v>4</v>
      </c>
      <c r="Z390">
        <v>2</v>
      </c>
      <c r="AA390">
        <v>2</v>
      </c>
      <c r="AB390">
        <v>79</v>
      </c>
      <c r="AC390">
        <v>19</v>
      </c>
      <c r="AD390">
        <v>26</v>
      </c>
      <c r="AE390">
        <v>14</v>
      </c>
      <c r="AF390">
        <v>50</v>
      </c>
      <c r="AG390">
        <v>219</v>
      </c>
      <c r="AH390">
        <v>2608</v>
      </c>
      <c r="AI390">
        <v>1</v>
      </c>
      <c r="AJ390">
        <v>12410</v>
      </c>
      <c r="AK390">
        <v>114101</v>
      </c>
      <c r="AL390">
        <v>1848</v>
      </c>
      <c r="AM390">
        <v>23267</v>
      </c>
      <c r="AN390">
        <v>6</v>
      </c>
      <c r="AO390">
        <v>8</v>
      </c>
      <c r="AP390">
        <v>12304</v>
      </c>
      <c r="AQ390">
        <v>0</v>
      </c>
      <c r="AR390">
        <v>592</v>
      </c>
      <c r="AS390">
        <v>40</v>
      </c>
      <c r="AT390">
        <v>10546</v>
      </c>
      <c r="AU390">
        <v>2497</v>
      </c>
      <c r="AV390">
        <v>3443</v>
      </c>
      <c r="AW390">
        <v>15683</v>
      </c>
      <c r="AX390">
        <v>19</v>
      </c>
      <c r="AY390">
        <v>0</v>
      </c>
      <c r="AZ390">
        <v>796</v>
      </c>
      <c r="BA390">
        <v>0</v>
      </c>
      <c r="BB390">
        <v>224</v>
      </c>
      <c r="BC390">
        <v>1773</v>
      </c>
      <c r="BD390">
        <v>0</v>
      </c>
      <c r="BE390">
        <v>0</v>
      </c>
      <c r="BF390">
        <v>8784</v>
      </c>
      <c r="BG390">
        <v>0</v>
      </c>
      <c r="BH390">
        <v>0</v>
      </c>
      <c r="BI390">
        <v>0</v>
      </c>
      <c r="BJ390">
        <v>12</v>
      </c>
      <c r="BK390">
        <v>5542</v>
      </c>
      <c r="BL390">
        <v>0</v>
      </c>
      <c r="BM390">
        <v>3</v>
      </c>
      <c r="BN390">
        <v>0</v>
      </c>
      <c r="BO390">
        <v>45725</v>
      </c>
      <c r="BP390">
        <v>89741</v>
      </c>
      <c r="BQ390">
        <v>1596</v>
      </c>
      <c r="BR390">
        <v>24</v>
      </c>
      <c r="BS390">
        <v>33079</v>
      </c>
      <c r="BT390">
        <v>1095</v>
      </c>
      <c r="BU390">
        <v>6</v>
      </c>
      <c r="BV390">
        <v>0</v>
      </c>
      <c r="BW390">
        <v>1</v>
      </c>
      <c r="BX390">
        <v>0</v>
      </c>
      <c r="BY390">
        <v>283</v>
      </c>
      <c r="BZ390">
        <v>0</v>
      </c>
      <c r="CA390">
        <v>30850</v>
      </c>
      <c r="CB390">
        <v>18901</v>
      </c>
      <c r="CC390">
        <v>139372</v>
      </c>
      <c r="CD390">
        <v>329892</v>
      </c>
      <c r="CE390">
        <v>49090</v>
      </c>
      <c r="CF390">
        <v>78262</v>
      </c>
      <c r="CG390">
        <v>0</v>
      </c>
      <c r="CH390">
        <v>15</v>
      </c>
      <c r="CI390">
        <v>0</v>
      </c>
      <c r="CJ390">
        <v>75</v>
      </c>
      <c r="CK390">
        <v>75241</v>
      </c>
      <c r="CL390">
        <v>53603</v>
      </c>
      <c r="CM390">
        <v>254238</v>
      </c>
      <c r="CN390">
        <v>56401</v>
      </c>
      <c r="CO390">
        <v>265</v>
      </c>
      <c r="CP390">
        <v>18816</v>
      </c>
      <c r="CQ390">
        <v>1605</v>
      </c>
      <c r="CR390">
        <v>30</v>
      </c>
      <c r="CY390">
        <v>0</v>
      </c>
      <c r="CZ390">
        <v>0</v>
      </c>
      <c r="DA390">
        <v>0</v>
      </c>
      <c r="DB390">
        <v>13</v>
      </c>
      <c r="DC390">
        <v>0</v>
      </c>
      <c r="DD390">
        <v>23</v>
      </c>
      <c r="DE390">
        <f t="shared" si="149"/>
        <v>1669543</v>
      </c>
      <c r="DG390" s="1">
        <f t="shared" si="140"/>
        <v>1292704</v>
      </c>
      <c r="DH390" s="1">
        <f t="shared" si="141"/>
        <v>298209</v>
      </c>
      <c r="DI390" s="1">
        <f t="shared" si="135"/>
        <v>1590913</v>
      </c>
      <c r="DJ390" s="1"/>
      <c r="DK390" s="1">
        <f t="shared" si="142"/>
        <v>79596</v>
      </c>
      <c r="DL390" s="1">
        <f t="shared" si="150"/>
        <v>149956</v>
      </c>
      <c r="DM390" s="1">
        <f t="shared" si="143"/>
        <v>15708</v>
      </c>
      <c r="DN390" s="1">
        <f t="shared" si="144"/>
        <v>51312</v>
      </c>
      <c r="DO390" s="1">
        <f t="shared" si="145"/>
        <v>552308</v>
      </c>
      <c r="DP390" s="1">
        <f t="shared" si="151"/>
        <v>124596</v>
      </c>
      <c r="DQ390" s="1">
        <f t="shared" si="153"/>
        <v>1635</v>
      </c>
      <c r="DR390" s="1">
        <f t="shared" si="146"/>
        <v>18918</v>
      </c>
      <c r="DS390" s="1">
        <f t="shared" si="147"/>
        <v>45731</v>
      </c>
      <c r="DT390" s="1">
        <f t="shared" si="138"/>
        <v>14327</v>
      </c>
      <c r="DU390" s="1">
        <f t="shared" si="136"/>
        <v>128844</v>
      </c>
      <c r="DV390" s="1">
        <f t="shared" si="139"/>
        <v>310904</v>
      </c>
      <c r="DW390" s="1">
        <f t="shared" si="137"/>
        <v>18816</v>
      </c>
      <c r="DX390" s="1">
        <f t="shared" si="154"/>
        <v>1512651</v>
      </c>
      <c r="DY390" s="1"/>
      <c r="DZ390" s="1">
        <f t="shared" si="155"/>
        <v>78262</v>
      </c>
      <c r="EA390" s="1">
        <f t="shared" si="148"/>
        <v>78630</v>
      </c>
      <c r="EB390" s="1"/>
      <c r="EC390" s="1">
        <f t="shared" si="156"/>
        <v>1669543</v>
      </c>
      <c r="ED390" s="1">
        <f t="shared" si="152"/>
        <v>0</v>
      </c>
      <c r="EE390" s="1"/>
    </row>
    <row r="391" spans="1:135" x14ac:dyDescent="0.25">
      <c r="A391" s="10">
        <v>44105</v>
      </c>
      <c r="B391">
        <v>0</v>
      </c>
      <c r="C391">
        <v>0</v>
      </c>
      <c r="D391">
        <v>0</v>
      </c>
      <c r="E391">
        <v>0</v>
      </c>
      <c r="F391">
        <v>1505</v>
      </c>
      <c r="G391">
        <v>18203</v>
      </c>
      <c r="H391">
        <v>50592</v>
      </c>
      <c r="I391">
        <v>1679</v>
      </c>
      <c r="J391">
        <v>4100</v>
      </c>
      <c r="K391">
        <v>1664</v>
      </c>
      <c r="L391">
        <v>34348</v>
      </c>
      <c r="M391">
        <v>1310</v>
      </c>
      <c r="N391">
        <v>1137</v>
      </c>
      <c r="O391">
        <v>1881</v>
      </c>
      <c r="P391">
        <v>11508</v>
      </c>
      <c r="Q391">
        <v>294</v>
      </c>
      <c r="R391">
        <v>5062</v>
      </c>
      <c r="S391">
        <v>15769</v>
      </c>
      <c r="T391">
        <v>66</v>
      </c>
      <c r="U391">
        <v>4724</v>
      </c>
      <c r="V391">
        <v>70</v>
      </c>
      <c r="W391">
        <v>20643</v>
      </c>
      <c r="X391">
        <v>486</v>
      </c>
      <c r="Y391">
        <v>4</v>
      </c>
      <c r="Z391">
        <v>0</v>
      </c>
      <c r="AA391">
        <v>3</v>
      </c>
      <c r="AB391">
        <v>77</v>
      </c>
      <c r="AC391">
        <v>19</v>
      </c>
      <c r="AD391">
        <v>26</v>
      </c>
      <c r="AE391">
        <v>16</v>
      </c>
      <c r="AF391">
        <v>49</v>
      </c>
      <c r="AG391">
        <v>224</v>
      </c>
      <c r="AH391">
        <v>2586</v>
      </c>
      <c r="AI391">
        <v>1</v>
      </c>
      <c r="AJ391">
        <v>12530</v>
      </c>
      <c r="AK391">
        <v>114211</v>
      </c>
      <c r="AL391">
        <v>1830</v>
      </c>
      <c r="AM391">
        <v>23203</v>
      </c>
      <c r="AN391">
        <v>7</v>
      </c>
      <c r="AO391">
        <v>7</v>
      </c>
      <c r="AP391">
        <v>12346</v>
      </c>
      <c r="AQ391">
        <v>0</v>
      </c>
      <c r="AR391">
        <v>607</v>
      </c>
      <c r="AS391">
        <v>40</v>
      </c>
      <c r="AT391">
        <v>10568</v>
      </c>
      <c r="AU391">
        <v>2494</v>
      </c>
      <c r="AV391">
        <v>3438</v>
      </c>
      <c r="AW391">
        <v>15656</v>
      </c>
      <c r="AX391">
        <v>12</v>
      </c>
      <c r="AY391">
        <v>0</v>
      </c>
      <c r="AZ391">
        <v>800</v>
      </c>
      <c r="BA391">
        <v>0</v>
      </c>
      <c r="BB391">
        <v>248</v>
      </c>
      <c r="BC391">
        <v>1804</v>
      </c>
      <c r="BD391">
        <v>0</v>
      </c>
      <c r="BE391">
        <v>0</v>
      </c>
      <c r="BF391">
        <v>8816</v>
      </c>
      <c r="BG391">
        <v>0</v>
      </c>
      <c r="BH391">
        <v>0</v>
      </c>
      <c r="BI391">
        <v>0</v>
      </c>
      <c r="BJ391">
        <v>12</v>
      </c>
      <c r="BK391">
        <v>5524</v>
      </c>
      <c r="BL391">
        <v>0</v>
      </c>
      <c r="BM391">
        <v>3</v>
      </c>
      <c r="BN391">
        <v>0</v>
      </c>
      <c r="BO391">
        <v>45391</v>
      </c>
      <c r="BP391">
        <v>90982</v>
      </c>
      <c r="BQ391">
        <v>1634</v>
      </c>
      <c r="BR391">
        <v>24</v>
      </c>
      <c r="BS391">
        <v>34058</v>
      </c>
      <c r="BT391">
        <v>1110</v>
      </c>
      <c r="BU391">
        <v>16</v>
      </c>
      <c r="BV391">
        <v>0</v>
      </c>
      <c r="BW391">
        <v>1</v>
      </c>
      <c r="BX391">
        <v>0</v>
      </c>
      <c r="BY391">
        <v>287</v>
      </c>
      <c r="BZ391">
        <v>0</v>
      </c>
      <c r="CA391">
        <v>30484</v>
      </c>
      <c r="CB391">
        <v>19491</v>
      </c>
      <c r="CC391">
        <v>140879</v>
      </c>
      <c r="CD391">
        <v>334588</v>
      </c>
      <c r="CE391">
        <v>49592</v>
      </c>
      <c r="CF391">
        <v>78176</v>
      </c>
      <c r="CG391">
        <v>0</v>
      </c>
      <c r="CH391">
        <v>13</v>
      </c>
      <c r="CI391">
        <v>0</v>
      </c>
      <c r="CJ391">
        <v>76</v>
      </c>
      <c r="CK391">
        <v>76308</v>
      </c>
      <c r="CL391">
        <v>54073</v>
      </c>
      <c r="CM391">
        <v>263155</v>
      </c>
      <c r="CN391">
        <v>57227</v>
      </c>
      <c r="CO391">
        <v>219</v>
      </c>
      <c r="CP391">
        <v>18711</v>
      </c>
      <c r="CQ391">
        <v>1607</v>
      </c>
      <c r="CR391">
        <v>26</v>
      </c>
      <c r="CY391">
        <v>0</v>
      </c>
      <c r="CZ391">
        <v>0</v>
      </c>
      <c r="DA391">
        <v>0</v>
      </c>
      <c r="DB391">
        <v>13</v>
      </c>
      <c r="DC391">
        <v>0</v>
      </c>
      <c r="DD391">
        <v>23</v>
      </c>
      <c r="DE391">
        <f t="shared" si="149"/>
        <v>1690330</v>
      </c>
      <c r="DG391" s="1">
        <f t="shared" si="140"/>
        <v>1312666</v>
      </c>
      <c r="DH391" s="1">
        <f t="shared" si="141"/>
        <v>298784</v>
      </c>
      <c r="DI391" s="1">
        <f t="shared" si="135"/>
        <v>1611450</v>
      </c>
      <c r="DJ391" s="1"/>
      <c r="DK391" s="1">
        <f t="shared" si="142"/>
        <v>79906</v>
      </c>
      <c r="DL391" s="1">
        <f t="shared" si="150"/>
        <v>150215</v>
      </c>
      <c r="DM391" s="1">
        <f t="shared" si="143"/>
        <v>15769</v>
      </c>
      <c r="DN391" s="1">
        <f t="shared" si="144"/>
        <v>51261</v>
      </c>
      <c r="DO391" s="1">
        <f t="shared" si="145"/>
        <v>558698</v>
      </c>
      <c r="DP391" s="1">
        <f t="shared" si="151"/>
        <v>126847</v>
      </c>
      <c r="DQ391" s="1">
        <f t="shared" si="153"/>
        <v>1633</v>
      </c>
      <c r="DR391" s="1">
        <f t="shared" si="146"/>
        <v>19504</v>
      </c>
      <c r="DS391" s="1">
        <f t="shared" si="147"/>
        <v>45407</v>
      </c>
      <c r="DT391" s="1">
        <f t="shared" si="138"/>
        <v>14341</v>
      </c>
      <c r="DU391" s="1">
        <f t="shared" si="136"/>
        <v>130381</v>
      </c>
      <c r="DV391" s="1">
        <f t="shared" si="139"/>
        <v>320601</v>
      </c>
      <c r="DW391" s="1">
        <f t="shared" si="137"/>
        <v>18711</v>
      </c>
      <c r="DX391" s="1">
        <f t="shared" si="154"/>
        <v>1533274</v>
      </c>
      <c r="DY391" s="1"/>
      <c r="DZ391" s="1">
        <f t="shared" si="155"/>
        <v>78176</v>
      </c>
      <c r="EA391" s="1">
        <f t="shared" si="148"/>
        <v>78880</v>
      </c>
      <c r="EB391" s="1"/>
      <c r="EC391" s="1">
        <f t="shared" si="156"/>
        <v>1690330</v>
      </c>
      <c r="ED391" s="1">
        <f t="shared" si="152"/>
        <v>0</v>
      </c>
      <c r="EE391" s="1"/>
    </row>
    <row r="392" spans="1:135" x14ac:dyDescent="0.25">
      <c r="A392" s="10">
        <v>44136</v>
      </c>
      <c r="B392">
        <v>0</v>
      </c>
      <c r="C392">
        <v>0</v>
      </c>
      <c r="D392">
        <v>0</v>
      </c>
      <c r="E392">
        <v>0</v>
      </c>
      <c r="F392">
        <v>1495</v>
      </c>
      <c r="G392">
        <v>18056</v>
      </c>
      <c r="H392">
        <v>50510</v>
      </c>
      <c r="I392">
        <v>1927</v>
      </c>
      <c r="J392">
        <v>4665</v>
      </c>
      <c r="K392">
        <v>1693</v>
      </c>
      <c r="L392">
        <v>34511</v>
      </c>
      <c r="M392">
        <v>1309</v>
      </c>
      <c r="N392">
        <v>1136</v>
      </c>
      <c r="O392">
        <v>1866</v>
      </c>
      <c r="P392">
        <v>11452</v>
      </c>
      <c r="Q392">
        <v>301</v>
      </c>
      <c r="R392">
        <v>5052</v>
      </c>
      <c r="S392">
        <v>15821</v>
      </c>
      <c r="T392">
        <v>67</v>
      </c>
      <c r="U392">
        <v>4676</v>
      </c>
      <c r="V392">
        <v>69</v>
      </c>
      <c r="W392">
        <v>20886</v>
      </c>
      <c r="X392">
        <v>490</v>
      </c>
      <c r="Y392">
        <v>4</v>
      </c>
      <c r="Z392">
        <v>2</v>
      </c>
      <c r="AA392">
        <v>3</v>
      </c>
      <c r="AB392">
        <v>77</v>
      </c>
      <c r="AC392">
        <v>19</v>
      </c>
      <c r="AD392">
        <v>26</v>
      </c>
      <c r="AE392">
        <v>15</v>
      </c>
      <c r="AF392">
        <v>48</v>
      </c>
      <c r="AG392">
        <v>229</v>
      </c>
      <c r="AH392">
        <v>2571</v>
      </c>
      <c r="AI392">
        <v>2</v>
      </c>
      <c r="AJ392">
        <v>12725</v>
      </c>
      <c r="AK392">
        <v>114304</v>
      </c>
      <c r="AL392">
        <v>1813</v>
      </c>
      <c r="AM392">
        <v>23227</v>
      </c>
      <c r="AN392">
        <v>8</v>
      </c>
      <c r="AO392">
        <v>7</v>
      </c>
      <c r="AP392">
        <v>12368</v>
      </c>
      <c r="AQ392">
        <v>0</v>
      </c>
      <c r="AR392">
        <v>629</v>
      </c>
      <c r="AS392">
        <v>40</v>
      </c>
      <c r="AT392">
        <v>10603</v>
      </c>
      <c r="AU392">
        <v>2500</v>
      </c>
      <c r="AV392">
        <v>3424</v>
      </c>
      <c r="AW392">
        <v>15621</v>
      </c>
      <c r="AX392">
        <v>10</v>
      </c>
      <c r="AY392">
        <v>2</v>
      </c>
      <c r="AZ392">
        <v>804</v>
      </c>
      <c r="BA392">
        <v>0</v>
      </c>
      <c r="BB392">
        <v>242</v>
      </c>
      <c r="BC392">
        <v>1816</v>
      </c>
      <c r="BD392">
        <v>0</v>
      </c>
      <c r="BE392">
        <v>0</v>
      </c>
      <c r="BF392">
        <v>8862</v>
      </c>
      <c r="BG392">
        <v>0</v>
      </c>
      <c r="BH392">
        <v>0</v>
      </c>
      <c r="BI392">
        <v>0</v>
      </c>
      <c r="BJ392">
        <v>12</v>
      </c>
      <c r="BK392">
        <v>5546</v>
      </c>
      <c r="BL392">
        <v>0</v>
      </c>
      <c r="BM392">
        <v>1</v>
      </c>
      <c r="BN392">
        <v>0</v>
      </c>
      <c r="BO392">
        <v>45183</v>
      </c>
      <c r="BP392">
        <v>91955</v>
      </c>
      <c r="BQ392">
        <v>1643</v>
      </c>
      <c r="BR392">
        <v>25</v>
      </c>
      <c r="BS392">
        <v>34710</v>
      </c>
      <c r="BT392">
        <v>1152</v>
      </c>
      <c r="BU392">
        <v>12</v>
      </c>
      <c r="BV392">
        <v>0</v>
      </c>
      <c r="BW392">
        <v>1</v>
      </c>
      <c r="BX392">
        <v>0</v>
      </c>
      <c r="BY392">
        <v>284</v>
      </c>
      <c r="BZ392">
        <v>0</v>
      </c>
      <c r="CA392">
        <v>30109</v>
      </c>
      <c r="CB392">
        <v>20203</v>
      </c>
      <c r="CC392">
        <v>142063</v>
      </c>
      <c r="CD392">
        <v>338794</v>
      </c>
      <c r="CE392">
        <v>49892</v>
      </c>
      <c r="CF392">
        <v>78244</v>
      </c>
      <c r="CG392">
        <v>0</v>
      </c>
      <c r="CH392">
        <v>10</v>
      </c>
      <c r="CI392">
        <v>0</v>
      </c>
      <c r="CJ392">
        <v>75</v>
      </c>
      <c r="CK392">
        <v>77455</v>
      </c>
      <c r="CL392">
        <v>54655</v>
      </c>
      <c r="CM392">
        <v>271295</v>
      </c>
      <c r="CN392">
        <v>57707</v>
      </c>
      <c r="CO392">
        <v>213</v>
      </c>
      <c r="CP392">
        <v>18505</v>
      </c>
      <c r="CQ392">
        <v>1630</v>
      </c>
      <c r="CR392">
        <v>22</v>
      </c>
      <c r="CY392">
        <v>0</v>
      </c>
      <c r="CZ392">
        <v>0</v>
      </c>
      <c r="DA392">
        <v>0</v>
      </c>
      <c r="DB392">
        <v>13</v>
      </c>
      <c r="DC392">
        <v>0</v>
      </c>
      <c r="DD392">
        <v>23</v>
      </c>
      <c r="DE392">
        <f t="shared" si="149"/>
        <v>1709379</v>
      </c>
      <c r="DG392" s="1">
        <f t="shared" si="140"/>
        <v>1330434</v>
      </c>
      <c r="DH392" s="1">
        <f t="shared" si="141"/>
        <v>299463</v>
      </c>
      <c r="DI392" s="1">
        <f t="shared" si="135"/>
        <v>1629897</v>
      </c>
      <c r="DJ392" s="1"/>
      <c r="DK392" s="1">
        <f t="shared" si="142"/>
        <v>80189</v>
      </c>
      <c r="DL392" s="1">
        <f t="shared" si="150"/>
        <v>150528</v>
      </c>
      <c r="DM392" s="1">
        <f t="shared" si="143"/>
        <v>15821</v>
      </c>
      <c r="DN392" s="1">
        <f t="shared" si="144"/>
        <v>51271</v>
      </c>
      <c r="DO392" s="1">
        <f t="shared" si="145"/>
        <v>564059</v>
      </c>
      <c r="DP392" s="1">
        <f t="shared" si="151"/>
        <v>128484</v>
      </c>
      <c r="DQ392" s="1">
        <f t="shared" si="153"/>
        <v>1652</v>
      </c>
      <c r="DR392" s="1">
        <f t="shared" si="146"/>
        <v>20215</v>
      </c>
      <c r="DS392" s="1">
        <f t="shared" si="147"/>
        <v>45195</v>
      </c>
      <c r="DT392" s="1">
        <f t="shared" si="138"/>
        <v>14409</v>
      </c>
      <c r="DU392" s="1">
        <f t="shared" si="136"/>
        <v>132110</v>
      </c>
      <c r="DV392" s="1">
        <f t="shared" si="139"/>
        <v>329215</v>
      </c>
      <c r="DW392" s="1">
        <f t="shared" si="137"/>
        <v>18505</v>
      </c>
      <c r="DX392" s="1">
        <f t="shared" si="154"/>
        <v>1551653</v>
      </c>
      <c r="DY392" s="1"/>
      <c r="DZ392" s="1">
        <f t="shared" si="155"/>
        <v>78244</v>
      </c>
      <c r="EA392" s="1">
        <f t="shared" si="148"/>
        <v>79482</v>
      </c>
      <c r="EB392" s="1"/>
      <c r="EC392" s="1">
        <f t="shared" si="156"/>
        <v>1709379</v>
      </c>
      <c r="ED392" s="1">
        <f t="shared" si="152"/>
        <v>0</v>
      </c>
      <c r="EE392" s="1"/>
    </row>
    <row r="393" spans="1:135" x14ac:dyDescent="0.25">
      <c r="A393" s="10">
        <v>44166</v>
      </c>
      <c r="B393">
        <v>0</v>
      </c>
      <c r="C393">
        <v>0</v>
      </c>
      <c r="D393">
        <v>0</v>
      </c>
      <c r="E393">
        <v>0</v>
      </c>
      <c r="F393">
        <v>1529</v>
      </c>
      <c r="G393">
        <v>17951</v>
      </c>
      <c r="H393">
        <v>50626</v>
      </c>
      <c r="I393">
        <v>2132</v>
      </c>
      <c r="J393">
        <v>5199</v>
      </c>
      <c r="K393">
        <v>1739</v>
      </c>
      <c r="L393">
        <v>34594</v>
      </c>
      <c r="M393">
        <v>1306</v>
      </c>
      <c r="N393">
        <v>1122</v>
      </c>
      <c r="O393">
        <v>1865</v>
      </c>
      <c r="P393">
        <v>11382</v>
      </c>
      <c r="Q393">
        <v>303</v>
      </c>
      <c r="R393">
        <v>5031</v>
      </c>
      <c r="S393">
        <v>15864</v>
      </c>
      <c r="T393">
        <v>81</v>
      </c>
      <c r="U393">
        <v>4629</v>
      </c>
      <c r="V393">
        <v>73</v>
      </c>
      <c r="W393">
        <v>21173</v>
      </c>
      <c r="X393">
        <v>489</v>
      </c>
      <c r="Y393">
        <v>4</v>
      </c>
      <c r="Z393">
        <v>0</v>
      </c>
      <c r="AA393">
        <v>3</v>
      </c>
      <c r="AB393">
        <v>79</v>
      </c>
      <c r="AC393">
        <v>19</v>
      </c>
      <c r="AD393">
        <v>26</v>
      </c>
      <c r="AE393">
        <v>15</v>
      </c>
      <c r="AF393">
        <v>48</v>
      </c>
      <c r="AG393">
        <v>235</v>
      </c>
      <c r="AH393">
        <v>2544</v>
      </c>
      <c r="AI393">
        <v>3</v>
      </c>
      <c r="AJ393">
        <v>12885</v>
      </c>
      <c r="AK393">
        <v>114466</v>
      </c>
      <c r="AL393">
        <v>1801</v>
      </c>
      <c r="AM393">
        <v>23205</v>
      </c>
      <c r="AN393">
        <v>8</v>
      </c>
      <c r="AO393">
        <v>7</v>
      </c>
      <c r="AP393">
        <v>12365</v>
      </c>
      <c r="AQ393">
        <v>0</v>
      </c>
      <c r="AR393">
        <v>688</v>
      </c>
      <c r="AS393">
        <v>40</v>
      </c>
      <c r="AT393">
        <v>10621</v>
      </c>
      <c r="AU393">
        <v>2510</v>
      </c>
      <c r="AV393">
        <v>3416</v>
      </c>
      <c r="AW393">
        <v>15633</v>
      </c>
      <c r="AX393">
        <v>16</v>
      </c>
      <c r="AY393">
        <v>0</v>
      </c>
      <c r="AZ393">
        <v>806</v>
      </c>
      <c r="BA393">
        <v>0</v>
      </c>
      <c r="BB393">
        <v>267</v>
      </c>
      <c r="BC393">
        <v>1852</v>
      </c>
      <c r="BD393">
        <v>0</v>
      </c>
      <c r="BE393">
        <v>0</v>
      </c>
      <c r="BF393">
        <v>8912</v>
      </c>
      <c r="BG393">
        <v>0</v>
      </c>
      <c r="BH393">
        <v>0</v>
      </c>
      <c r="BI393">
        <v>0</v>
      </c>
      <c r="BJ393">
        <v>12</v>
      </c>
      <c r="BK393">
        <v>5480</v>
      </c>
      <c r="BL393">
        <v>0</v>
      </c>
      <c r="BM393">
        <v>3</v>
      </c>
      <c r="BN393">
        <v>0</v>
      </c>
      <c r="BO393">
        <v>45408</v>
      </c>
      <c r="BP393">
        <v>93021</v>
      </c>
      <c r="BQ393">
        <v>1678</v>
      </c>
      <c r="BR393">
        <v>24</v>
      </c>
      <c r="BS393">
        <v>35514</v>
      </c>
      <c r="BT393">
        <v>1157</v>
      </c>
      <c r="BU393">
        <v>13</v>
      </c>
      <c r="BV393">
        <v>0</v>
      </c>
      <c r="BW393">
        <v>1</v>
      </c>
      <c r="BX393">
        <v>0</v>
      </c>
      <c r="BY393">
        <v>287</v>
      </c>
      <c r="BZ393">
        <v>0</v>
      </c>
      <c r="CA393">
        <v>30186</v>
      </c>
      <c r="CB393">
        <v>20554</v>
      </c>
      <c r="CC393">
        <v>142615</v>
      </c>
      <c r="CD393">
        <v>342549</v>
      </c>
      <c r="CE393">
        <v>50365</v>
      </c>
      <c r="CF393">
        <v>78999</v>
      </c>
      <c r="CG393">
        <v>0</v>
      </c>
      <c r="CH393">
        <v>9</v>
      </c>
      <c r="CI393">
        <v>0</v>
      </c>
      <c r="CJ393">
        <v>79</v>
      </c>
      <c r="CK393">
        <v>78612</v>
      </c>
      <c r="CL393">
        <v>55454</v>
      </c>
      <c r="CM393">
        <v>280981</v>
      </c>
      <c r="CN393">
        <v>60625</v>
      </c>
      <c r="CO393">
        <v>175</v>
      </c>
      <c r="CP393">
        <v>18393</v>
      </c>
      <c r="CQ393">
        <v>1629</v>
      </c>
      <c r="CR393">
        <v>20</v>
      </c>
      <c r="CY393">
        <v>0</v>
      </c>
      <c r="CZ393">
        <v>0</v>
      </c>
      <c r="DA393">
        <v>0</v>
      </c>
      <c r="DB393">
        <v>13</v>
      </c>
      <c r="DC393">
        <v>0</v>
      </c>
      <c r="DD393">
        <v>23</v>
      </c>
      <c r="DE393">
        <f t="shared" si="149"/>
        <v>1733405</v>
      </c>
      <c r="DG393" s="1">
        <f t="shared" si="140"/>
        <v>1352974</v>
      </c>
      <c r="DH393" s="1">
        <f t="shared" si="141"/>
        <v>300133</v>
      </c>
      <c r="DI393" s="1">
        <f t="shared" si="135"/>
        <v>1653107</v>
      </c>
      <c r="DJ393" s="1"/>
      <c r="DK393" s="1">
        <f t="shared" si="142"/>
        <v>80437</v>
      </c>
      <c r="DL393" s="1">
        <f t="shared" si="150"/>
        <v>150925</v>
      </c>
      <c r="DM393" s="1">
        <f t="shared" si="143"/>
        <v>15864</v>
      </c>
      <c r="DN393" s="1">
        <f t="shared" si="144"/>
        <v>51258</v>
      </c>
      <c r="DO393" s="1">
        <f t="shared" si="145"/>
        <v>568968</v>
      </c>
      <c r="DP393" s="1">
        <f t="shared" si="151"/>
        <v>130390</v>
      </c>
      <c r="DQ393" s="1">
        <f t="shared" si="153"/>
        <v>1649</v>
      </c>
      <c r="DR393" s="1">
        <f t="shared" si="146"/>
        <v>20563</v>
      </c>
      <c r="DS393" s="1">
        <f t="shared" si="147"/>
        <v>45421</v>
      </c>
      <c r="DT393" s="1">
        <f t="shared" si="138"/>
        <v>14393</v>
      </c>
      <c r="DU393" s="1">
        <f t="shared" si="136"/>
        <v>134066</v>
      </c>
      <c r="DV393" s="1">
        <f t="shared" si="139"/>
        <v>341781</v>
      </c>
      <c r="DW393" s="1">
        <f t="shared" si="137"/>
        <v>18393</v>
      </c>
      <c r="DX393" s="1">
        <f t="shared" si="154"/>
        <v>1574108</v>
      </c>
      <c r="DY393" s="1"/>
      <c r="DZ393" s="1">
        <f t="shared" si="155"/>
        <v>78999</v>
      </c>
      <c r="EA393" s="1">
        <f t="shared" si="148"/>
        <v>80298</v>
      </c>
      <c r="EB393" s="1"/>
      <c r="EC393" s="1">
        <f t="shared" si="156"/>
        <v>1733405</v>
      </c>
      <c r="ED393" s="1">
        <f t="shared" si="152"/>
        <v>0</v>
      </c>
      <c r="EE393" s="1"/>
    </row>
    <row r="394" spans="1:135" x14ac:dyDescent="0.25">
      <c r="A394" s="10">
        <v>44197</v>
      </c>
      <c r="B394">
        <v>0</v>
      </c>
      <c r="C394">
        <v>0</v>
      </c>
      <c r="D394">
        <v>0</v>
      </c>
      <c r="E394">
        <v>0</v>
      </c>
      <c r="F394">
        <v>1572</v>
      </c>
      <c r="G394">
        <v>17791</v>
      </c>
      <c r="H394">
        <v>50872</v>
      </c>
      <c r="I394">
        <v>2314</v>
      </c>
      <c r="J394">
        <v>5702</v>
      </c>
      <c r="K394">
        <v>1786</v>
      </c>
      <c r="L394">
        <v>34612</v>
      </c>
      <c r="M394">
        <v>1304</v>
      </c>
      <c r="N394">
        <v>1133</v>
      </c>
      <c r="O394">
        <v>1845</v>
      </c>
      <c r="P394">
        <v>11211</v>
      </c>
      <c r="Q394">
        <v>311</v>
      </c>
      <c r="R394">
        <v>4992</v>
      </c>
      <c r="S394">
        <v>15890</v>
      </c>
      <c r="T394">
        <v>86</v>
      </c>
      <c r="U394">
        <v>4525</v>
      </c>
      <c r="V394">
        <v>80</v>
      </c>
      <c r="W394">
        <v>21418</v>
      </c>
      <c r="X394">
        <v>495</v>
      </c>
      <c r="Y394">
        <v>4</v>
      </c>
      <c r="Z394">
        <v>1</v>
      </c>
      <c r="AA394">
        <v>3</v>
      </c>
      <c r="AB394">
        <v>82</v>
      </c>
      <c r="AC394">
        <v>20</v>
      </c>
      <c r="AD394">
        <v>26</v>
      </c>
      <c r="AE394">
        <v>17</v>
      </c>
      <c r="AF394">
        <v>45</v>
      </c>
      <c r="AG394">
        <v>246</v>
      </c>
      <c r="AH394">
        <v>2542</v>
      </c>
      <c r="AI394">
        <v>2</v>
      </c>
      <c r="AJ394">
        <v>13021</v>
      </c>
      <c r="AK394">
        <v>114600</v>
      </c>
      <c r="AL394">
        <v>1785</v>
      </c>
      <c r="AM394">
        <v>23118</v>
      </c>
      <c r="AN394">
        <v>8</v>
      </c>
      <c r="AO394">
        <v>7</v>
      </c>
      <c r="AP394">
        <v>12369</v>
      </c>
      <c r="AQ394">
        <v>0</v>
      </c>
      <c r="AR394">
        <v>688</v>
      </c>
      <c r="AS394">
        <v>41</v>
      </c>
      <c r="AT394">
        <v>10631</v>
      </c>
      <c r="AU394">
        <v>2514</v>
      </c>
      <c r="AV394">
        <v>3402</v>
      </c>
      <c r="AW394">
        <v>15584</v>
      </c>
      <c r="AX394">
        <v>7</v>
      </c>
      <c r="AY394">
        <v>0</v>
      </c>
      <c r="AZ394">
        <v>813</v>
      </c>
      <c r="BA394">
        <v>0</v>
      </c>
      <c r="BB394">
        <v>266</v>
      </c>
      <c r="BC394">
        <v>1883</v>
      </c>
      <c r="BD394">
        <v>0</v>
      </c>
      <c r="BE394">
        <v>0</v>
      </c>
      <c r="BF394">
        <v>8942</v>
      </c>
      <c r="BG394">
        <v>0</v>
      </c>
      <c r="BH394">
        <v>0</v>
      </c>
      <c r="BI394">
        <v>0</v>
      </c>
      <c r="BJ394">
        <v>12</v>
      </c>
      <c r="BK394">
        <v>5483</v>
      </c>
      <c r="BL394">
        <v>0</v>
      </c>
      <c r="BM394">
        <v>3</v>
      </c>
      <c r="BN394">
        <v>0</v>
      </c>
      <c r="BO394">
        <v>45739</v>
      </c>
      <c r="BP394">
        <v>94284</v>
      </c>
      <c r="BQ394">
        <v>1676</v>
      </c>
      <c r="BR394">
        <v>25</v>
      </c>
      <c r="BS394">
        <v>36247</v>
      </c>
      <c r="BT394">
        <v>1170</v>
      </c>
      <c r="BU394">
        <v>4</v>
      </c>
      <c r="BV394">
        <v>0</v>
      </c>
      <c r="BW394">
        <v>1</v>
      </c>
      <c r="BX394">
        <v>0</v>
      </c>
      <c r="BY394">
        <v>283</v>
      </c>
      <c r="BZ394">
        <v>0</v>
      </c>
      <c r="CA394">
        <v>30327</v>
      </c>
      <c r="CB394">
        <v>20947</v>
      </c>
      <c r="CC394">
        <v>142899</v>
      </c>
      <c r="CD394">
        <v>346472</v>
      </c>
      <c r="CE394">
        <v>51511</v>
      </c>
      <c r="CF394">
        <v>79937</v>
      </c>
      <c r="CG394">
        <v>0</v>
      </c>
      <c r="CH394">
        <v>13</v>
      </c>
      <c r="CI394">
        <v>0</v>
      </c>
      <c r="CJ394">
        <v>78</v>
      </c>
      <c r="CK394">
        <v>79816</v>
      </c>
      <c r="CL394">
        <v>56404</v>
      </c>
      <c r="CM394">
        <v>292696</v>
      </c>
      <c r="CN394">
        <v>63811</v>
      </c>
      <c r="CO394">
        <v>179</v>
      </c>
      <c r="CP394">
        <v>18213</v>
      </c>
      <c r="CQ394">
        <v>1601</v>
      </c>
      <c r="CR394">
        <v>17</v>
      </c>
      <c r="CY394">
        <v>0</v>
      </c>
      <c r="CZ394">
        <v>0</v>
      </c>
      <c r="DA394">
        <v>0</v>
      </c>
      <c r="DB394">
        <v>12</v>
      </c>
      <c r="DC394">
        <v>0</v>
      </c>
      <c r="DD394">
        <v>23</v>
      </c>
      <c r="DE394">
        <f t="shared" si="149"/>
        <v>1760454</v>
      </c>
      <c r="DG394" s="1">
        <f t="shared" si="140"/>
        <v>1379062</v>
      </c>
      <c r="DH394" s="1">
        <f t="shared" si="141"/>
        <v>300222</v>
      </c>
      <c r="DI394" s="1">
        <f t="shared" si="135"/>
        <v>1679284</v>
      </c>
      <c r="DJ394" s="1"/>
      <c r="DK394" s="1">
        <f t="shared" si="142"/>
        <v>80384</v>
      </c>
      <c r="DL394" s="1">
        <f t="shared" si="150"/>
        <v>151206</v>
      </c>
      <c r="DM394" s="1">
        <f t="shared" si="143"/>
        <v>15890</v>
      </c>
      <c r="DN394" s="1">
        <f t="shared" si="144"/>
        <v>51123</v>
      </c>
      <c r="DO394" s="1">
        <f t="shared" si="145"/>
        <v>574460</v>
      </c>
      <c r="DP394" s="1">
        <f t="shared" si="151"/>
        <v>132417</v>
      </c>
      <c r="DQ394" s="1">
        <f t="shared" si="153"/>
        <v>1618</v>
      </c>
      <c r="DR394" s="1">
        <f t="shared" si="146"/>
        <v>20961</v>
      </c>
      <c r="DS394" s="1">
        <f t="shared" si="147"/>
        <v>45743</v>
      </c>
      <c r="DT394" s="1">
        <f t="shared" si="138"/>
        <v>14426</v>
      </c>
      <c r="DU394" s="1">
        <f t="shared" si="136"/>
        <v>136220</v>
      </c>
      <c r="DV394" s="1">
        <f t="shared" si="139"/>
        <v>356686</v>
      </c>
      <c r="DW394" s="1">
        <f t="shared" si="137"/>
        <v>18213</v>
      </c>
      <c r="DX394" s="1">
        <f t="shared" si="154"/>
        <v>1599347</v>
      </c>
      <c r="DY394" s="1"/>
      <c r="DZ394" s="1">
        <f t="shared" si="155"/>
        <v>79937</v>
      </c>
      <c r="EA394" s="1">
        <f t="shared" si="148"/>
        <v>81170</v>
      </c>
      <c r="EB394" s="1"/>
      <c r="EC394" s="1">
        <f t="shared" si="156"/>
        <v>1760454</v>
      </c>
      <c r="ED394" s="1">
        <f t="shared" si="152"/>
        <v>0</v>
      </c>
      <c r="EE394" s="1"/>
    </row>
    <row r="395" spans="1:135" x14ac:dyDescent="0.25">
      <c r="A395" s="10">
        <v>44228</v>
      </c>
      <c r="B395">
        <v>0</v>
      </c>
      <c r="C395">
        <v>0</v>
      </c>
      <c r="D395">
        <v>0</v>
      </c>
      <c r="E395">
        <v>0</v>
      </c>
      <c r="F395">
        <v>1629</v>
      </c>
      <c r="G395">
        <v>17674</v>
      </c>
      <c r="H395">
        <v>50949</v>
      </c>
      <c r="I395">
        <v>2486</v>
      </c>
      <c r="J395">
        <v>6021</v>
      </c>
      <c r="K395">
        <v>1834</v>
      </c>
      <c r="L395">
        <v>34577</v>
      </c>
      <c r="M395">
        <v>1292</v>
      </c>
      <c r="N395">
        <v>1123</v>
      </c>
      <c r="O395">
        <v>1808</v>
      </c>
      <c r="P395">
        <v>11080</v>
      </c>
      <c r="Q395">
        <v>313</v>
      </c>
      <c r="R395">
        <v>4911</v>
      </c>
      <c r="S395">
        <v>15894</v>
      </c>
      <c r="T395">
        <v>87</v>
      </c>
      <c r="U395">
        <v>4438</v>
      </c>
      <c r="V395">
        <v>82</v>
      </c>
      <c r="W395">
        <v>21573</v>
      </c>
      <c r="X395">
        <v>491</v>
      </c>
      <c r="Y395">
        <v>4</v>
      </c>
      <c r="Z395">
        <v>2</v>
      </c>
      <c r="AA395">
        <v>3</v>
      </c>
      <c r="AB395">
        <v>84</v>
      </c>
      <c r="AC395">
        <v>20</v>
      </c>
      <c r="AD395">
        <v>26</v>
      </c>
      <c r="AE395">
        <v>17</v>
      </c>
      <c r="AF395">
        <v>45</v>
      </c>
      <c r="AG395">
        <v>245</v>
      </c>
      <c r="AH395">
        <v>2557</v>
      </c>
      <c r="AI395">
        <v>2</v>
      </c>
      <c r="AJ395">
        <v>13091</v>
      </c>
      <c r="AK395">
        <v>114704</v>
      </c>
      <c r="AL395">
        <v>1768</v>
      </c>
      <c r="AM395">
        <v>23085</v>
      </c>
      <c r="AN395">
        <v>6</v>
      </c>
      <c r="AO395">
        <v>7</v>
      </c>
      <c r="AP395">
        <v>12421</v>
      </c>
      <c r="AQ395">
        <v>0</v>
      </c>
      <c r="AR395">
        <v>690</v>
      </c>
      <c r="AS395">
        <v>42</v>
      </c>
      <c r="AT395">
        <v>10635</v>
      </c>
      <c r="AU395">
        <v>2519</v>
      </c>
      <c r="AV395">
        <v>3402</v>
      </c>
      <c r="AW395">
        <v>15524</v>
      </c>
      <c r="AX395">
        <v>9</v>
      </c>
      <c r="AY395">
        <v>0</v>
      </c>
      <c r="AZ395">
        <v>814</v>
      </c>
      <c r="BA395">
        <v>0</v>
      </c>
      <c r="BB395">
        <v>277</v>
      </c>
      <c r="BC395">
        <v>1911</v>
      </c>
      <c r="BD395">
        <v>0</v>
      </c>
      <c r="BE395">
        <v>0</v>
      </c>
      <c r="BF395">
        <v>8966</v>
      </c>
      <c r="BG395">
        <v>0</v>
      </c>
      <c r="BH395">
        <v>0</v>
      </c>
      <c r="BI395">
        <v>0</v>
      </c>
      <c r="BJ395">
        <v>11</v>
      </c>
      <c r="BK395">
        <v>5504</v>
      </c>
      <c r="BL395">
        <v>0</v>
      </c>
      <c r="BM395">
        <v>2</v>
      </c>
      <c r="BN395">
        <v>0</v>
      </c>
      <c r="BO395">
        <v>45852</v>
      </c>
      <c r="BP395">
        <v>95234</v>
      </c>
      <c r="BQ395">
        <v>1687</v>
      </c>
      <c r="BR395">
        <v>25</v>
      </c>
      <c r="BS395">
        <v>36801</v>
      </c>
      <c r="BT395">
        <v>1168</v>
      </c>
      <c r="BU395">
        <v>1</v>
      </c>
      <c r="BV395">
        <v>0</v>
      </c>
      <c r="BW395">
        <v>1</v>
      </c>
      <c r="BX395">
        <v>0</v>
      </c>
      <c r="BY395">
        <v>289</v>
      </c>
      <c r="BZ395">
        <v>0</v>
      </c>
      <c r="CA395">
        <v>30104</v>
      </c>
      <c r="CB395">
        <v>21329</v>
      </c>
      <c r="CC395">
        <v>142781</v>
      </c>
      <c r="CD395">
        <v>349770</v>
      </c>
      <c r="CE395">
        <v>52445</v>
      </c>
      <c r="CF395">
        <v>80362</v>
      </c>
      <c r="CG395">
        <v>0</v>
      </c>
      <c r="CH395">
        <v>13</v>
      </c>
      <c r="CI395">
        <v>0</v>
      </c>
      <c r="CJ395">
        <v>79</v>
      </c>
      <c r="CK395">
        <v>80442</v>
      </c>
      <c r="CL395">
        <v>57229</v>
      </c>
      <c r="CM395">
        <v>299806</v>
      </c>
      <c r="CN395">
        <v>65032</v>
      </c>
      <c r="CO395">
        <v>175</v>
      </c>
      <c r="CP395">
        <v>18027</v>
      </c>
      <c r="CQ395">
        <v>1591</v>
      </c>
      <c r="CR395">
        <v>19</v>
      </c>
      <c r="CY395">
        <v>0</v>
      </c>
      <c r="CZ395">
        <v>0</v>
      </c>
      <c r="DA395">
        <v>0</v>
      </c>
      <c r="DB395">
        <v>12</v>
      </c>
      <c r="DC395">
        <v>0</v>
      </c>
      <c r="DD395">
        <v>23</v>
      </c>
      <c r="DE395">
        <f t="shared" si="149"/>
        <v>1776917</v>
      </c>
      <c r="DG395" s="1">
        <f t="shared" si="140"/>
        <v>1395055</v>
      </c>
      <c r="DH395" s="1">
        <f t="shared" si="141"/>
        <v>300146</v>
      </c>
      <c r="DI395" s="1">
        <f t="shared" si="135"/>
        <v>1695201</v>
      </c>
      <c r="DJ395" s="1"/>
      <c r="DK395" s="1">
        <f t="shared" si="142"/>
        <v>80161</v>
      </c>
      <c r="DL395" s="1">
        <f t="shared" si="150"/>
        <v>151397</v>
      </c>
      <c r="DM395" s="1">
        <f t="shared" si="143"/>
        <v>15894</v>
      </c>
      <c r="DN395" s="1">
        <f t="shared" si="144"/>
        <v>51082</v>
      </c>
      <c r="DO395" s="1">
        <f t="shared" si="145"/>
        <v>578368</v>
      </c>
      <c r="DP395" s="1">
        <f t="shared" si="151"/>
        <v>133948</v>
      </c>
      <c r="DQ395" s="1">
        <f t="shared" si="153"/>
        <v>1610</v>
      </c>
      <c r="DR395" s="1">
        <f t="shared" si="146"/>
        <v>21344</v>
      </c>
      <c r="DS395" s="1">
        <f t="shared" si="147"/>
        <v>45853</v>
      </c>
      <c r="DT395" s="1">
        <f t="shared" si="138"/>
        <v>14471</v>
      </c>
      <c r="DU395" s="1">
        <f t="shared" si="136"/>
        <v>137671</v>
      </c>
      <c r="DV395" s="1">
        <f t="shared" si="139"/>
        <v>365013</v>
      </c>
      <c r="DW395" s="1">
        <f t="shared" si="137"/>
        <v>18027</v>
      </c>
      <c r="DX395" s="1">
        <f t="shared" si="154"/>
        <v>1614839</v>
      </c>
      <c r="DY395" s="1"/>
      <c r="DZ395" s="1">
        <f t="shared" si="155"/>
        <v>80362</v>
      </c>
      <c r="EA395" s="1">
        <f t="shared" si="148"/>
        <v>81716</v>
      </c>
      <c r="EB395" s="1"/>
      <c r="EC395" s="1">
        <f t="shared" si="156"/>
        <v>1776917</v>
      </c>
      <c r="ED395" s="1">
        <f t="shared" si="152"/>
        <v>0</v>
      </c>
      <c r="EE395" s="1"/>
    </row>
    <row r="396" spans="1:135" x14ac:dyDescent="0.25">
      <c r="A396" s="10">
        <v>44256</v>
      </c>
      <c r="B396">
        <v>0</v>
      </c>
      <c r="C396">
        <v>0</v>
      </c>
      <c r="D396">
        <v>0</v>
      </c>
      <c r="E396">
        <v>0</v>
      </c>
      <c r="F396">
        <v>1624</v>
      </c>
      <c r="G396">
        <v>17600</v>
      </c>
      <c r="H396">
        <v>50928</v>
      </c>
      <c r="I396">
        <v>2630</v>
      </c>
      <c r="J396">
        <v>6374</v>
      </c>
      <c r="K396">
        <v>1838</v>
      </c>
      <c r="L396">
        <v>34636</v>
      </c>
      <c r="M396">
        <v>1281</v>
      </c>
      <c r="N396">
        <v>1135</v>
      </c>
      <c r="O396">
        <v>1782</v>
      </c>
      <c r="P396">
        <v>10955</v>
      </c>
      <c r="Q396">
        <v>316</v>
      </c>
      <c r="R396">
        <v>4864</v>
      </c>
      <c r="S396">
        <v>15872</v>
      </c>
      <c r="T396">
        <v>95</v>
      </c>
      <c r="U396">
        <v>4404</v>
      </c>
      <c r="V396">
        <v>87</v>
      </c>
      <c r="W396">
        <v>21774</v>
      </c>
      <c r="X396">
        <v>495</v>
      </c>
      <c r="Y396">
        <v>4</v>
      </c>
      <c r="Z396">
        <v>4</v>
      </c>
      <c r="AA396">
        <v>3</v>
      </c>
      <c r="AB396">
        <v>82</v>
      </c>
      <c r="AC396">
        <v>22</v>
      </c>
      <c r="AD396">
        <v>25</v>
      </c>
      <c r="AE396">
        <v>17</v>
      </c>
      <c r="AF396">
        <v>46</v>
      </c>
      <c r="AG396">
        <v>237</v>
      </c>
      <c r="AH396">
        <v>2545</v>
      </c>
      <c r="AI396">
        <v>2</v>
      </c>
      <c r="AJ396">
        <v>13195</v>
      </c>
      <c r="AK396">
        <v>114828</v>
      </c>
      <c r="AL396">
        <v>1743</v>
      </c>
      <c r="AM396">
        <v>23050</v>
      </c>
      <c r="AN396">
        <v>7</v>
      </c>
      <c r="AO396">
        <v>7</v>
      </c>
      <c r="AP396">
        <v>12466</v>
      </c>
      <c r="AQ396">
        <v>0</v>
      </c>
      <c r="AR396">
        <v>699</v>
      </c>
      <c r="AS396">
        <v>41</v>
      </c>
      <c r="AT396">
        <v>10699</v>
      </c>
      <c r="AU396">
        <v>2523</v>
      </c>
      <c r="AV396">
        <v>3403</v>
      </c>
      <c r="AW396">
        <v>15467</v>
      </c>
      <c r="AX396">
        <v>11</v>
      </c>
      <c r="AY396">
        <v>1</v>
      </c>
      <c r="AZ396">
        <v>814</v>
      </c>
      <c r="BA396">
        <v>0</v>
      </c>
      <c r="BB396">
        <v>286</v>
      </c>
      <c r="BC396">
        <v>1925</v>
      </c>
      <c r="BD396">
        <v>0</v>
      </c>
      <c r="BE396">
        <v>0</v>
      </c>
      <c r="BF396">
        <v>8996</v>
      </c>
      <c r="BG396">
        <v>0</v>
      </c>
      <c r="BH396">
        <v>0</v>
      </c>
      <c r="BI396">
        <v>0</v>
      </c>
      <c r="BJ396">
        <v>11</v>
      </c>
      <c r="BK396">
        <v>5488</v>
      </c>
      <c r="BL396">
        <v>0</v>
      </c>
      <c r="BM396">
        <v>2</v>
      </c>
      <c r="BN396">
        <v>0</v>
      </c>
      <c r="BO396">
        <v>45928</v>
      </c>
      <c r="BP396">
        <v>96313</v>
      </c>
      <c r="BQ396">
        <v>1695</v>
      </c>
      <c r="BR396">
        <v>26</v>
      </c>
      <c r="BS396">
        <v>37419</v>
      </c>
      <c r="BT396">
        <v>1161</v>
      </c>
      <c r="BU396">
        <v>0</v>
      </c>
      <c r="BV396">
        <v>0</v>
      </c>
      <c r="BW396">
        <v>1</v>
      </c>
      <c r="BX396">
        <v>0</v>
      </c>
      <c r="BY396">
        <v>289</v>
      </c>
      <c r="BZ396">
        <v>0</v>
      </c>
      <c r="CA396">
        <v>29951</v>
      </c>
      <c r="CB396">
        <v>21475</v>
      </c>
      <c r="CC396">
        <v>142968</v>
      </c>
      <c r="CD396">
        <v>352662</v>
      </c>
      <c r="CE396">
        <v>52811</v>
      </c>
      <c r="CF396">
        <v>80762</v>
      </c>
      <c r="CG396">
        <v>0</v>
      </c>
      <c r="CH396">
        <v>14</v>
      </c>
      <c r="CI396">
        <v>0</v>
      </c>
      <c r="CJ396">
        <v>83</v>
      </c>
      <c r="CK396">
        <v>80993</v>
      </c>
      <c r="CL396">
        <v>57866</v>
      </c>
      <c r="CM396">
        <v>306094</v>
      </c>
      <c r="CN396">
        <v>65962</v>
      </c>
      <c r="CO396">
        <v>158</v>
      </c>
      <c r="CP396">
        <v>17928</v>
      </c>
      <c r="CQ396">
        <v>1585</v>
      </c>
      <c r="CR396">
        <v>19</v>
      </c>
      <c r="CY396">
        <v>0</v>
      </c>
      <c r="CZ396">
        <v>0</v>
      </c>
      <c r="DA396">
        <v>0</v>
      </c>
      <c r="DB396">
        <v>12</v>
      </c>
      <c r="DC396">
        <v>0</v>
      </c>
      <c r="DD396">
        <v>23</v>
      </c>
      <c r="DE396">
        <f t="shared" si="149"/>
        <v>1791502</v>
      </c>
      <c r="DG396" s="1">
        <f t="shared" si="140"/>
        <v>1408993</v>
      </c>
      <c r="DH396" s="1">
        <f t="shared" si="141"/>
        <v>300380</v>
      </c>
      <c r="DI396" s="1">
        <f t="shared" si="135"/>
        <v>1709373</v>
      </c>
      <c r="DJ396" s="1"/>
      <c r="DK396" s="1">
        <f t="shared" si="142"/>
        <v>80194</v>
      </c>
      <c r="DL396" s="1">
        <f t="shared" si="150"/>
        <v>151670</v>
      </c>
      <c r="DM396" s="1">
        <f t="shared" si="143"/>
        <v>15872</v>
      </c>
      <c r="DN396" s="1">
        <f t="shared" si="144"/>
        <v>51036</v>
      </c>
      <c r="DO396" s="1">
        <f t="shared" si="145"/>
        <v>581668</v>
      </c>
      <c r="DP396" s="1">
        <f t="shared" si="151"/>
        <v>135660</v>
      </c>
      <c r="DQ396" s="1">
        <f t="shared" si="153"/>
        <v>1604</v>
      </c>
      <c r="DR396" s="1">
        <f t="shared" si="146"/>
        <v>21493</v>
      </c>
      <c r="DS396" s="1">
        <f t="shared" si="147"/>
        <v>45928</v>
      </c>
      <c r="DT396" s="1">
        <f t="shared" si="138"/>
        <v>14485</v>
      </c>
      <c r="DU396" s="1">
        <f t="shared" si="136"/>
        <v>138859</v>
      </c>
      <c r="DV396" s="1">
        <f t="shared" si="139"/>
        <v>372214</v>
      </c>
      <c r="DW396" s="1">
        <f t="shared" si="137"/>
        <v>17928</v>
      </c>
      <c r="DX396" s="1">
        <f t="shared" si="154"/>
        <v>1628611</v>
      </c>
      <c r="DY396" s="1"/>
      <c r="DZ396" s="1">
        <f t="shared" si="155"/>
        <v>80762</v>
      </c>
      <c r="EA396" s="1">
        <f t="shared" si="148"/>
        <v>82129</v>
      </c>
      <c r="EB396" s="1"/>
      <c r="EC396" s="1">
        <f t="shared" si="156"/>
        <v>1791502</v>
      </c>
      <c r="ED396" s="1">
        <f t="shared" si="152"/>
        <v>0</v>
      </c>
      <c r="EE396" s="1"/>
    </row>
    <row r="397" spans="1:135" x14ac:dyDescent="0.25">
      <c r="A397" s="10">
        <v>44287</v>
      </c>
      <c r="B397">
        <v>0</v>
      </c>
      <c r="C397">
        <v>0</v>
      </c>
      <c r="D397">
        <v>0</v>
      </c>
      <c r="E397">
        <v>0</v>
      </c>
      <c r="F397">
        <v>1636</v>
      </c>
      <c r="G397">
        <v>17412</v>
      </c>
      <c r="H397">
        <v>51044</v>
      </c>
      <c r="I397">
        <v>2717</v>
      </c>
      <c r="J397">
        <v>6649</v>
      </c>
      <c r="K397">
        <v>1847</v>
      </c>
      <c r="L397">
        <v>34695</v>
      </c>
      <c r="M397">
        <v>1268</v>
      </c>
      <c r="N397">
        <v>1142</v>
      </c>
      <c r="O397">
        <v>1799</v>
      </c>
      <c r="P397">
        <v>11000</v>
      </c>
      <c r="Q397">
        <v>323</v>
      </c>
      <c r="R397">
        <v>4904</v>
      </c>
      <c r="S397">
        <v>15909</v>
      </c>
      <c r="T397">
        <v>97</v>
      </c>
      <c r="U397">
        <v>4390</v>
      </c>
      <c r="V397">
        <v>87</v>
      </c>
      <c r="W397">
        <v>22079</v>
      </c>
      <c r="X397">
        <v>498</v>
      </c>
      <c r="Y397">
        <v>4</v>
      </c>
      <c r="Z397">
        <v>2</v>
      </c>
      <c r="AA397">
        <v>3</v>
      </c>
      <c r="AB397">
        <v>86</v>
      </c>
      <c r="AC397">
        <v>21</v>
      </c>
      <c r="AD397">
        <v>26</v>
      </c>
      <c r="AE397">
        <v>17</v>
      </c>
      <c r="AF397">
        <v>45</v>
      </c>
      <c r="AG397">
        <v>255</v>
      </c>
      <c r="AH397">
        <v>2544</v>
      </c>
      <c r="AI397">
        <v>2</v>
      </c>
      <c r="AJ397">
        <v>13300</v>
      </c>
      <c r="AK397">
        <v>115016</v>
      </c>
      <c r="AL397">
        <v>1725</v>
      </c>
      <c r="AM397">
        <v>23095</v>
      </c>
      <c r="AN397">
        <v>8</v>
      </c>
      <c r="AO397">
        <v>7</v>
      </c>
      <c r="AP397">
        <v>12516</v>
      </c>
      <c r="AQ397">
        <v>0</v>
      </c>
      <c r="AR397">
        <v>720</v>
      </c>
      <c r="AS397">
        <v>42</v>
      </c>
      <c r="AT397">
        <v>10736</v>
      </c>
      <c r="AU397">
        <v>2525</v>
      </c>
      <c r="AV397">
        <v>3433</v>
      </c>
      <c r="AW397">
        <v>15390</v>
      </c>
      <c r="AX397">
        <v>6</v>
      </c>
      <c r="AY397">
        <v>1</v>
      </c>
      <c r="AZ397">
        <v>821</v>
      </c>
      <c r="BA397">
        <v>0</v>
      </c>
      <c r="BB397">
        <v>288</v>
      </c>
      <c r="BC397">
        <v>1937</v>
      </c>
      <c r="BD397">
        <v>0</v>
      </c>
      <c r="BE397">
        <v>0</v>
      </c>
      <c r="BF397">
        <v>9037</v>
      </c>
      <c r="BG397">
        <v>0</v>
      </c>
      <c r="BH397">
        <v>0</v>
      </c>
      <c r="BI397">
        <v>0</v>
      </c>
      <c r="BJ397">
        <v>11</v>
      </c>
      <c r="BK397">
        <v>5533</v>
      </c>
      <c r="BL397">
        <v>0</v>
      </c>
      <c r="BM397">
        <v>1</v>
      </c>
      <c r="BN397">
        <v>0</v>
      </c>
      <c r="BO397">
        <v>46179</v>
      </c>
      <c r="BP397">
        <v>97177</v>
      </c>
      <c r="BQ397">
        <v>1679</v>
      </c>
      <c r="BR397">
        <v>29</v>
      </c>
      <c r="BS397">
        <v>37870</v>
      </c>
      <c r="BT397">
        <v>1186</v>
      </c>
      <c r="BU397">
        <v>0</v>
      </c>
      <c r="BV397">
        <v>0</v>
      </c>
      <c r="BW397">
        <v>1</v>
      </c>
      <c r="BX397">
        <v>0</v>
      </c>
      <c r="BY397">
        <v>287</v>
      </c>
      <c r="BZ397">
        <v>0</v>
      </c>
      <c r="CA397">
        <v>29840</v>
      </c>
      <c r="CB397">
        <v>21879</v>
      </c>
      <c r="CC397">
        <v>142922</v>
      </c>
      <c r="CD397">
        <v>355839</v>
      </c>
      <c r="CE397">
        <v>53820</v>
      </c>
      <c r="CF397">
        <v>81284</v>
      </c>
      <c r="CG397">
        <v>0</v>
      </c>
      <c r="CH397">
        <v>14</v>
      </c>
      <c r="CI397">
        <v>0</v>
      </c>
      <c r="CJ397">
        <v>87</v>
      </c>
      <c r="CK397">
        <v>81773</v>
      </c>
      <c r="CL397">
        <v>58669</v>
      </c>
      <c r="CM397">
        <v>313127</v>
      </c>
      <c r="CN397">
        <v>67221</v>
      </c>
      <c r="CO397">
        <v>128</v>
      </c>
      <c r="CP397">
        <v>17742</v>
      </c>
      <c r="CQ397">
        <v>1569</v>
      </c>
      <c r="CR397">
        <v>11</v>
      </c>
      <c r="CY397">
        <v>0</v>
      </c>
      <c r="CZ397">
        <v>0</v>
      </c>
      <c r="DA397">
        <v>0</v>
      </c>
      <c r="DB397">
        <v>12</v>
      </c>
      <c r="DC397">
        <v>0</v>
      </c>
      <c r="DD397">
        <v>23</v>
      </c>
      <c r="DE397">
        <f t="shared" si="149"/>
        <v>1808982</v>
      </c>
      <c r="DG397" s="1">
        <f t="shared" si="140"/>
        <v>1425279</v>
      </c>
      <c r="DH397" s="1">
        <f t="shared" si="141"/>
        <v>301256</v>
      </c>
      <c r="DI397" s="1">
        <f t="shared" si="135"/>
        <v>1726535</v>
      </c>
      <c r="DJ397" s="1"/>
      <c r="DK397" s="1">
        <f t="shared" si="142"/>
        <v>80642</v>
      </c>
      <c r="DL397" s="1">
        <f t="shared" si="150"/>
        <v>152070</v>
      </c>
      <c r="DM397" s="1">
        <f t="shared" si="143"/>
        <v>15909</v>
      </c>
      <c r="DN397" s="1">
        <f t="shared" si="144"/>
        <v>51053</v>
      </c>
      <c r="DO397" s="1">
        <f t="shared" si="145"/>
        <v>585706</v>
      </c>
      <c r="DP397" s="1">
        <f t="shared" si="151"/>
        <v>136986</v>
      </c>
      <c r="DQ397" s="1">
        <f t="shared" si="153"/>
        <v>1580</v>
      </c>
      <c r="DR397" s="1">
        <f t="shared" si="146"/>
        <v>21895</v>
      </c>
      <c r="DS397" s="1">
        <f t="shared" si="147"/>
        <v>46179</v>
      </c>
      <c r="DT397" s="1">
        <f t="shared" si="138"/>
        <v>14571</v>
      </c>
      <c r="DU397" s="1">
        <f t="shared" si="136"/>
        <v>140442</v>
      </c>
      <c r="DV397" s="1">
        <f t="shared" si="139"/>
        <v>380476</v>
      </c>
      <c r="DW397" s="1">
        <f t="shared" si="137"/>
        <v>17742</v>
      </c>
      <c r="DX397" s="1">
        <f t="shared" si="154"/>
        <v>1645251</v>
      </c>
      <c r="DY397" s="1"/>
      <c r="DZ397" s="1">
        <f t="shared" si="155"/>
        <v>81284</v>
      </c>
      <c r="EA397" s="1">
        <f t="shared" si="148"/>
        <v>82447</v>
      </c>
      <c r="EB397" s="1"/>
      <c r="EC397" s="1">
        <f t="shared" si="156"/>
        <v>1808982</v>
      </c>
      <c r="ED397" s="1">
        <f t="shared" si="152"/>
        <v>0</v>
      </c>
      <c r="EE397" s="1"/>
    </row>
    <row r="398" spans="1:135" x14ac:dyDescent="0.25">
      <c r="A398" s="10">
        <v>44317</v>
      </c>
      <c r="B398">
        <v>0</v>
      </c>
      <c r="C398">
        <v>0</v>
      </c>
      <c r="D398">
        <v>0</v>
      </c>
      <c r="E398">
        <v>0</v>
      </c>
      <c r="F398">
        <v>1682</v>
      </c>
      <c r="G398">
        <v>17178</v>
      </c>
      <c r="H398">
        <v>51063</v>
      </c>
      <c r="I398">
        <v>2723</v>
      </c>
      <c r="J398">
        <v>6855</v>
      </c>
      <c r="K398">
        <v>1873</v>
      </c>
      <c r="L398">
        <v>34695</v>
      </c>
      <c r="M398">
        <v>1260</v>
      </c>
      <c r="N398">
        <v>1134</v>
      </c>
      <c r="O398">
        <v>1797</v>
      </c>
      <c r="P398">
        <v>11054</v>
      </c>
      <c r="Q398">
        <v>323</v>
      </c>
      <c r="R398">
        <v>4892</v>
      </c>
      <c r="S398">
        <v>15942</v>
      </c>
      <c r="T398">
        <v>108</v>
      </c>
      <c r="U398">
        <v>4387</v>
      </c>
      <c r="V398">
        <v>90</v>
      </c>
      <c r="W398">
        <v>22429</v>
      </c>
      <c r="X398">
        <v>500</v>
      </c>
      <c r="Y398">
        <v>4</v>
      </c>
      <c r="Z398">
        <v>0</v>
      </c>
      <c r="AA398">
        <v>3</v>
      </c>
      <c r="AB398">
        <v>88</v>
      </c>
      <c r="AC398">
        <v>21</v>
      </c>
      <c r="AD398">
        <v>26</v>
      </c>
      <c r="AE398">
        <v>16</v>
      </c>
      <c r="AF398">
        <v>44</v>
      </c>
      <c r="AG398">
        <v>259</v>
      </c>
      <c r="AH398">
        <v>2552</v>
      </c>
      <c r="AI398">
        <v>3</v>
      </c>
      <c r="AJ398">
        <v>13392</v>
      </c>
      <c r="AK398">
        <v>115071</v>
      </c>
      <c r="AL398">
        <v>1714</v>
      </c>
      <c r="AM398">
        <v>23028</v>
      </c>
      <c r="AN398">
        <v>7</v>
      </c>
      <c r="AO398">
        <v>7</v>
      </c>
      <c r="AP398">
        <v>12506</v>
      </c>
      <c r="AQ398">
        <v>0</v>
      </c>
      <c r="AR398">
        <v>727</v>
      </c>
      <c r="AS398">
        <v>42</v>
      </c>
      <c r="AT398">
        <v>10833</v>
      </c>
      <c r="AU398">
        <v>2530</v>
      </c>
      <c r="AV398">
        <v>3430</v>
      </c>
      <c r="AW398">
        <v>15356</v>
      </c>
      <c r="AX398">
        <v>7</v>
      </c>
      <c r="AY398">
        <v>0</v>
      </c>
      <c r="AZ398">
        <v>822</v>
      </c>
      <c r="BA398">
        <v>0</v>
      </c>
      <c r="BB398">
        <v>294</v>
      </c>
      <c r="BC398">
        <v>1945</v>
      </c>
      <c r="BD398">
        <v>0</v>
      </c>
      <c r="BE398">
        <v>0</v>
      </c>
      <c r="BF398">
        <v>9054</v>
      </c>
      <c r="BG398">
        <v>0</v>
      </c>
      <c r="BH398">
        <v>0</v>
      </c>
      <c r="BI398">
        <v>0</v>
      </c>
      <c r="BJ398">
        <v>12</v>
      </c>
      <c r="BK398">
        <v>5588</v>
      </c>
      <c r="BL398">
        <v>0</v>
      </c>
      <c r="BM398">
        <v>0</v>
      </c>
      <c r="BN398">
        <v>0</v>
      </c>
      <c r="BO398">
        <v>46349</v>
      </c>
      <c r="BP398">
        <v>97884</v>
      </c>
      <c r="BQ398">
        <v>1677</v>
      </c>
      <c r="BR398">
        <v>29</v>
      </c>
      <c r="BS398">
        <v>38344</v>
      </c>
      <c r="BT398">
        <v>1194</v>
      </c>
      <c r="BU398">
        <v>0</v>
      </c>
      <c r="BV398">
        <v>0</v>
      </c>
      <c r="BW398">
        <v>1</v>
      </c>
      <c r="BX398">
        <v>0</v>
      </c>
      <c r="BY398">
        <v>283</v>
      </c>
      <c r="BZ398">
        <v>0</v>
      </c>
      <c r="CA398">
        <v>29823</v>
      </c>
      <c r="CB398">
        <v>22293</v>
      </c>
      <c r="CC398">
        <v>142865</v>
      </c>
      <c r="CD398">
        <v>358555</v>
      </c>
      <c r="CE398">
        <v>54460</v>
      </c>
      <c r="CF398">
        <v>81897</v>
      </c>
      <c r="CG398">
        <v>0</v>
      </c>
      <c r="CH398">
        <v>15</v>
      </c>
      <c r="CI398">
        <v>0</v>
      </c>
      <c r="CJ398">
        <v>87</v>
      </c>
      <c r="CK398">
        <v>82525</v>
      </c>
      <c r="CL398">
        <v>59434</v>
      </c>
      <c r="CM398">
        <v>319336</v>
      </c>
      <c r="CN398">
        <v>68593</v>
      </c>
      <c r="CO398">
        <v>120</v>
      </c>
      <c r="CP398">
        <v>17630</v>
      </c>
      <c r="CQ398">
        <v>1558</v>
      </c>
      <c r="CR398">
        <v>12</v>
      </c>
      <c r="CY398">
        <v>0</v>
      </c>
      <c r="CZ398">
        <v>0</v>
      </c>
      <c r="DA398">
        <v>0</v>
      </c>
      <c r="DB398">
        <v>12</v>
      </c>
      <c r="DC398">
        <v>0</v>
      </c>
      <c r="DD398">
        <v>23</v>
      </c>
      <c r="DE398">
        <f t="shared" si="149"/>
        <v>1824330</v>
      </c>
      <c r="DG398" s="1">
        <f t="shared" si="140"/>
        <v>1440000</v>
      </c>
      <c r="DH398" s="1">
        <f t="shared" si="141"/>
        <v>301822</v>
      </c>
      <c r="DI398" s="1">
        <f t="shared" si="135"/>
        <v>1741822</v>
      </c>
      <c r="DJ398" s="1"/>
      <c r="DK398" s="1">
        <f t="shared" si="142"/>
        <v>81035</v>
      </c>
      <c r="DL398" s="1">
        <f t="shared" si="150"/>
        <v>152334</v>
      </c>
      <c r="DM398" s="1">
        <f t="shared" si="143"/>
        <v>15942</v>
      </c>
      <c r="DN398" s="1">
        <f t="shared" si="144"/>
        <v>50941</v>
      </c>
      <c r="DO398" s="1">
        <f t="shared" si="145"/>
        <v>588992</v>
      </c>
      <c r="DP398" s="1">
        <f t="shared" si="151"/>
        <v>138173</v>
      </c>
      <c r="DQ398" s="1">
        <f t="shared" si="153"/>
        <v>1570</v>
      </c>
      <c r="DR398" s="1">
        <f t="shared" si="146"/>
        <v>22308</v>
      </c>
      <c r="DS398" s="1">
        <f t="shared" si="147"/>
        <v>46349</v>
      </c>
      <c r="DT398" s="1">
        <f t="shared" si="138"/>
        <v>14643</v>
      </c>
      <c r="DU398" s="1">
        <f t="shared" si="136"/>
        <v>141959</v>
      </c>
      <c r="DV398" s="1">
        <f t="shared" si="139"/>
        <v>388049</v>
      </c>
      <c r="DW398" s="1">
        <f t="shared" si="137"/>
        <v>17630</v>
      </c>
      <c r="DX398" s="1">
        <f t="shared" si="154"/>
        <v>1659925</v>
      </c>
      <c r="DY398" s="1"/>
      <c r="DZ398" s="1">
        <f t="shared" si="155"/>
        <v>81897</v>
      </c>
      <c r="EA398" s="1">
        <f t="shared" si="148"/>
        <v>82508</v>
      </c>
      <c r="EB398" s="1"/>
      <c r="EC398" s="1">
        <f t="shared" si="156"/>
        <v>1824330</v>
      </c>
      <c r="ED398" s="1">
        <f t="shared" si="152"/>
        <v>0</v>
      </c>
      <c r="EE398" s="1"/>
    </row>
    <row r="399" spans="1:135" x14ac:dyDescent="0.25">
      <c r="A399" s="10">
        <v>44348</v>
      </c>
      <c r="B399">
        <v>0</v>
      </c>
      <c r="C399">
        <v>0</v>
      </c>
      <c r="D399">
        <v>0</v>
      </c>
      <c r="E399">
        <v>0</v>
      </c>
      <c r="F399">
        <v>1701</v>
      </c>
      <c r="G399">
        <v>17006</v>
      </c>
      <c r="H399">
        <v>51107</v>
      </c>
      <c r="I399">
        <v>2711</v>
      </c>
      <c r="J399">
        <v>6885</v>
      </c>
      <c r="K399">
        <v>1906</v>
      </c>
      <c r="L399">
        <v>34574</v>
      </c>
      <c r="M399">
        <v>1243</v>
      </c>
      <c r="N399">
        <v>1144</v>
      </c>
      <c r="O399">
        <v>1819</v>
      </c>
      <c r="P399">
        <v>11048</v>
      </c>
      <c r="Q399">
        <v>324</v>
      </c>
      <c r="R399">
        <v>4861</v>
      </c>
      <c r="S399">
        <v>15931</v>
      </c>
      <c r="T399">
        <v>108</v>
      </c>
      <c r="U399">
        <v>4362</v>
      </c>
      <c r="V399">
        <v>97</v>
      </c>
      <c r="W399">
        <v>22751</v>
      </c>
      <c r="X399">
        <v>504</v>
      </c>
      <c r="Y399">
        <v>4</v>
      </c>
      <c r="Z399">
        <v>0</v>
      </c>
      <c r="AA399">
        <v>3</v>
      </c>
      <c r="AB399">
        <v>87</v>
      </c>
      <c r="AC399">
        <v>21</v>
      </c>
      <c r="AD399">
        <v>26</v>
      </c>
      <c r="AE399">
        <v>16</v>
      </c>
      <c r="AF399">
        <v>46</v>
      </c>
      <c r="AG399">
        <v>257</v>
      </c>
      <c r="AH399">
        <v>2559</v>
      </c>
      <c r="AI399">
        <v>3</v>
      </c>
      <c r="AJ399">
        <v>13474</v>
      </c>
      <c r="AK399">
        <v>115152</v>
      </c>
      <c r="AL399">
        <v>1694</v>
      </c>
      <c r="AM399">
        <v>22990</v>
      </c>
      <c r="AN399">
        <v>5</v>
      </c>
      <c r="AO399">
        <v>7</v>
      </c>
      <c r="AP399">
        <v>12472</v>
      </c>
      <c r="AQ399">
        <v>0</v>
      </c>
      <c r="AR399">
        <v>726</v>
      </c>
      <c r="AS399">
        <v>42</v>
      </c>
      <c r="AT399">
        <v>10908</v>
      </c>
      <c r="AU399">
        <v>2531</v>
      </c>
      <c r="AV399">
        <v>3434</v>
      </c>
      <c r="AW399">
        <v>15349</v>
      </c>
      <c r="AX399">
        <v>4</v>
      </c>
      <c r="AY399">
        <v>0</v>
      </c>
      <c r="AZ399">
        <v>822</v>
      </c>
      <c r="BA399">
        <v>0</v>
      </c>
      <c r="BB399">
        <v>298</v>
      </c>
      <c r="BC399">
        <v>1966</v>
      </c>
      <c r="BD399">
        <v>0</v>
      </c>
      <c r="BE399">
        <v>0</v>
      </c>
      <c r="BF399">
        <v>9116</v>
      </c>
      <c r="BG399">
        <v>0</v>
      </c>
      <c r="BH399">
        <v>0</v>
      </c>
      <c r="BI399">
        <v>0</v>
      </c>
      <c r="BJ399">
        <v>12</v>
      </c>
      <c r="BK399">
        <v>5603</v>
      </c>
      <c r="BL399">
        <v>0</v>
      </c>
      <c r="BM399">
        <v>6</v>
      </c>
      <c r="BN399">
        <v>0</v>
      </c>
      <c r="BO399">
        <v>46727</v>
      </c>
      <c r="BP399">
        <v>98722</v>
      </c>
      <c r="BQ399">
        <v>1647</v>
      </c>
      <c r="BR399">
        <v>29</v>
      </c>
      <c r="BS399">
        <v>38824</v>
      </c>
      <c r="BT399">
        <v>1189</v>
      </c>
      <c r="BU399">
        <v>1</v>
      </c>
      <c r="BV399">
        <v>0</v>
      </c>
      <c r="BW399">
        <v>1</v>
      </c>
      <c r="BX399">
        <v>0</v>
      </c>
      <c r="BY399">
        <v>285</v>
      </c>
      <c r="BZ399">
        <v>0</v>
      </c>
      <c r="CA399">
        <v>29547</v>
      </c>
      <c r="CB399">
        <v>22743</v>
      </c>
      <c r="CC399">
        <v>142405</v>
      </c>
      <c r="CD399">
        <v>361844</v>
      </c>
      <c r="CE399">
        <v>55630</v>
      </c>
      <c r="CF399">
        <v>82630</v>
      </c>
      <c r="CG399">
        <v>0</v>
      </c>
      <c r="CH399">
        <v>17</v>
      </c>
      <c r="CI399">
        <v>0</v>
      </c>
      <c r="CJ399">
        <v>88</v>
      </c>
      <c r="CK399">
        <v>83207</v>
      </c>
      <c r="CL399">
        <v>59979</v>
      </c>
      <c r="CM399">
        <v>324916</v>
      </c>
      <c r="CN399">
        <v>69546</v>
      </c>
      <c r="CO399">
        <v>117</v>
      </c>
      <c r="CP399">
        <v>17458</v>
      </c>
      <c r="CQ399">
        <v>1533</v>
      </c>
      <c r="CR399">
        <v>13</v>
      </c>
      <c r="CY399">
        <v>0</v>
      </c>
      <c r="CZ399">
        <v>0</v>
      </c>
      <c r="DA399">
        <v>0</v>
      </c>
      <c r="DB399">
        <v>12</v>
      </c>
      <c r="DC399">
        <v>0</v>
      </c>
      <c r="DD399">
        <v>23</v>
      </c>
      <c r="DE399">
        <f t="shared" si="149"/>
        <v>1838813</v>
      </c>
      <c r="DG399" s="1">
        <f t="shared" si="140"/>
        <v>1454259</v>
      </c>
      <c r="DH399" s="1">
        <f t="shared" si="141"/>
        <v>302094</v>
      </c>
      <c r="DI399" s="1">
        <f t="shared" si="135"/>
        <v>1756353</v>
      </c>
      <c r="DJ399" s="1"/>
      <c r="DK399" s="1">
        <f t="shared" si="142"/>
        <v>81187</v>
      </c>
      <c r="DL399" s="1">
        <f t="shared" si="150"/>
        <v>152566</v>
      </c>
      <c r="DM399" s="1">
        <f t="shared" si="143"/>
        <v>15931</v>
      </c>
      <c r="DN399" s="1">
        <f t="shared" si="144"/>
        <v>50864</v>
      </c>
      <c r="DO399" s="1">
        <f t="shared" si="145"/>
        <v>592680</v>
      </c>
      <c r="DP399" s="1">
        <f t="shared" si="151"/>
        <v>139518</v>
      </c>
      <c r="DQ399" s="1">
        <f t="shared" si="153"/>
        <v>1546</v>
      </c>
      <c r="DR399" s="1">
        <f t="shared" si="146"/>
        <v>22760</v>
      </c>
      <c r="DS399" s="1">
        <f t="shared" si="147"/>
        <v>46728</v>
      </c>
      <c r="DT399" s="1">
        <f t="shared" si="138"/>
        <v>14720</v>
      </c>
      <c r="DU399" s="1">
        <f t="shared" si="136"/>
        <v>143186</v>
      </c>
      <c r="DV399" s="1">
        <f t="shared" si="139"/>
        <v>394579</v>
      </c>
      <c r="DW399" s="1">
        <f t="shared" si="137"/>
        <v>17458</v>
      </c>
      <c r="DX399" s="1">
        <f t="shared" si="154"/>
        <v>1673723</v>
      </c>
      <c r="DY399" s="1"/>
      <c r="DZ399" s="1">
        <f t="shared" si="155"/>
        <v>82630</v>
      </c>
      <c r="EA399" s="1">
        <f t="shared" si="148"/>
        <v>82460</v>
      </c>
      <c r="EB399" s="1"/>
      <c r="EC399" s="1">
        <f t="shared" si="156"/>
        <v>1838813</v>
      </c>
      <c r="ED399" s="1">
        <f t="shared" si="152"/>
        <v>0</v>
      </c>
      <c r="EE399" s="1"/>
    </row>
    <row r="400" spans="1:135" x14ac:dyDescent="0.25">
      <c r="A400" s="10">
        <v>44378</v>
      </c>
      <c r="B400">
        <v>0</v>
      </c>
      <c r="C400">
        <v>0</v>
      </c>
      <c r="D400">
        <v>0</v>
      </c>
      <c r="E400">
        <v>0</v>
      </c>
      <c r="F400">
        <v>1737</v>
      </c>
      <c r="G400">
        <v>16791</v>
      </c>
      <c r="H400">
        <v>51143</v>
      </c>
      <c r="I400">
        <v>2646</v>
      </c>
      <c r="J400">
        <v>6860</v>
      </c>
      <c r="K400">
        <v>1954</v>
      </c>
      <c r="L400">
        <v>34362</v>
      </c>
      <c r="M400">
        <v>1211</v>
      </c>
      <c r="N400">
        <v>1162</v>
      </c>
      <c r="O400">
        <v>1805</v>
      </c>
      <c r="P400">
        <v>10906</v>
      </c>
      <c r="Q400">
        <v>318</v>
      </c>
      <c r="R400">
        <v>4823</v>
      </c>
      <c r="S400">
        <v>15840</v>
      </c>
      <c r="T400">
        <v>108</v>
      </c>
      <c r="U400">
        <v>4317</v>
      </c>
      <c r="V400">
        <v>99</v>
      </c>
      <c r="W400">
        <v>23005</v>
      </c>
      <c r="X400">
        <v>500</v>
      </c>
      <c r="Y400">
        <v>4</v>
      </c>
      <c r="Z400">
        <v>0</v>
      </c>
      <c r="AA400">
        <v>3</v>
      </c>
      <c r="AB400">
        <v>87</v>
      </c>
      <c r="AC400">
        <v>21</v>
      </c>
      <c r="AD400">
        <v>25</v>
      </c>
      <c r="AE400">
        <v>16</v>
      </c>
      <c r="AF400">
        <v>46</v>
      </c>
      <c r="AG400">
        <v>261</v>
      </c>
      <c r="AH400">
        <v>2564</v>
      </c>
      <c r="AI400">
        <v>3</v>
      </c>
      <c r="AJ400">
        <v>13483</v>
      </c>
      <c r="AK400">
        <v>115053</v>
      </c>
      <c r="AL400">
        <v>1688</v>
      </c>
      <c r="AM400">
        <v>22871</v>
      </c>
      <c r="AN400">
        <v>5</v>
      </c>
      <c r="AO400">
        <v>7</v>
      </c>
      <c r="AP400">
        <v>12398</v>
      </c>
      <c r="AQ400">
        <v>0</v>
      </c>
      <c r="AR400">
        <v>732</v>
      </c>
      <c r="AS400">
        <v>42</v>
      </c>
      <c r="AT400">
        <v>10935</v>
      </c>
      <c r="AU400">
        <v>2524</v>
      </c>
      <c r="AV400">
        <v>3436</v>
      </c>
      <c r="AW400">
        <v>15270</v>
      </c>
      <c r="AX400">
        <v>2</v>
      </c>
      <c r="AY400">
        <v>0</v>
      </c>
      <c r="AZ400">
        <v>826</v>
      </c>
      <c r="BA400">
        <v>0</v>
      </c>
      <c r="BB400">
        <v>304</v>
      </c>
      <c r="BC400">
        <v>1971</v>
      </c>
      <c r="BD400">
        <v>0</v>
      </c>
      <c r="BE400">
        <v>0</v>
      </c>
      <c r="BF400">
        <v>9134</v>
      </c>
      <c r="BG400">
        <v>0</v>
      </c>
      <c r="BH400">
        <v>0</v>
      </c>
      <c r="BI400">
        <v>0</v>
      </c>
      <c r="BJ400">
        <v>12</v>
      </c>
      <c r="BK400">
        <v>5639</v>
      </c>
      <c r="BL400">
        <v>0</v>
      </c>
      <c r="BM400">
        <v>6</v>
      </c>
      <c r="BN400">
        <v>0</v>
      </c>
      <c r="BO400">
        <v>47096</v>
      </c>
      <c r="BP400">
        <v>99570</v>
      </c>
      <c r="BQ400">
        <v>1644</v>
      </c>
      <c r="BR400">
        <v>29</v>
      </c>
      <c r="BS400">
        <v>39347</v>
      </c>
      <c r="BT400">
        <v>1184</v>
      </c>
      <c r="BU400">
        <v>5</v>
      </c>
      <c r="BV400">
        <v>0</v>
      </c>
      <c r="BW400">
        <v>1</v>
      </c>
      <c r="BX400">
        <v>0</v>
      </c>
      <c r="BY400">
        <v>292</v>
      </c>
      <c r="BZ400">
        <v>0</v>
      </c>
      <c r="CA400">
        <v>29343</v>
      </c>
      <c r="CB400">
        <v>23283</v>
      </c>
      <c r="CC400">
        <v>142223</v>
      </c>
      <c r="CD400">
        <v>365337</v>
      </c>
      <c r="CE400">
        <v>56815</v>
      </c>
      <c r="CF400">
        <v>83237</v>
      </c>
      <c r="CG400">
        <v>0</v>
      </c>
      <c r="CH400">
        <v>17</v>
      </c>
      <c r="CI400">
        <v>0</v>
      </c>
      <c r="CJ400">
        <v>93</v>
      </c>
      <c r="CK400">
        <v>83707</v>
      </c>
      <c r="CL400">
        <v>60572</v>
      </c>
      <c r="CM400">
        <v>330328</v>
      </c>
      <c r="CN400">
        <v>70406</v>
      </c>
      <c r="CO400">
        <v>127</v>
      </c>
      <c r="CP400">
        <v>17408</v>
      </c>
      <c r="CQ400">
        <v>1533</v>
      </c>
      <c r="CR400">
        <v>11</v>
      </c>
      <c r="CY400">
        <v>0</v>
      </c>
      <c r="CZ400">
        <v>0</v>
      </c>
      <c r="DA400">
        <v>0</v>
      </c>
      <c r="DB400">
        <v>11</v>
      </c>
      <c r="DC400">
        <v>0</v>
      </c>
      <c r="DD400">
        <v>23</v>
      </c>
      <c r="DE400">
        <f t="shared" si="149"/>
        <v>1852563</v>
      </c>
      <c r="DG400" s="1">
        <f t="shared" si="140"/>
        <v>1468828</v>
      </c>
      <c r="DH400" s="1">
        <f t="shared" si="141"/>
        <v>301442</v>
      </c>
      <c r="DI400" s="1">
        <f t="shared" si="135"/>
        <v>1770270</v>
      </c>
      <c r="DJ400" s="1"/>
      <c r="DK400" s="1">
        <f t="shared" si="142"/>
        <v>80954</v>
      </c>
      <c r="DL400" s="1">
        <f t="shared" si="150"/>
        <v>152512</v>
      </c>
      <c r="DM400" s="1">
        <f t="shared" si="143"/>
        <v>15840</v>
      </c>
      <c r="DN400" s="1">
        <f t="shared" si="144"/>
        <v>50592</v>
      </c>
      <c r="DO400" s="1">
        <f t="shared" si="145"/>
        <v>596974</v>
      </c>
      <c r="DP400" s="1">
        <f t="shared" si="151"/>
        <v>140894</v>
      </c>
      <c r="DQ400" s="1">
        <f t="shared" si="153"/>
        <v>1544</v>
      </c>
      <c r="DR400" s="1">
        <f t="shared" si="146"/>
        <v>23300</v>
      </c>
      <c r="DS400" s="1">
        <f t="shared" si="147"/>
        <v>47101</v>
      </c>
      <c r="DT400" s="1">
        <f t="shared" si="138"/>
        <v>14774</v>
      </c>
      <c r="DU400" s="1">
        <f t="shared" si="136"/>
        <v>144279</v>
      </c>
      <c r="DV400" s="1">
        <f t="shared" si="139"/>
        <v>400861</v>
      </c>
      <c r="DW400" s="1">
        <f t="shared" si="137"/>
        <v>17408</v>
      </c>
      <c r="DX400" s="1">
        <f t="shared" si="154"/>
        <v>1687033</v>
      </c>
      <c r="DY400" s="1"/>
      <c r="DZ400" s="1">
        <f t="shared" si="155"/>
        <v>83237</v>
      </c>
      <c r="EA400" s="1">
        <f t="shared" si="148"/>
        <v>82293</v>
      </c>
      <c r="EB400" s="1"/>
      <c r="EC400" s="1">
        <f t="shared" si="156"/>
        <v>1852563</v>
      </c>
      <c r="ED400" s="1">
        <f t="shared" si="152"/>
        <v>0</v>
      </c>
      <c r="EE400" s="1"/>
    </row>
    <row r="401" spans="1:135" x14ac:dyDescent="0.25">
      <c r="A401" s="10">
        <v>44409</v>
      </c>
      <c r="B401">
        <v>0</v>
      </c>
      <c r="C401">
        <v>0</v>
      </c>
      <c r="D401">
        <v>0</v>
      </c>
      <c r="E401">
        <v>0</v>
      </c>
      <c r="F401">
        <v>2329</v>
      </c>
      <c r="G401">
        <v>16582</v>
      </c>
      <c r="H401">
        <v>51481</v>
      </c>
      <c r="I401">
        <v>2588</v>
      </c>
      <c r="J401">
        <v>6797</v>
      </c>
      <c r="K401">
        <v>2012</v>
      </c>
      <c r="L401">
        <v>34223</v>
      </c>
      <c r="M401">
        <v>1214</v>
      </c>
      <c r="N401">
        <v>1190</v>
      </c>
      <c r="O401">
        <v>1819</v>
      </c>
      <c r="P401">
        <v>10983</v>
      </c>
      <c r="Q401">
        <v>317</v>
      </c>
      <c r="R401">
        <v>4809</v>
      </c>
      <c r="S401">
        <v>15824</v>
      </c>
      <c r="T401">
        <v>113</v>
      </c>
      <c r="U401">
        <v>4291</v>
      </c>
      <c r="V401">
        <v>103</v>
      </c>
      <c r="W401">
        <v>23295</v>
      </c>
      <c r="X401">
        <v>504</v>
      </c>
      <c r="Y401">
        <v>4</v>
      </c>
      <c r="Z401">
        <v>0</v>
      </c>
      <c r="AA401">
        <v>3</v>
      </c>
      <c r="AB401">
        <v>88</v>
      </c>
      <c r="AC401">
        <v>21</v>
      </c>
      <c r="AD401">
        <v>25</v>
      </c>
      <c r="AE401">
        <v>16</v>
      </c>
      <c r="AF401">
        <v>48</v>
      </c>
      <c r="AG401">
        <v>267</v>
      </c>
      <c r="AH401">
        <v>2559</v>
      </c>
      <c r="AI401">
        <v>3</v>
      </c>
      <c r="AJ401">
        <v>13541</v>
      </c>
      <c r="AK401">
        <v>115091</v>
      </c>
      <c r="AL401">
        <v>1677</v>
      </c>
      <c r="AM401">
        <v>22795</v>
      </c>
      <c r="AN401">
        <v>5</v>
      </c>
      <c r="AO401">
        <v>7</v>
      </c>
      <c r="AP401">
        <v>12365</v>
      </c>
      <c r="AQ401">
        <v>0</v>
      </c>
      <c r="AR401">
        <v>729</v>
      </c>
      <c r="AS401">
        <v>42</v>
      </c>
      <c r="AT401">
        <v>10978</v>
      </c>
      <c r="AU401">
        <v>2518</v>
      </c>
      <c r="AV401">
        <v>3440</v>
      </c>
      <c r="AW401">
        <v>15255</v>
      </c>
      <c r="AX401">
        <v>3</v>
      </c>
      <c r="AY401">
        <v>0</v>
      </c>
      <c r="AZ401">
        <v>830</v>
      </c>
      <c r="BA401">
        <v>0</v>
      </c>
      <c r="BB401">
        <v>300</v>
      </c>
      <c r="BC401">
        <v>1991</v>
      </c>
      <c r="BD401">
        <v>0</v>
      </c>
      <c r="BE401">
        <v>0</v>
      </c>
      <c r="BF401">
        <v>9162</v>
      </c>
      <c r="BG401">
        <v>0</v>
      </c>
      <c r="BH401">
        <v>0</v>
      </c>
      <c r="BI401">
        <v>0</v>
      </c>
      <c r="BJ401">
        <v>15</v>
      </c>
      <c r="BK401">
        <v>5723</v>
      </c>
      <c r="BL401">
        <v>0</v>
      </c>
      <c r="BM401">
        <v>7</v>
      </c>
      <c r="BN401">
        <v>0</v>
      </c>
      <c r="BO401">
        <v>47274</v>
      </c>
      <c r="BP401">
        <v>100673</v>
      </c>
      <c r="BQ401">
        <v>1629</v>
      </c>
      <c r="BR401">
        <v>29</v>
      </c>
      <c r="BS401">
        <v>40005</v>
      </c>
      <c r="BT401">
        <v>1152</v>
      </c>
      <c r="BU401">
        <v>2</v>
      </c>
      <c r="BV401">
        <v>0</v>
      </c>
      <c r="BW401">
        <v>1</v>
      </c>
      <c r="BX401">
        <v>0</v>
      </c>
      <c r="BY401">
        <v>305</v>
      </c>
      <c r="BZ401">
        <v>0</v>
      </c>
      <c r="CA401">
        <v>29238</v>
      </c>
      <c r="CB401">
        <v>23857</v>
      </c>
      <c r="CC401">
        <v>142091</v>
      </c>
      <c r="CD401">
        <v>369320</v>
      </c>
      <c r="CE401">
        <v>58133</v>
      </c>
      <c r="CF401">
        <v>84121</v>
      </c>
      <c r="CG401">
        <v>0</v>
      </c>
      <c r="CH401">
        <v>18</v>
      </c>
      <c r="CI401">
        <v>0</v>
      </c>
      <c r="CJ401">
        <v>96</v>
      </c>
      <c r="CK401">
        <v>84283</v>
      </c>
      <c r="CL401">
        <v>61135</v>
      </c>
      <c r="CM401">
        <v>336699</v>
      </c>
      <c r="CN401">
        <v>71434</v>
      </c>
      <c r="CO401">
        <v>96</v>
      </c>
      <c r="CP401">
        <v>17268</v>
      </c>
      <c r="CQ401">
        <v>1537</v>
      </c>
      <c r="CR401">
        <v>11</v>
      </c>
      <c r="CY401">
        <v>0</v>
      </c>
      <c r="CZ401">
        <v>0</v>
      </c>
      <c r="DA401">
        <v>0</v>
      </c>
      <c r="DB401">
        <v>11</v>
      </c>
      <c r="DC401">
        <v>0</v>
      </c>
      <c r="DD401">
        <v>23</v>
      </c>
      <c r="DE401">
        <f t="shared" si="149"/>
        <v>1870389</v>
      </c>
      <c r="DG401" s="1">
        <f t="shared" si="140"/>
        <v>1485760</v>
      </c>
      <c r="DH401" s="1">
        <f t="shared" si="141"/>
        <v>301650</v>
      </c>
      <c r="DI401" s="1">
        <f t="shared" si="135"/>
        <v>1787410</v>
      </c>
      <c r="DJ401" s="1"/>
      <c r="DK401" s="1">
        <f t="shared" si="142"/>
        <v>81167</v>
      </c>
      <c r="DL401" s="1">
        <f t="shared" si="150"/>
        <v>152641</v>
      </c>
      <c r="DM401" s="1">
        <f t="shared" si="143"/>
        <v>15824</v>
      </c>
      <c r="DN401" s="1">
        <f t="shared" si="144"/>
        <v>50470</v>
      </c>
      <c r="DO401" s="1">
        <f t="shared" si="145"/>
        <v>602011</v>
      </c>
      <c r="DP401" s="1">
        <f t="shared" si="151"/>
        <v>142676</v>
      </c>
      <c r="DQ401" s="1">
        <f t="shared" si="153"/>
        <v>1548</v>
      </c>
      <c r="DR401" s="1">
        <f t="shared" si="146"/>
        <v>23875</v>
      </c>
      <c r="DS401" s="1">
        <f t="shared" si="147"/>
        <v>47276</v>
      </c>
      <c r="DT401" s="1">
        <f t="shared" si="138"/>
        <v>14886</v>
      </c>
      <c r="DU401" s="1">
        <f t="shared" si="136"/>
        <v>145418</v>
      </c>
      <c r="DV401" s="1">
        <f t="shared" si="139"/>
        <v>408229</v>
      </c>
      <c r="DW401" s="1">
        <f t="shared" si="137"/>
        <v>17268</v>
      </c>
      <c r="DX401" s="1">
        <f t="shared" si="154"/>
        <v>1703289</v>
      </c>
      <c r="DY401" s="1"/>
      <c r="DZ401" s="1">
        <f t="shared" si="155"/>
        <v>84121</v>
      </c>
      <c r="EA401" s="1">
        <f t="shared" si="148"/>
        <v>82979</v>
      </c>
      <c r="EB401" s="1"/>
      <c r="EC401" s="1">
        <f t="shared" si="156"/>
        <v>1870389</v>
      </c>
      <c r="ED401" s="1">
        <f t="shared" si="152"/>
        <v>0</v>
      </c>
      <c r="EE401" s="1"/>
    </row>
    <row r="402" spans="1:135" x14ac:dyDescent="0.25">
      <c r="A402" s="10">
        <v>44440</v>
      </c>
      <c r="B402">
        <v>0</v>
      </c>
      <c r="C402">
        <v>0</v>
      </c>
      <c r="D402">
        <v>0</v>
      </c>
      <c r="E402">
        <v>0</v>
      </c>
      <c r="F402">
        <v>3139</v>
      </c>
      <c r="G402">
        <v>16394</v>
      </c>
      <c r="H402">
        <v>51552</v>
      </c>
      <c r="I402">
        <v>2512</v>
      </c>
      <c r="J402">
        <v>6659</v>
      </c>
      <c r="K402">
        <v>2058</v>
      </c>
      <c r="L402">
        <v>34229</v>
      </c>
      <c r="M402">
        <v>1198</v>
      </c>
      <c r="N402">
        <v>1225</v>
      </c>
      <c r="O402">
        <v>1820</v>
      </c>
      <c r="P402">
        <v>10993</v>
      </c>
      <c r="Q402">
        <v>314</v>
      </c>
      <c r="R402">
        <v>4813</v>
      </c>
      <c r="S402">
        <v>15852</v>
      </c>
      <c r="T402">
        <v>118</v>
      </c>
      <c r="U402">
        <v>4272</v>
      </c>
      <c r="V402">
        <v>104</v>
      </c>
      <c r="W402">
        <v>23650</v>
      </c>
      <c r="X402">
        <v>511</v>
      </c>
      <c r="Y402">
        <v>4</v>
      </c>
      <c r="Z402">
        <v>0</v>
      </c>
      <c r="AA402">
        <v>3</v>
      </c>
      <c r="AB402">
        <v>91</v>
      </c>
      <c r="AC402">
        <v>21</v>
      </c>
      <c r="AD402">
        <v>25</v>
      </c>
      <c r="AE402">
        <v>15</v>
      </c>
      <c r="AF402">
        <v>47</v>
      </c>
      <c r="AG402">
        <v>260</v>
      </c>
      <c r="AH402">
        <v>2547</v>
      </c>
      <c r="AI402">
        <v>3</v>
      </c>
      <c r="AJ402">
        <v>13608</v>
      </c>
      <c r="AK402">
        <v>115115</v>
      </c>
      <c r="AL402">
        <v>1664</v>
      </c>
      <c r="AM402">
        <v>22800</v>
      </c>
      <c r="AN402">
        <v>3</v>
      </c>
      <c r="AO402">
        <v>7</v>
      </c>
      <c r="AP402">
        <v>12350</v>
      </c>
      <c r="AQ402">
        <v>0</v>
      </c>
      <c r="AR402">
        <v>729</v>
      </c>
      <c r="AS402">
        <v>42</v>
      </c>
      <c r="AT402">
        <v>11042</v>
      </c>
      <c r="AU402">
        <v>2511</v>
      </c>
      <c r="AV402">
        <v>3437</v>
      </c>
      <c r="AW402">
        <v>15247</v>
      </c>
      <c r="AX402">
        <v>2</v>
      </c>
      <c r="AY402">
        <v>1</v>
      </c>
      <c r="AZ402">
        <v>831</v>
      </c>
      <c r="BA402">
        <v>0</v>
      </c>
      <c r="BB402">
        <v>304</v>
      </c>
      <c r="BC402">
        <v>2017</v>
      </c>
      <c r="BD402">
        <v>0</v>
      </c>
      <c r="BE402">
        <v>0</v>
      </c>
      <c r="BF402">
        <v>9243</v>
      </c>
      <c r="BG402">
        <v>0</v>
      </c>
      <c r="BH402">
        <v>0</v>
      </c>
      <c r="BI402">
        <v>0</v>
      </c>
      <c r="BJ402">
        <v>15</v>
      </c>
      <c r="BK402">
        <v>5739</v>
      </c>
      <c r="BL402">
        <v>0</v>
      </c>
      <c r="BM402">
        <v>8</v>
      </c>
      <c r="BN402">
        <v>0</v>
      </c>
      <c r="BO402">
        <v>47613</v>
      </c>
      <c r="BP402">
        <v>101648</v>
      </c>
      <c r="BQ402">
        <v>1604</v>
      </c>
      <c r="BR402">
        <v>30</v>
      </c>
      <c r="BS402">
        <v>40682</v>
      </c>
      <c r="BT402">
        <v>1121</v>
      </c>
      <c r="BU402">
        <v>3</v>
      </c>
      <c r="BV402">
        <v>0</v>
      </c>
      <c r="BW402">
        <v>1</v>
      </c>
      <c r="BX402">
        <v>0</v>
      </c>
      <c r="BY402">
        <v>304</v>
      </c>
      <c r="BZ402">
        <v>0</v>
      </c>
      <c r="CA402">
        <v>29283</v>
      </c>
      <c r="CB402">
        <v>24220</v>
      </c>
      <c r="CC402">
        <v>142072</v>
      </c>
      <c r="CD402">
        <v>372708</v>
      </c>
      <c r="CE402">
        <v>59623</v>
      </c>
      <c r="CF402">
        <v>85275</v>
      </c>
      <c r="CG402">
        <v>0</v>
      </c>
      <c r="CH402">
        <v>19</v>
      </c>
      <c r="CI402">
        <v>0</v>
      </c>
      <c r="CJ402">
        <v>101</v>
      </c>
      <c r="CK402">
        <v>84720</v>
      </c>
      <c r="CL402">
        <v>62051</v>
      </c>
      <c r="CM402">
        <v>344436</v>
      </c>
      <c r="CN402">
        <v>72836</v>
      </c>
      <c r="CO402">
        <v>104</v>
      </c>
      <c r="CP402">
        <v>17134</v>
      </c>
      <c r="CQ402">
        <v>1529</v>
      </c>
      <c r="CR402">
        <v>12</v>
      </c>
      <c r="CY402">
        <v>0</v>
      </c>
      <c r="CZ402">
        <v>0</v>
      </c>
      <c r="DA402">
        <v>0</v>
      </c>
      <c r="DB402">
        <v>10</v>
      </c>
      <c r="DC402">
        <v>0</v>
      </c>
      <c r="DD402">
        <v>23</v>
      </c>
      <c r="DE402">
        <f t="shared" si="149"/>
        <v>1890273</v>
      </c>
      <c r="DG402" s="1">
        <f t="shared" si="140"/>
        <v>1504613</v>
      </c>
      <c r="DH402" s="1">
        <f t="shared" si="141"/>
        <v>302121</v>
      </c>
      <c r="DI402" s="1">
        <f t="shared" si="135"/>
        <v>1806734</v>
      </c>
      <c r="DJ402" s="1"/>
      <c r="DK402" s="1">
        <f t="shared" si="142"/>
        <v>81511</v>
      </c>
      <c r="DL402" s="1">
        <f t="shared" si="150"/>
        <v>152766</v>
      </c>
      <c r="DM402" s="1">
        <f t="shared" si="143"/>
        <v>15852</v>
      </c>
      <c r="DN402" s="1">
        <f t="shared" si="144"/>
        <v>50451</v>
      </c>
      <c r="DO402" s="1">
        <f t="shared" si="145"/>
        <v>606863</v>
      </c>
      <c r="DP402" s="1">
        <f t="shared" si="151"/>
        <v>144356</v>
      </c>
      <c r="DQ402" s="1">
        <f t="shared" si="153"/>
        <v>1541</v>
      </c>
      <c r="DR402" s="1">
        <f t="shared" si="146"/>
        <v>24239</v>
      </c>
      <c r="DS402" s="1">
        <f t="shared" si="147"/>
        <v>47616</v>
      </c>
      <c r="DT402" s="1">
        <f t="shared" si="138"/>
        <v>14983</v>
      </c>
      <c r="DU402" s="1">
        <f t="shared" si="136"/>
        <v>146771</v>
      </c>
      <c r="DV402" s="1">
        <f t="shared" si="139"/>
        <v>417376</v>
      </c>
      <c r="DW402" s="1">
        <f t="shared" si="137"/>
        <v>17134</v>
      </c>
      <c r="DX402" s="1">
        <f t="shared" si="154"/>
        <v>1721459</v>
      </c>
      <c r="DY402" s="1"/>
      <c r="DZ402" s="1">
        <f t="shared" si="155"/>
        <v>85275</v>
      </c>
      <c r="EA402" s="1">
        <f t="shared" si="148"/>
        <v>83539</v>
      </c>
      <c r="EB402" s="1"/>
      <c r="EC402" s="1">
        <f t="shared" si="156"/>
        <v>1890273</v>
      </c>
      <c r="ED402" s="1">
        <f t="shared" si="152"/>
        <v>0</v>
      </c>
      <c r="EE402" s="1"/>
    </row>
    <row r="403" spans="1:135" x14ac:dyDescent="0.25">
      <c r="A403" s="10">
        <v>44470</v>
      </c>
      <c r="B403">
        <v>0</v>
      </c>
      <c r="C403">
        <v>0</v>
      </c>
      <c r="D403">
        <v>0</v>
      </c>
      <c r="E403">
        <v>0</v>
      </c>
      <c r="F403">
        <v>3723</v>
      </c>
      <c r="G403">
        <v>16211</v>
      </c>
      <c r="H403">
        <v>51739</v>
      </c>
      <c r="I403">
        <v>2408</v>
      </c>
      <c r="J403">
        <v>6497</v>
      </c>
      <c r="K403">
        <v>2085</v>
      </c>
      <c r="L403">
        <v>34391</v>
      </c>
      <c r="M403">
        <v>1194</v>
      </c>
      <c r="N403">
        <v>1241</v>
      </c>
      <c r="O403">
        <v>1840</v>
      </c>
      <c r="P403">
        <v>10983</v>
      </c>
      <c r="Q403">
        <v>307</v>
      </c>
      <c r="R403">
        <v>4817</v>
      </c>
      <c r="S403">
        <v>15879</v>
      </c>
      <c r="T403">
        <v>124</v>
      </c>
      <c r="U403">
        <v>4283</v>
      </c>
      <c r="V403">
        <v>104</v>
      </c>
      <c r="W403">
        <v>24016</v>
      </c>
      <c r="X403">
        <v>516</v>
      </c>
      <c r="Y403">
        <v>5</v>
      </c>
      <c r="Z403">
        <v>0</v>
      </c>
      <c r="AA403">
        <v>3</v>
      </c>
      <c r="AB403">
        <v>93</v>
      </c>
      <c r="AC403">
        <v>23</v>
      </c>
      <c r="AD403">
        <v>26</v>
      </c>
      <c r="AE403">
        <v>15</v>
      </c>
      <c r="AF403">
        <v>47</v>
      </c>
      <c r="AG403">
        <v>270</v>
      </c>
      <c r="AH403">
        <v>2544</v>
      </c>
      <c r="AI403">
        <v>3</v>
      </c>
      <c r="AJ403">
        <v>13700</v>
      </c>
      <c r="AK403">
        <v>115016</v>
      </c>
      <c r="AL403">
        <v>1650</v>
      </c>
      <c r="AM403">
        <v>22786</v>
      </c>
      <c r="AN403">
        <v>3</v>
      </c>
      <c r="AO403">
        <v>6</v>
      </c>
      <c r="AP403">
        <v>12324</v>
      </c>
      <c r="AQ403">
        <v>0</v>
      </c>
      <c r="AR403">
        <v>740</v>
      </c>
      <c r="AS403">
        <v>40</v>
      </c>
      <c r="AT403">
        <v>11125</v>
      </c>
      <c r="AU403">
        <v>2512</v>
      </c>
      <c r="AV403">
        <v>3436</v>
      </c>
      <c r="AW403">
        <v>15243</v>
      </c>
      <c r="AX403">
        <v>3</v>
      </c>
      <c r="AY403">
        <v>0</v>
      </c>
      <c r="AZ403">
        <v>833</v>
      </c>
      <c r="BA403">
        <v>0</v>
      </c>
      <c r="BB403">
        <v>300</v>
      </c>
      <c r="BC403">
        <v>2030</v>
      </c>
      <c r="BD403">
        <v>0</v>
      </c>
      <c r="BE403">
        <v>0</v>
      </c>
      <c r="BF403">
        <v>9276</v>
      </c>
      <c r="BG403">
        <v>0</v>
      </c>
      <c r="BH403">
        <v>0</v>
      </c>
      <c r="BI403">
        <v>0</v>
      </c>
      <c r="BJ403">
        <v>14</v>
      </c>
      <c r="BK403">
        <v>5789</v>
      </c>
      <c r="BL403">
        <v>0</v>
      </c>
      <c r="BM403">
        <v>54</v>
      </c>
      <c r="BN403">
        <v>0</v>
      </c>
      <c r="BO403">
        <v>47913</v>
      </c>
      <c r="BP403">
        <v>102451</v>
      </c>
      <c r="BQ403">
        <v>1567</v>
      </c>
      <c r="BR403">
        <v>30</v>
      </c>
      <c r="BS403">
        <v>41360</v>
      </c>
      <c r="BT403">
        <v>1107</v>
      </c>
      <c r="BU403">
        <v>0</v>
      </c>
      <c r="BV403">
        <v>0</v>
      </c>
      <c r="BW403">
        <v>1</v>
      </c>
      <c r="BX403">
        <v>0</v>
      </c>
      <c r="BY403">
        <v>304</v>
      </c>
      <c r="BZ403">
        <v>0</v>
      </c>
      <c r="CA403">
        <v>29291</v>
      </c>
      <c r="CB403">
        <v>24529</v>
      </c>
      <c r="CC403">
        <v>142335</v>
      </c>
      <c r="CD403">
        <v>375870</v>
      </c>
      <c r="CE403">
        <v>60819</v>
      </c>
      <c r="CF403">
        <v>86355</v>
      </c>
      <c r="CG403">
        <v>0</v>
      </c>
      <c r="CH403">
        <v>19</v>
      </c>
      <c r="CI403">
        <v>0</v>
      </c>
      <c r="CJ403">
        <v>101</v>
      </c>
      <c r="CK403">
        <v>85213</v>
      </c>
      <c r="CL403">
        <v>62753</v>
      </c>
      <c r="CM403">
        <v>351214</v>
      </c>
      <c r="CN403">
        <v>73897</v>
      </c>
      <c r="CO403">
        <v>82</v>
      </c>
      <c r="CP403">
        <v>17008</v>
      </c>
      <c r="CQ403">
        <v>1523</v>
      </c>
      <c r="CR403">
        <v>10</v>
      </c>
      <c r="CY403">
        <v>0</v>
      </c>
      <c r="CZ403">
        <v>0</v>
      </c>
      <c r="DA403">
        <v>0</v>
      </c>
      <c r="DB403">
        <v>10</v>
      </c>
      <c r="DC403">
        <v>0</v>
      </c>
      <c r="DD403">
        <v>23</v>
      </c>
      <c r="DE403">
        <f t="shared" si="149"/>
        <v>1908019</v>
      </c>
      <c r="DG403" s="1">
        <f t="shared" si="140"/>
        <v>1521385</v>
      </c>
      <c r="DH403" s="1">
        <f t="shared" si="141"/>
        <v>302730</v>
      </c>
      <c r="DI403" s="1">
        <f t="shared" si="135"/>
        <v>1824115</v>
      </c>
      <c r="DJ403" s="1"/>
      <c r="DK403" s="1">
        <f t="shared" si="142"/>
        <v>82059</v>
      </c>
      <c r="DL403" s="1">
        <f t="shared" si="150"/>
        <v>152853</v>
      </c>
      <c r="DM403" s="1">
        <f t="shared" si="143"/>
        <v>15879</v>
      </c>
      <c r="DN403" s="1">
        <f t="shared" si="144"/>
        <v>50406</v>
      </c>
      <c r="DO403" s="1">
        <f t="shared" si="145"/>
        <v>611441</v>
      </c>
      <c r="DP403" s="1">
        <f t="shared" si="151"/>
        <v>145895</v>
      </c>
      <c r="DQ403" s="1">
        <f t="shared" si="153"/>
        <v>1533</v>
      </c>
      <c r="DR403" s="1">
        <f t="shared" si="146"/>
        <v>24548</v>
      </c>
      <c r="DS403" s="1">
        <f t="shared" si="147"/>
        <v>47913</v>
      </c>
      <c r="DT403" s="1">
        <f t="shared" si="138"/>
        <v>15066</v>
      </c>
      <c r="DU403" s="1">
        <f t="shared" si="136"/>
        <v>147966</v>
      </c>
      <c r="DV403" s="1">
        <f t="shared" si="139"/>
        <v>425193</v>
      </c>
      <c r="DW403" s="1">
        <f t="shared" si="137"/>
        <v>17008</v>
      </c>
      <c r="DX403" s="1">
        <f t="shared" si="154"/>
        <v>1737760</v>
      </c>
      <c r="DY403" s="1"/>
      <c r="DZ403" s="1">
        <f t="shared" si="155"/>
        <v>86355</v>
      </c>
      <c r="EA403" s="1">
        <f t="shared" si="148"/>
        <v>83904</v>
      </c>
      <c r="EB403" s="1"/>
      <c r="EC403" s="1">
        <f t="shared" si="156"/>
        <v>1908019</v>
      </c>
      <c r="ED403" s="1">
        <f t="shared" si="152"/>
        <v>0</v>
      </c>
      <c r="EE403" s="1"/>
    </row>
    <row r="404" spans="1:135" x14ac:dyDescent="0.25">
      <c r="A404" s="10">
        <v>44501</v>
      </c>
      <c r="B404">
        <v>0</v>
      </c>
      <c r="C404">
        <v>0</v>
      </c>
      <c r="D404">
        <v>0</v>
      </c>
      <c r="E404">
        <v>0</v>
      </c>
      <c r="F404">
        <v>4181</v>
      </c>
      <c r="G404">
        <v>16071</v>
      </c>
      <c r="H404">
        <v>51869</v>
      </c>
      <c r="I404">
        <v>2345</v>
      </c>
      <c r="J404">
        <v>6424</v>
      </c>
      <c r="K404">
        <v>2133</v>
      </c>
      <c r="L404">
        <v>34488</v>
      </c>
      <c r="M404">
        <v>1183</v>
      </c>
      <c r="N404">
        <v>1260</v>
      </c>
      <c r="O404">
        <v>1849</v>
      </c>
      <c r="P404">
        <v>11065</v>
      </c>
      <c r="Q404">
        <v>309</v>
      </c>
      <c r="R404">
        <v>4856</v>
      </c>
      <c r="S404">
        <v>15888</v>
      </c>
      <c r="T404">
        <v>134</v>
      </c>
      <c r="U404">
        <v>4289</v>
      </c>
      <c r="V404">
        <v>109</v>
      </c>
      <c r="W404">
        <v>24365</v>
      </c>
      <c r="X404">
        <v>518</v>
      </c>
      <c r="Y404">
        <v>5</v>
      </c>
      <c r="Z404">
        <v>4</v>
      </c>
      <c r="AA404">
        <v>3</v>
      </c>
      <c r="AB404">
        <v>92</v>
      </c>
      <c r="AC404">
        <v>23</v>
      </c>
      <c r="AD404">
        <v>26</v>
      </c>
      <c r="AE404">
        <v>15</v>
      </c>
      <c r="AF404">
        <v>47</v>
      </c>
      <c r="AG404">
        <v>270</v>
      </c>
      <c r="AH404">
        <v>2549</v>
      </c>
      <c r="AI404">
        <v>3</v>
      </c>
      <c r="AJ404">
        <v>13764</v>
      </c>
      <c r="AK404">
        <v>114913</v>
      </c>
      <c r="AL404">
        <v>1636</v>
      </c>
      <c r="AM404">
        <v>22783</v>
      </c>
      <c r="AN404">
        <v>3</v>
      </c>
      <c r="AO404">
        <v>5</v>
      </c>
      <c r="AP404">
        <v>12321</v>
      </c>
      <c r="AQ404">
        <v>0</v>
      </c>
      <c r="AR404">
        <v>754</v>
      </c>
      <c r="AS404">
        <v>40</v>
      </c>
      <c r="AT404">
        <v>11175</v>
      </c>
      <c r="AU404">
        <v>2506</v>
      </c>
      <c r="AV404">
        <v>3425</v>
      </c>
      <c r="AW404">
        <v>15237</v>
      </c>
      <c r="AX404">
        <v>3</v>
      </c>
      <c r="AY404">
        <v>0</v>
      </c>
      <c r="AZ404">
        <v>835</v>
      </c>
      <c r="BA404">
        <v>0</v>
      </c>
      <c r="BB404">
        <v>301</v>
      </c>
      <c r="BC404">
        <v>2051</v>
      </c>
      <c r="BD404">
        <v>0</v>
      </c>
      <c r="BE404">
        <v>0</v>
      </c>
      <c r="BF404">
        <v>9330</v>
      </c>
      <c r="BG404">
        <v>0</v>
      </c>
      <c r="BH404">
        <v>0</v>
      </c>
      <c r="BI404">
        <v>0</v>
      </c>
      <c r="BJ404">
        <v>13</v>
      </c>
      <c r="BK404">
        <v>5801</v>
      </c>
      <c r="BL404">
        <v>0</v>
      </c>
      <c r="BM404">
        <v>96</v>
      </c>
      <c r="BN404">
        <v>0</v>
      </c>
      <c r="BO404">
        <v>48089</v>
      </c>
      <c r="BP404">
        <v>103208</v>
      </c>
      <c r="BQ404">
        <v>1537</v>
      </c>
      <c r="BR404">
        <v>31</v>
      </c>
      <c r="BS404">
        <v>42016</v>
      </c>
      <c r="BT404">
        <v>1095</v>
      </c>
      <c r="BU404">
        <v>0</v>
      </c>
      <c r="BV404">
        <v>0</v>
      </c>
      <c r="BW404">
        <v>1</v>
      </c>
      <c r="BX404">
        <v>0</v>
      </c>
      <c r="BY404">
        <v>312</v>
      </c>
      <c r="BZ404">
        <v>0</v>
      </c>
      <c r="CA404">
        <v>29191</v>
      </c>
      <c r="CB404">
        <v>24807</v>
      </c>
      <c r="CC404">
        <v>142378</v>
      </c>
      <c r="CD404">
        <v>378257</v>
      </c>
      <c r="CE404">
        <v>61780</v>
      </c>
      <c r="CF404">
        <v>87470</v>
      </c>
      <c r="CG404">
        <v>0</v>
      </c>
      <c r="CH404">
        <v>23</v>
      </c>
      <c r="CI404">
        <v>0</v>
      </c>
      <c r="CJ404">
        <v>101</v>
      </c>
      <c r="CK404">
        <v>85306</v>
      </c>
      <c r="CL404">
        <v>63453</v>
      </c>
      <c r="CM404">
        <v>357346</v>
      </c>
      <c r="CN404">
        <v>74647</v>
      </c>
      <c r="CO404">
        <v>77</v>
      </c>
      <c r="CP404">
        <v>16856</v>
      </c>
      <c r="CQ404">
        <v>1508</v>
      </c>
      <c r="CR404">
        <v>9</v>
      </c>
      <c r="CY404">
        <v>0</v>
      </c>
      <c r="CZ404">
        <v>0</v>
      </c>
      <c r="DA404">
        <v>0</v>
      </c>
      <c r="DB404">
        <v>10</v>
      </c>
      <c r="DC404">
        <v>0</v>
      </c>
      <c r="DD404">
        <v>23</v>
      </c>
      <c r="DE404">
        <f t="shared" si="149"/>
        <v>1922863</v>
      </c>
      <c r="DG404" s="1">
        <f t="shared" si="140"/>
        <v>1535275</v>
      </c>
      <c r="DH404" s="1">
        <f t="shared" si="141"/>
        <v>303305</v>
      </c>
      <c r="DI404" s="1">
        <f t="shared" si="135"/>
        <v>1838580</v>
      </c>
      <c r="DJ404" s="1"/>
      <c r="DK404" s="1">
        <f t="shared" si="142"/>
        <v>82647</v>
      </c>
      <c r="DL404" s="1">
        <f t="shared" si="150"/>
        <v>152856</v>
      </c>
      <c r="DM404" s="1">
        <f t="shared" si="143"/>
        <v>15888</v>
      </c>
      <c r="DN404" s="1">
        <f t="shared" si="144"/>
        <v>50393</v>
      </c>
      <c r="DO404" s="1">
        <f t="shared" si="145"/>
        <v>614698</v>
      </c>
      <c r="DP404" s="1">
        <f t="shared" si="151"/>
        <v>147371</v>
      </c>
      <c r="DQ404" s="1">
        <f t="shared" si="153"/>
        <v>1517</v>
      </c>
      <c r="DR404" s="1">
        <f t="shared" si="146"/>
        <v>24834</v>
      </c>
      <c r="DS404" s="1">
        <f t="shared" si="147"/>
        <v>48089</v>
      </c>
      <c r="DT404" s="1">
        <f t="shared" si="138"/>
        <v>15132</v>
      </c>
      <c r="DU404" s="1">
        <f t="shared" si="136"/>
        <v>148759</v>
      </c>
      <c r="DV404" s="1">
        <f t="shared" si="139"/>
        <v>432070</v>
      </c>
      <c r="DW404" s="1">
        <f t="shared" si="137"/>
        <v>16856</v>
      </c>
      <c r="DX404" s="1">
        <f t="shared" si="154"/>
        <v>1751110</v>
      </c>
      <c r="DY404" s="1"/>
      <c r="DZ404" s="1">
        <f t="shared" si="155"/>
        <v>87470</v>
      </c>
      <c r="EA404" s="1">
        <f t="shared" si="148"/>
        <v>84283</v>
      </c>
      <c r="EB404" s="1"/>
      <c r="EC404" s="1">
        <f t="shared" si="156"/>
        <v>1922863</v>
      </c>
      <c r="ED404" s="1">
        <f t="shared" si="152"/>
        <v>0</v>
      </c>
      <c r="EE404" s="1"/>
    </row>
    <row r="405" spans="1:135" x14ac:dyDescent="0.25">
      <c r="A405" s="10">
        <v>44531</v>
      </c>
      <c r="B405">
        <v>0</v>
      </c>
      <c r="C405">
        <v>0</v>
      </c>
      <c r="D405">
        <v>0</v>
      </c>
      <c r="E405">
        <v>0</v>
      </c>
      <c r="F405">
        <v>4495</v>
      </c>
      <c r="G405">
        <v>15965</v>
      </c>
      <c r="H405">
        <v>52085</v>
      </c>
      <c r="I405">
        <v>2280</v>
      </c>
      <c r="J405">
        <v>6327</v>
      </c>
      <c r="K405">
        <v>2139</v>
      </c>
      <c r="L405">
        <v>34508</v>
      </c>
      <c r="M405">
        <v>1177</v>
      </c>
      <c r="N405">
        <v>1274</v>
      </c>
      <c r="O405">
        <v>1834</v>
      </c>
      <c r="P405">
        <v>10969</v>
      </c>
      <c r="Q405">
        <v>307</v>
      </c>
      <c r="R405">
        <v>4828</v>
      </c>
      <c r="S405">
        <v>15869</v>
      </c>
      <c r="T405">
        <v>132</v>
      </c>
      <c r="U405">
        <v>4281</v>
      </c>
      <c r="V405">
        <v>109</v>
      </c>
      <c r="W405">
        <v>24706</v>
      </c>
      <c r="X405">
        <v>523</v>
      </c>
      <c r="Y405">
        <v>5</v>
      </c>
      <c r="Z405">
        <v>0</v>
      </c>
      <c r="AA405">
        <v>3</v>
      </c>
      <c r="AB405">
        <v>94</v>
      </c>
      <c r="AC405">
        <v>21</v>
      </c>
      <c r="AD405">
        <v>26</v>
      </c>
      <c r="AE405">
        <v>16</v>
      </c>
      <c r="AF405">
        <v>47</v>
      </c>
      <c r="AG405">
        <v>274</v>
      </c>
      <c r="AH405">
        <v>2550</v>
      </c>
      <c r="AI405">
        <v>3</v>
      </c>
      <c r="AJ405">
        <v>13805</v>
      </c>
      <c r="AK405">
        <v>114926</v>
      </c>
      <c r="AL405">
        <v>1605</v>
      </c>
      <c r="AM405">
        <v>22773</v>
      </c>
      <c r="AN405">
        <v>4</v>
      </c>
      <c r="AO405">
        <v>5</v>
      </c>
      <c r="AP405">
        <v>12297</v>
      </c>
      <c r="AQ405">
        <v>0</v>
      </c>
      <c r="AR405">
        <v>762</v>
      </c>
      <c r="AS405">
        <v>41</v>
      </c>
      <c r="AT405">
        <v>11211</v>
      </c>
      <c r="AU405">
        <v>2503</v>
      </c>
      <c r="AV405">
        <v>3416</v>
      </c>
      <c r="AW405">
        <v>15206</v>
      </c>
      <c r="AX405">
        <v>2</v>
      </c>
      <c r="AY405">
        <v>3</v>
      </c>
      <c r="AZ405">
        <v>838</v>
      </c>
      <c r="BA405">
        <v>0</v>
      </c>
      <c r="BB405">
        <v>309</v>
      </c>
      <c r="BC405">
        <v>2072</v>
      </c>
      <c r="BD405">
        <v>0</v>
      </c>
      <c r="BE405">
        <v>0</v>
      </c>
      <c r="BF405">
        <v>9378</v>
      </c>
      <c r="BG405">
        <v>0</v>
      </c>
      <c r="BH405">
        <v>0</v>
      </c>
      <c r="BI405">
        <v>0</v>
      </c>
      <c r="BJ405">
        <v>12</v>
      </c>
      <c r="BK405">
        <v>5852</v>
      </c>
      <c r="BL405">
        <v>0</v>
      </c>
      <c r="BM405">
        <v>226</v>
      </c>
      <c r="BN405">
        <v>0</v>
      </c>
      <c r="BO405">
        <v>48308</v>
      </c>
      <c r="BP405">
        <v>104816</v>
      </c>
      <c r="BQ405">
        <v>1534</v>
      </c>
      <c r="BR405">
        <v>31</v>
      </c>
      <c r="BS405">
        <v>43458</v>
      </c>
      <c r="BT405">
        <v>1096</v>
      </c>
      <c r="BU405">
        <v>0</v>
      </c>
      <c r="BV405">
        <v>0</v>
      </c>
      <c r="BW405">
        <v>1</v>
      </c>
      <c r="BX405">
        <v>0</v>
      </c>
      <c r="BY405">
        <v>322</v>
      </c>
      <c r="BZ405">
        <v>0</v>
      </c>
      <c r="CA405">
        <v>29337</v>
      </c>
      <c r="CB405">
        <v>21576</v>
      </c>
      <c r="CC405">
        <v>142451</v>
      </c>
      <c r="CD405">
        <v>381153</v>
      </c>
      <c r="CE405">
        <v>62538</v>
      </c>
      <c r="CF405">
        <v>88544</v>
      </c>
      <c r="CG405">
        <v>0</v>
      </c>
      <c r="CH405">
        <v>23</v>
      </c>
      <c r="CI405">
        <v>0</v>
      </c>
      <c r="CJ405">
        <v>101</v>
      </c>
      <c r="CK405">
        <v>86863</v>
      </c>
      <c r="CL405">
        <v>65105</v>
      </c>
      <c r="CM405">
        <v>365309</v>
      </c>
      <c r="CN405">
        <v>76630</v>
      </c>
      <c r="CO405">
        <v>93</v>
      </c>
      <c r="CP405">
        <v>16729</v>
      </c>
      <c r="CQ405">
        <v>1512</v>
      </c>
      <c r="CR405">
        <v>6</v>
      </c>
      <c r="CY405">
        <v>0</v>
      </c>
      <c r="CZ405">
        <v>0</v>
      </c>
      <c r="DA405">
        <v>0</v>
      </c>
      <c r="DB405">
        <v>10</v>
      </c>
      <c r="DC405">
        <v>0</v>
      </c>
      <c r="DD405">
        <v>23</v>
      </c>
      <c r="DE405">
        <f t="shared" si="149"/>
        <v>1941629</v>
      </c>
      <c r="DG405" s="1">
        <f t="shared" si="140"/>
        <v>1553563</v>
      </c>
      <c r="DH405" s="1">
        <f t="shared" si="141"/>
        <v>303501</v>
      </c>
      <c r="DI405" s="1">
        <f t="shared" si="135"/>
        <v>1857064</v>
      </c>
      <c r="DJ405" s="1"/>
      <c r="DK405" s="1">
        <f t="shared" si="142"/>
        <v>82851</v>
      </c>
      <c r="DL405" s="1">
        <f t="shared" si="150"/>
        <v>152935</v>
      </c>
      <c r="DM405" s="1">
        <f t="shared" si="143"/>
        <v>15869</v>
      </c>
      <c r="DN405" s="1">
        <f t="shared" si="144"/>
        <v>50328</v>
      </c>
      <c r="DO405" s="1">
        <f t="shared" si="145"/>
        <v>618577</v>
      </c>
      <c r="DP405" s="1">
        <f t="shared" si="151"/>
        <v>150575</v>
      </c>
      <c r="DQ405" s="1">
        <f t="shared" si="153"/>
        <v>1518</v>
      </c>
      <c r="DR405" s="1">
        <f t="shared" si="146"/>
        <v>21599</v>
      </c>
      <c r="DS405" s="1">
        <f t="shared" si="147"/>
        <v>48308</v>
      </c>
      <c r="DT405" s="1">
        <f t="shared" si="138"/>
        <v>15231</v>
      </c>
      <c r="DU405" s="1">
        <f t="shared" si="136"/>
        <v>151968</v>
      </c>
      <c r="DV405" s="1">
        <f t="shared" si="139"/>
        <v>442032</v>
      </c>
      <c r="DW405" s="1">
        <f t="shared" si="137"/>
        <v>16729</v>
      </c>
      <c r="DX405" s="1">
        <f t="shared" si="154"/>
        <v>1768520</v>
      </c>
      <c r="DY405" s="1"/>
      <c r="DZ405" s="1">
        <f t="shared" si="155"/>
        <v>88544</v>
      </c>
      <c r="EA405" s="1">
        <f t="shared" si="148"/>
        <v>84565</v>
      </c>
      <c r="EB405" s="1"/>
      <c r="EC405" s="1">
        <f t="shared" si="156"/>
        <v>1941629</v>
      </c>
      <c r="ED405" s="1">
        <f t="shared" si="152"/>
        <v>0</v>
      </c>
      <c r="EE405" s="1"/>
    </row>
    <row r="406" spans="1:135" x14ac:dyDescent="0.25">
      <c r="A406" s="10">
        <v>44562</v>
      </c>
      <c r="B406">
        <v>0</v>
      </c>
      <c r="C406">
        <v>0</v>
      </c>
      <c r="D406">
        <v>0</v>
      </c>
      <c r="E406">
        <v>0</v>
      </c>
      <c r="F406">
        <v>4802</v>
      </c>
      <c r="G406">
        <v>15871</v>
      </c>
      <c r="H406">
        <v>52286</v>
      </c>
      <c r="I406">
        <v>2241</v>
      </c>
      <c r="J406">
        <v>6292</v>
      </c>
      <c r="K406">
        <v>2155</v>
      </c>
      <c r="L406">
        <v>34510</v>
      </c>
      <c r="M406">
        <v>1168</v>
      </c>
      <c r="N406">
        <v>1315</v>
      </c>
      <c r="O406">
        <v>1841</v>
      </c>
      <c r="P406">
        <v>10934</v>
      </c>
      <c r="Q406">
        <v>303</v>
      </c>
      <c r="R406">
        <v>4810</v>
      </c>
      <c r="S406">
        <v>15843</v>
      </c>
      <c r="T406">
        <v>136</v>
      </c>
      <c r="U406">
        <v>4244</v>
      </c>
      <c r="V406">
        <v>110</v>
      </c>
      <c r="W406">
        <v>25064</v>
      </c>
      <c r="X406">
        <v>529</v>
      </c>
      <c r="Y406">
        <v>4</v>
      </c>
      <c r="Z406">
        <v>0</v>
      </c>
      <c r="AA406">
        <v>3</v>
      </c>
      <c r="AB406">
        <v>104</v>
      </c>
      <c r="AC406">
        <v>20</v>
      </c>
      <c r="AD406">
        <v>27</v>
      </c>
      <c r="AE406">
        <v>16</v>
      </c>
      <c r="AF406">
        <v>53</v>
      </c>
      <c r="AG406">
        <v>277</v>
      </c>
      <c r="AH406">
        <v>2552</v>
      </c>
      <c r="AI406">
        <v>3</v>
      </c>
      <c r="AJ406">
        <v>13856</v>
      </c>
      <c r="AK406">
        <v>114965</v>
      </c>
      <c r="AL406">
        <v>1592</v>
      </c>
      <c r="AM406">
        <v>22787</v>
      </c>
      <c r="AN406">
        <v>6</v>
      </c>
      <c r="AO406">
        <v>5</v>
      </c>
      <c r="AP406">
        <v>12379</v>
      </c>
      <c r="AQ406">
        <v>0</v>
      </c>
      <c r="AR406">
        <v>768</v>
      </c>
      <c r="AS406">
        <v>42</v>
      </c>
      <c r="AT406">
        <v>11237</v>
      </c>
      <c r="AU406">
        <v>2504</v>
      </c>
      <c r="AV406">
        <v>3418</v>
      </c>
      <c r="AW406">
        <v>15170</v>
      </c>
      <c r="AX406">
        <v>6</v>
      </c>
      <c r="AY406">
        <v>0</v>
      </c>
      <c r="AZ406">
        <v>836</v>
      </c>
      <c r="BA406">
        <v>0</v>
      </c>
      <c r="BB406">
        <v>308</v>
      </c>
      <c r="BC406">
        <v>2078</v>
      </c>
      <c r="BD406">
        <v>0</v>
      </c>
      <c r="BE406">
        <v>0</v>
      </c>
      <c r="BF406">
        <v>9409</v>
      </c>
      <c r="BG406">
        <v>0</v>
      </c>
      <c r="BH406">
        <v>0</v>
      </c>
      <c r="BI406">
        <v>0</v>
      </c>
      <c r="BJ406">
        <v>13</v>
      </c>
      <c r="BK406">
        <v>5854</v>
      </c>
      <c r="BL406">
        <v>0</v>
      </c>
      <c r="BM406">
        <v>283</v>
      </c>
      <c r="BN406">
        <v>0</v>
      </c>
      <c r="BO406">
        <v>48732</v>
      </c>
      <c r="BP406">
        <v>105678</v>
      </c>
      <c r="BQ406">
        <v>1519</v>
      </c>
      <c r="BR406">
        <v>31</v>
      </c>
      <c r="BS406">
        <v>44463</v>
      </c>
      <c r="BT406">
        <v>1097</v>
      </c>
      <c r="BU406">
        <v>0</v>
      </c>
      <c r="BV406">
        <v>0</v>
      </c>
      <c r="BW406">
        <v>1</v>
      </c>
      <c r="BX406">
        <v>0</v>
      </c>
      <c r="BY406">
        <v>328</v>
      </c>
      <c r="BZ406">
        <v>0</v>
      </c>
      <c r="CA406">
        <v>29518</v>
      </c>
      <c r="CB406">
        <v>22050</v>
      </c>
      <c r="CC406">
        <v>142112</v>
      </c>
      <c r="CD406">
        <v>384958</v>
      </c>
      <c r="CE406">
        <v>63978</v>
      </c>
      <c r="CF406">
        <v>90110</v>
      </c>
      <c r="CG406">
        <v>0</v>
      </c>
      <c r="CH406">
        <v>23</v>
      </c>
      <c r="CI406">
        <v>0</v>
      </c>
      <c r="CJ406">
        <v>99</v>
      </c>
      <c r="CK406">
        <v>87190</v>
      </c>
      <c r="CL406">
        <v>66201</v>
      </c>
      <c r="CM406">
        <v>373049</v>
      </c>
      <c r="CN406">
        <v>78653</v>
      </c>
      <c r="CO406">
        <v>94</v>
      </c>
      <c r="CP406">
        <v>16613</v>
      </c>
      <c r="CQ406">
        <v>1510</v>
      </c>
      <c r="CR406">
        <v>8</v>
      </c>
      <c r="CY406">
        <v>0</v>
      </c>
      <c r="CZ406">
        <v>0</v>
      </c>
      <c r="DA406">
        <v>0</v>
      </c>
      <c r="DB406">
        <v>10</v>
      </c>
      <c r="DC406">
        <v>0</v>
      </c>
      <c r="DD406">
        <v>22</v>
      </c>
      <c r="DE406">
        <f t="shared" si="149"/>
        <v>1963044</v>
      </c>
      <c r="DG406" s="1">
        <f t="shared" si="140"/>
        <v>1574140</v>
      </c>
      <c r="DH406" s="1">
        <f t="shared" si="141"/>
        <v>303942</v>
      </c>
      <c r="DI406" s="1">
        <f t="shared" si="135"/>
        <v>1878082</v>
      </c>
      <c r="DJ406" s="1"/>
      <c r="DK406" s="1">
        <f t="shared" si="142"/>
        <v>83120</v>
      </c>
      <c r="DL406" s="1">
        <f t="shared" si="150"/>
        <v>153067</v>
      </c>
      <c r="DM406" s="1">
        <f t="shared" si="143"/>
        <v>15843</v>
      </c>
      <c r="DN406" s="1">
        <f t="shared" si="144"/>
        <v>50394</v>
      </c>
      <c r="DO406" s="1">
        <f t="shared" si="145"/>
        <v>623659</v>
      </c>
      <c r="DP406" s="1">
        <f t="shared" si="151"/>
        <v>152502</v>
      </c>
      <c r="DQ406" s="1">
        <f t="shared" si="153"/>
        <v>1518</v>
      </c>
      <c r="DR406" s="1">
        <f t="shared" si="146"/>
        <v>22073</v>
      </c>
      <c r="DS406" s="1">
        <f t="shared" si="147"/>
        <v>48732</v>
      </c>
      <c r="DT406" s="1">
        <f t="shared" si="138"/>
        <v>15264</v>
      </c>
      <c r="DU406" s="1">
        <f t="shared" si="136"/>
        <v>153391</v>
      </c>
      <c r="DV406" s="1">
        <f t="shared" si="139"/>
        <v>451796</v>
      </c>
      <c r="DW406" s="1">
        <f t="shared" si="137"/>
        <v>16613</v>
      </c>
      <c r="DX406" s="1">
        <f t="shared" si="154"/>
        <v>1787972</v>
      </c>
      <c r="DY406" s="1"/>
      <c r="DZ406" s="1">
        <f t="shared" si="155"/>
        <v>90110</v>
      </c>
      <c r="EA406" s="1">
        <f t="shared" si="148"/>
        <v>84962</v>
      </c>
      <c r="EB406" s="1"/>
      <c r="EC406" s="1">
        <f t="shared" si="156"/>
        <v>1963044</v>
      </c>
      <c r="ED406" s="1">
        <f t="shared" si="152"/>
        <v>0</v>
      </c>
      <c r="EE406" s="1"/>
    </row>
    <row r="407" spans="1:135" x14ac:dyDescent="0.25">
      <c r="A407" s="10">
        <v>44593</v>
      </c>
      <c r="B407">
        <v>0</v>
      </c>
      <c r="C407">
        <v>0</v>
      </c>
      <c r="D407">
        <v>0</v>
      </c>
      <c r="E407">
        <v>0</v>
      </c>
      <c r="F407">
        <v>5002</v>
      </c>
      <c r="G407">
        <v>15725</v>
      </c>
      <c r="H407">
        <v>52641</v>
      </c>
      <c r="I407">
        <v>2167</v>
      </c>
      <c r="J407">
        <v>6296</v>
      </c>
      <c r="K407">
        <v>2211</v>
      </c>
      <c r="L407">
        <v>34515</v>
      </c>
      <c r="M407">
        <v>1164</v>
      </c>
      <c r="N407">
        <v>1359</v>
      </c>
      <c r="O407">
        <v>1618</v>
      </c>
      <c r="P407">
        <v>10980</v>
      </c>
      <c r="Q407">
        <v>299</v>
      </c>
      <c r="R407">
        <v>4775</v>
      </c>
      <c r="S407">
        <v>15776</v>
      </c>
      <c r="T407">
        <v>37</v>
      </c>
      <c r="U407">
        <v>4211</v>
      </c>
      <c r="V407">
        <v>31</v>
      </c>
      <c r="W407">
        <v>25348</v>
      </c>
      <c r="X407">
        <v>534</v>
      </c>
      <c r="Y407">
        <v>4</v>
      </c>
      <c r="Z407">
        <v>1</v>
      </c>
      <c r="AA407">
        <v>1</v>
      </c>
      <c r="AB407">
        <v>108</v>
      </c>
      <c r="AC407">
        <v>20</v>
      </c>
      <c r="AD407">
        <v>26</v>
      </c>
      <c r="AE407">
        <v>16</v>
      </c>
      <c r="AF407">
        <v>53</v>
      </c>
      <c r="AG407">
        <v>266</v>
      </c>
      <c r="AH407">
        <v>2559</v>
      </c>
      <c r="AI407">
        <v>2</v>
      </c>
      <c r="AJ407">
        <v>13868</v>
      </c>
      <c r="AK407">
        <v>114894</v>
      </c>
      <c r="AL407">
        <v>1574</v>
      </c>
      <c r="AM407">
        <v>22746</v>
      </c>
      <c r="AN407">
        <v>6</v>
      </c>
      <c r="AO407">
        <v>5</v>
      </c>
      <c r="AP407">
        <v>12419</v>
      </c>
      <c r="AQ407">
        <v>0</v>
      </c>
      <c r="AR407">
        <v>305</v>
      </c>
      <c r="AS407">
        <v>44</v>
      </c>
      <c r="AT407">
        <v>11298</v>
      </c>
      <c r="AU407">
        <v>2507</v>
      </c>
      <c r="AV407">
        <v>3414</v>
      </c>
      <c r="AW407">
        <v>15137</v>
      </c>
      <c r="AX407">
        <v>0</v>
      </c>
      <c r="AY407">
        <v>0</v>
      </c>
      <c r="AZ407">
        <v>837</v>
      </c>
      <c r="BA407">
        <v>0</v>
      </c>
      <c r="BB407">
        <v>91</v>
      </c>
      <c r="BC407">
        <v>2084</v>
      </c>
      <c r="BD407">
        <v>0</v>
      </c>
      <c r="BE407">
        <v>0</v>
      </c>
      <c r="BF407">
        <v>9444</v>
      </c>
      <c r="BG407">
        <v>0</v>
      </c>
      <c r="BH407">
        <v>0</v>
      </c>
      <c r="BI407">
        <v>0</v>
      </c>
      <c r="BJ407">
        <v>13</v>
      </c>
      <c r="BK407">
        <v>5852</v>
      </c>
      <c r="BL407">
        <v>0</v>
      </c>
      <c r="BM407">
        <v>246</v>
      </c>
      <c r="BN407">
        <v>0</v>
      </c>
      <c r="BO407">
        <v>49212</v>
      </c>
      <c r="BP407">
        <v>106551</v>
      </c>
      <c r="BQ407">
        <v>1524</v>
      </c>
      <c r="BR407">
        <v>32</v>
      </c>
      <c r="BS407">
        <v>45246</v>
      </c>
      <c r="BT407">
        <v>1109</v>
      </c>
      <c r="BU407">
        <v>1</v>
      </c>
      <c r="BV407">
        <v>0</v>
      </c>
      <c r="BW407">
        <v>1</v>
      </c>
      <c r="BX407">
        <v>0</v>
      </c>
      <c r="BY407">
        <v>287</v>
      </c>
      <c r="BZ407">
        <v>0</v>
      </c>
      <c r="CA407">
        <v>29601</v>
      </c>
      <c r="CB407">
        <v>21804</v>
      </c>
      <c r="CC407">
        <v>141866</v>
      </c>
      <c r="CD407">
        <v>388144</v>
      </c>
      <c r="CE407">
        <v>65597</v>
      </c>
      <c r="CF407">
        <v>91219</v>
      </c>
      <c r="CG407">
        <v>0</v>
      </c>
      <c r="CH407">
        <v>19</v>
      </c>
      <c r="CI407">
        <v>0</v>
      </c>
      <c r="CJ407">
        <v>100</v>
      </c>
      <c r="CK407">
        <v>87720</v>
      </c>
      <c r="CL407">
        <v>67148</v>
      </c>
      <c r="CM407">
        <v>379585</v>
      </c>
      <c r="CN407">
        <v>80053</v>
      </c>
      <c r="CO407">
        <v>101</v>
      </c>
      <c r="CP407">
        <v>16441</v>
      </c>
      <c r="CQ407">
        <v>1518</v>
      </c>
      <c r="CR407">
        <v>8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10</v>
      </c>
      <c r="DC407">
        <v>0</v>
      </c>
      <c r="DD407">
        <v>22</v>
      </c>
      <c r="DE407">
        <f t="shared" si="149"/>
        <v>1979416</v>
      </c>
      <c r="DG407" s="1">
        <f t="shared" si="140"/>
        <v>1591000</v>
      </c>
      <c r="DH407" s="1">
        <f t="shared" si="141"/>
        <v>303015</v>
      </c>
      <c r="DI407" s="1">
        <f t="shared" si="135"/>
        <v>1894015</v>
      </c>
      <c r="DJ407" s="1"/>
      <c r="DK407" s="1">
        <f t="shared" si="142"/>
        <v>82978</v>
      </c>
      <c r="DL407" s="1">
        <f>SUM(X407:Y407,AA407:AE407,AG407:AL407,AN407,AR407:AV407,AZ407:BB407)</f>
        <v>152374</v>
      </c>
      <c r="DM407" s="1">
        <f t="shared" si="143"/>
        <v>15776</v>
      </c>
      <c r="DN407" s="1">
        <f t="shared" si="144"/>
        <v>50360</v>
      </c>
      <c r="DO407" s="1">
        <f t="shared" si="145"/>
        <v>628273</v>
      </c>
      <c r="DP407" s="1">
        <f t="shared" si="151"/>
        <v>154127</v>
      </c>
      <c r="DQ407" s="1">
        <f t="shared" si="153"/>
        <v>1526</v>
      </c>
      <c r="DR407" s="1">
        <f t="shared" si="146"/>
        <v>21824</v>
      </c>
      <c r="DS407" s="1">
        <f t="shared" si="147"/>
        <v>49213</v>
      </c>
      <c r="DT407" s="1">
        <f t="shared" si="138"/>
        <v>15297</v>
      </c>
      <c r="DU407" s="1">
        <f t="shared" si="136"/>
        <v>154868</v>
      </c>
      <c r="DV407" s="1">
        <f t="shared" si="139"/>
        <v>459739</v>
      </c>
      <c r="DW407" s="1">
        <f t="shared" si="137"/>
        <v>16441</v>
      </c>
      <c r="DX407" s="1">
        <f t="shared" si="154"/>
        <v>1802796</v>
      </c>
      <c r="DY407" s="1"/>
      <c r="DZ407" s="1">
        <f t="shared" si="155"/>
        <v>91219</v>
      </c>
      <c r="EA407" s="1">
        <f t="shared" si="148"/>
        <v>85401</v>
      </c>
      <c r="EB407" s="1"/>
      <c r="EC407" s="1">
        <f t="shared" si="156"/>
        <v>1979416</v>
      </c>
      <c r="ED407" s="1">
        <f t="shared" si="152"/>
        <v>0</v>
      </c>
      <c r="EE407" s="1"/>
    </row>
    <row r="408" spans="1:135" x14ac:dyDescent="0.25">
      <c r="A408" s="10">
        <v>44621</v>
      </c>
      <c r="B408">
        <v>0</v>
      </c>
      <c r="C408">
        <v>0</v>
      </c>
      <c r="D408">
        <v>0</v>
      </c>
      <c r="E408">
        <v>0</v>
      </c>
      <c r="F408">
        <v>5191</v>
      </c>
      <c r="G408">
        <v>15603</v>
      </c>
      <c r="H408">
        <v>52868</v>
      </c>
      <c r="I408">
        <v>2131</v>
      </c>
      <c r="J408">
        <v>6266</v>
      </c>
      <c r="K408">
        <v>2235</v>
      </c>
      <c r="L408">
        <v>34460</v>
      </c>
      <c r="M408">
        <v>1165</v>
      </c>
      <c r="N408">
        <v>1358</v>
      </c>
      <c r="O408">
        <v>1850</v>
      </c>
      <c r="P408">
        <v>11014</v>
      </c>
      <c r="Q408">
        <v>300</v>
      </c>
      <c r="R408">
        <v>4761</v>
      </c>
      <c r="S408">
        <v>15704</v>
      </c>
      <c r="T408">
        <v>135</v>
      </c>
      <c r="U408">
        <v>4171</v>
      </c>
      <c r="V408">
        <v>109</v>
      </c>
      <c r="W408">
        <v>25585</v>
      </c>
      <c r="X408">
        <v>539</v>
      </c>
      <c r="Y408">
        <v>4</v>
      </c>
      <c r="Z408">
        <v>0</v>
      </c>
      <c r="AA408">
        <v>3</v>
      </c>
      <c r="AB408">
        <v>110</v>
      </c>
      <c r="AC408">
        <v>21</v>
      </c>
      <c r="AD408">
        <v>26</v>
      </c>
      <c r="AE408">
        <v>15</v>
      </c>
      <c r="AF408">
        <v>53</v>
      </c>
      <c r="AG408">
        <v>268</v>
      </c>
      <c r="AH408">
        <v>2560</v>
      </c>
      <c r="AI408">
        <v>3</v>
      </c>
      <c r="AJ408">
        <v>13921</v>
      </c>
      <c r="AK408">
        <v>114856</v>
      </c>
      <c r="AL408">
        <v>1570</v>
      </c>
      <c r="AM408">
        <v>22683</v>
      </c>
      <c r="AN408">
        <v>4</v>
      </c>
      <c r="AO408">
        <v>5</v>
      </c>
      <c r="AP408">
        <v>12415</v>
      </c>
      <c r="AQ408">
        <v>0</v>
      </c>
      <c r="AR408">
        <v>770</v>
      </c>
      <c r="AS408">
        <v>44</v>
      </c>
      <c r="AT408">
        <v>11377</v>
      </c>
      <c r="AU408">
        <v>2502</v>
      </c>
      <c r="AV408">
        <v>3415</v>
      </c>
      <c r="AW408">
        <v>15103</v>
      </c>
      <c r="AX408">
        <v>1</v>
      </c>
      <c r="AY408">
        <v>0</v>
      </c>
      <c r="AZ408">
        <v>834</v>
      </c>
      <c r="BA408">
        <v>0</v>
      </c>
      <c r="BB408">
        <v>298</v>
      </c>
      <c r="BC408">
        <v>2089</v>
      </c>
      <c r="BD408">
        <v>0</v>
      </c>
      <c r="BE408">
        <v>0</v>
      </c>
      <c r="BF408">
        <v>9499</v>
      </c>
      <c r="BG408">
        <v>0</v>
      </c>
      <c r="BH408">
        <v>0</v>
      </c>
      <c r="BI408">
        <v>0</v>
      </c>
      <c r="BJ408">
        <v>12</v>
      </c>
      <c r="BK408">
        <v>5894</v>
      </c>
      <c r="BL408">
        <v>0</v>
      </c>
      <c r="BM408">
        <v>205</v>
      </c>
      <c r="BN408">
        <v>0</v>
      </c>
      <c r="BO408">
        <v>49482</v>
      </c>
      <c r="BP408">
        <v>107338</v>
      </c>
      <c r="BQ408">
        <v>1494</v>
      </c>
      <c r="BR408">
        <v>32</v>
      </c>
      <c r="BS408">
        <v>45734</v>
      </c>
      <c r="BT408">
        <v>1113</v>
      </c>
      <c r="BU408">
        <v>2</v>
      </c>
      <c r="BV408">
        <v>0</v>
      </c>
      <c r="BW408">
        <v>1</v>
      </c>
      <c r="BX408">
        <v>0</v>
      </c>
      <c r="BY408">
        <v>343</v>
      </c>
      <c r="BZ408">
        <v>0</v>
      </c>
      <c r="CA408">
        <v>29669</v>
      </c>
      <c r="CB408">
        <v>21624</v>
      </c>
      <c r="CC408">
        <v>141572</v>
      </c>
      <c r="CD408">
        <v>390547</v>
      </c>
      <c r="CE408">
        <v>66498</v>
      </c>
      <c r="CF408">
        <v>92160</v>
      </c>
      <c r="CG408">
        <v>0</v>
      </c>
      <c r="CH408">
        <v>22</v>
      </c>
      <c r="CI408">
        <v>0</v>
      </c>
      <c r="CJ408">
        <v>104</v>
      </c>
      <c r="CK408">
        <v>87954</v>
      </c>
      <c r="CL408">
        <v>68049</v>
      </c>
      <c r="CM408">
        <v>384127</v>
      </c>
      <c r="CN408">
        <v>80793</v>
      </c>
      <c r="CO408">
        <v>87</v>
      </c>
      <c r="CP408">
        <v>16430</v>
      </c>
      <c r="CQ408">
        <v>1531</v>
      </c>
      <c r="CR408">
        <v>11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10</v>
      </c>
      <c r="DC408">
        <v>0</v>
      </c>
      <c r="DD408">
        <v>22</v>
      </c>
      <c r="DE408">
        <f t="shared" si="149"/>
        <v>1992722</v>
      </c>
      <c r="DG408" s="1">
        <f t="shared" si="140"/>
        <v>1602875</v>
      </c>
      <c r="DH408" s="1">
        <f t="shared" si="141"/>
        <v>304195</v>
      </c>
      <c r="DI408" s="1">
        <f t="shared" si="135"/>
        <v>1907070</v>
      </c>
      <c r="DJ408" s="1"/>
      <c r="DK408" s="1">
        <f t="shared" si="142"/>
        <v>83550</v>
      </c>
      <c r="DL408" s="1">
        <f t="shared" si="150"/>
        <v>153140</v>
      </c>
      <c r="DM408" s="1">
        <f t="shared" si="143"/>
        <v>15704</v>
      </c>
      <c r="DN408" s="1">
        <f t="shared" si="144"/>
        <v>50259</v>
      </c>
      <c r="DO408" s="1">
        <f t="shared" si="145"/>
        <v>631385</v>
      </c>
      <c r="DP408" s="1">
        <f t="shared" si="151"/>
        <v>155366</v>
      </c>
      <c r="DQ408" s="1">
        <f t="shared" si="153"/>
        <v>1542</v>
      </c>
      <c r="DR408" s="1">
        <f t="shared" si="146"/>
        <v>21646</v>
      </c>
      <c r="DS408" s="1">
        <f t="shared" si="147"/>
        <v>49484</v>
      </c>
      <c r="DT408" s="1">
        <f t="shared" si="138"/>
        <v>15394</v>
      </c>
      <c r="DU408" s="1">
        <f t="shared" si="136"/>
        <v>156003</v>
      </c>
      <c r="DV408" s="1">
        <f t="shared" si="139"/>
        <v>465007</v>
      </c>
      <c r="DW408" s="1">
        <f t="shared" si="137"/>
        <v>16430</v>
      </c>
      <c r="DX408" s="1">
        <f t="shared" si="154"/>
        <v>1814910</v>
      </c>
      <c r="DY408" s="1"/>
      <c r="DZ408" s="1">
        <f t="shared" si="155"/>
        <v>92160</v>
      </c>
      <c r="EA408" s="1">
        <f t="shared" si="148"/>
        <v>85652</v>
      </c>
      <c r="EB408" s="1"/>
      <c r="EC408" s="1">
        <f t="shared" si="156"/>
        <v>1992722</v>
      </c>
      <c r="ED408" s="1">
        <f t="shared" si="152"/>
        <v>0</v>
      </c>
      <c r="EE408" s="1"/>
    </row>
    <row r="409" spans="1:135" x14ac:dyDescent="0.25">
      <c r="A409" s="10">
        <v>44652</v>
      </c>
      <c r="B409">
        <v>0</v>
      </c>
      <c r="C409">
        <v>0</v>
      </c>
      <c r="D409">
        <v>0</v>
      </c>
      <c r="E409">
        <v>0</v>
      </c>
      <c r="F409">
        <v>5970</v>
      </c>
      <c r="G409">
        <v>15819</v>
      </c>
      <c r="H409">
        <v>53219</v>
      </c>
      <c r="I409">
        <v>2182</v>
      </c>
      <c r="J409">
        <v>6347</v>
      </c>
      <c r="K409">
        <v>2375</v>
      </c>
      <c r="L409">
        <v>34335</v>
      </c>
      <c r="M409">
        <v>1150</v>
      </c>
      <c r="N409">
        <v>1406</v>
      </c>
      <c r="O409">
        <v>1861</v>
      </c>
      <c r="P409">
        <v>11048</v>
      </c>
      <c r="Q409">
        <v>297</v>
      </c>
      <c r="R409">
        <v>4710</v>
      </c>
      <c r="S409">
        <v>15593</v>
      </c>
      <c r="T409">
        <v>137</v>
      </c>
      <c r="U409">
        <v>4143</v>
      </c>
      <c r="V409">
        <v>109</v>
      </c>
      <c r="W409">
        <v>25753</v>
      </c>
      <c r="X409">
        <v>542</v>
      </c>
      <c r="Y409">
        <v>4</v>
      </c>
      <c r="Z409">
        <v>0</v>
      </c>
      <c r="AA409">
        <v>3</v>
      </c>
      <c r="AB409">
        <v>111</v>
      </c>
      <c r="AC409">
        <v>21</v>
      </c>
      <c r="AD409">
        <v>26</v>
      </c>
      <c r="AE409">
        <v>15</v>
      </c>
      <c r="AF409">
        <v>53</v>
      </c>
      <c r="AG409">
        <v>273</v>
      </c>
      <c r="AH409">
        <v>2560</v>
      </c>
      <c r="AI409">
        <v>3</v>
      </c>
      <c r="AJ409">
        <v>13954</v>
      </c>
      <c r="AK409">
        <v>114881</v>
      </c>
      <c r="AL409">
        <v>1573</v>
      </c>
      <c r="AM409">
        <v>22672</v>
      </c>
      <c r="AN409">
        <v>3</v>
      </c>
      <c r="AO409">
        <v>5</v>
      </c>
      <c r="AP409">
        <v>12441</v>
      </c>
      <c r="AQ409">
        <v>0</v>
      </c>
      <c r="AR409">
        <v>767</v>
      </c>
      <c r="AS409">
        <v>44</v>
      </c>
      <c r="AT409">
        <v>11460</v>
      </c>
      <c r="AU409">
        <v>2498</v>
      </c>
      <c r="AV409">
        <v>3408</v>
      </c>
      <c r="AW409">
        <v>15066</v>
      </c>
      <c r="AX409">
        <v>2</v>
      </c>
      <c r="AY409">
        <v>0</v>
      </c>
      <c r="AZ409">
        <v>843</v>
      </c>
      <c r="BA409">
        <v>0</v>
      </c>
      <c r="BB409">
        <v>301</v>
      </c>
      <c r="BC409">
        <v>2094</v>
      </c>
      <c r="BD409">
        <v>0</v>
      </c>
      <c r="BE409">
        <v>0</v>
      </c>
      <c r="BF409">
        <v>9520</v>
      </c>
      <c r="BG409">
        <v>0</v>
      </c>
      <c r="BH409">
        <v>0</v>
      </c>
      <c r="BI409">
        <v>0</v>
      </c>
      <c r="BJ409">
        <v>12</v>
      </c>
      <c r="BK409">
        <v>5940</v>
      </c>
      <c r="BL409">
        <v>0</v>
      </c>
      <c r="BM409">
        <v>205</v>
      </c>
      <c r="BN409">
        <v>0</v>
      </c>
      <c r="BO409">
        <v>50212</v>
      </c>
      <c r="BP409">
        <v>107980</v>
      </c>
      <c r="BQ409">
        <v>1490</v>
      </c>
      <c r="BR409">
        <v>33</v>
      </c>
      <c r="BS409">
        <v>46327</v>
      </c>
      <c r="BT409">
        <v>1110</v>
      </c>
      <c r="BU409">
        <v>4</v>
      </c>
      <c r="BV409">
        <v>0</v>
      </c>
      <c r="BW409">
        <v>1</v>
      </c>
      <c r="BX409">
        <v>0</v>
      </c>
      <c r="BY409">
        <v>341</v>
      </c>
      <c r="BZ409">
        <v>0</v>
      </c>
      <c r="CA409">
        <v>29928</v>
      </c>
      <c r="CB409" s="77">
        <v>24685</v>
      </c>
      <c r="CC409" s="77">
        <v>140909</v>
      </c>
      <c r="CD409">
        <v>392289</v>
      </c>
      <c r="CE409">
        <v>69538</v>
      </c>
      <c r="CF409">
        <v>92500</v>
      </c>
      <c r="CG409">
        <v>0</v>
      </c>
      <c r="CH409">
        <v>24</v>
      </c>
      <c r="CI409">
        <v>0</v>
      </c>
      <c r="CJ409">
        <v>103</v>
      </c>
      <c r="CK409">
        <v>88411</v>
      </c>
      <c r="CL409">
        <v>68555</v>
      </c>
      <c r="CM409">
        <v>390943</v>
      </c>
      <c r="CN409">
        <v>81988</v>
      </c>
      <c r="CO409">
        <v>123</v>
      </c>
      <c r="CP409">
        <v>16355</v>
      </c>
      <c r="CQ409">
        <v>1542</v>
      </c>
      <c r="CR409">
        <v>12</v>
      </c>
      <c r="CS409">
        <v>0</v>
      </c>
      <c r="CT409">
        <v>0</v>
      </c>
      <c r="CU409">
        <v>0</v>
      </c>
      <c r="CV409">
        <v>0</v>
      </c>
      <c r="CW409">
        <v>0</v>
      </c>
      <c r="CX409">
        <v>0</v>
      </c>
      <c r="CY409">
        <v>0</v>
      </c>
      <c r="CZ409">
        <v>0</v>
      </c>
      <c r="DA409">
        <v>0</v>
      </c>
      <c r="DB409">
        <v>10</v>
      </c>
      <c r="DC409">
        <v>0</v>
      </c>
      <c r="DD409">
        <v>22</v>
      </c>
      <c r="DE409">
        <f t="shared" si="149"/>
        <v>2013157</v>
      </c>
      <c r="DG409" s="1">
        <f t="shared" si="140"/>
        <v>1621622</v>
      </c>
      <c r="DH409" s="1">
        <f t="shared" si="141"/>
        <v>304217</v>
      </c>
      <c r="DI409" s="1">
        <f t="shared" si="135"/>
        <v>1925839</v>
      </c>
      <c r="DJ409" s="1"/>
      <c r="DK409" s="1">
        <f t="shared" si="142"/>
        <v>83543</v>
      </c>
      <c r="DL409" s="1">
        <f t="shared" si="150"/>
        <v>153290</v>
      </c>
      <c r="DM409" s="1">
        <f t="shared" si="143"/>
        <v>15593</v>
      </c>
      <c r="DN409" s="1">
        <f t="shared" si="144"/>
        <v>50237</v>
      </c>
      <c r="DO409" s="1">
        <f t="shared" si="145"/>
        <v>635755</v>
      </c>
      <c r="DP409" s="1">
        <f t="shared" si="151"/>
        <v>156606</v>
      </c>
      <c r="DQ409" s="1">
        <f t="shared" si="153"/>
        <v>1554</v>
      </c>
      <c r="DR409" s="1">
        <f t="shared" si="146"/>
        <v>24709</v>
      </c>
      <c r="DS409" s="1">
        <f t="shared" si="147"/>
        <v>50216</v>
      </c>
      <c r="DT409" s="1">
        <f t="shared" si="138"/>
        <v>15461</v>
      </c>
      <c r="DU409" s="1">
        <f t="shared" si="136"/>
        <v>156966</v>
      </c>
      <c r="DV409" s="1">
        <f t="shared" si="139"/>
        <v>473054</v>
      </c>
      <c r="DW409" s="1">
        <f t="shared" si="137"/>
        <v>16355</v>
      </c>
      <c r="DX409" s="1">
        <f t="shared" si="154"/>
        <v>1833339</v>
      </c>
      <c r="DY409" s="1"/>
      <c r="DZ409" s="1">
        <f t="shared" si="155"/>
        <v>92500</v>
      </c>
      <c r="EA409" s="1">
        <f t="shared" si="148"/>
        <v>87318</v>
      </c>
      <c r="EB409" s="1"/>
      <c r="EC409" s="1">
        <f t="shared" si="156"/>
        <v>2013157</v>
      </c>
      <c r="ED409" s="1">
        <f t="shared" si="152"/>
        <v>0</v>
      </c>
      <c r="EE409" s="1"/>
    </row>
    <row r="410" spans="1:135" x14ac:dyDescent="0.25">
      <c r="A410" s="10">
        <v>44682</v>
      </c>
      <c r="B410">
        <v>0</v>
      </c>
      <c r="C410">
        <v>0</v>
      </c>
      <c r="D410">
        <v>0</v>
      </c>
      <c r="E410">
        <v>0</v>
      </c>
      <c r="F410">
        <v>5908</v>
      </c>
      <c r="G410">
        <v>15463</v>
      </c>
      <c r="H410">
        <v>52566</v>
      </c>
      <c r="I410">
        <v>2034</v>
      </c>
      <c r="J410">
        <v>6006</v>
      </c>
      <c r="K410">
        <v>2280</v>
      </c>
      <c r="L410">
        <v>34787</v>
      </c>
      <c r="M410">
        <v>1141</v>
      </c>
      <c r="N410">
        <v>1332</v>
      </c>
      <c r="O410">
        <v>1881</v>
      </c>
      <c r="P410">
        <v>11102</v>
      </c>
      <c r="Q410">
        <v>297</v>
      </c>
      <c r="R410">
        <v>4761</v>
      </c>
      <c r="S410">
        <v>15688</v>
      </c>
      <c r="T410">
        <v>142</v>
      </c>
      <c r="U410">
        <v>4178</v>
      </c>
      <c r="V410">
        <v>106</v>
      </c>
      <c r="W410">
        <v>26188</v>
      </c>
      <c r="X410">
        <v>553</v>
      </c>
      <c r="Y410">
        <v>4</v>
      </c>
      <c r="Z410">
        <v>0</v>
      </c>
      <c r="AA410">
        <v>3</v>
      </c>
      <c r="AB410">
        <v>114</v>
      </c>
      <c r="AC410">
        <v>21</v>
      </c>
      <c r="AD410">
        <v>26</v>
      </c>
      <c r="AE410">
        <v>16</v>
      </c>
      <c r="AF410">
        <v>53</v>
      </c>
      <c r="AG410">
        <v>265</v>
      </c>
      <c r="AH410">
        <v>2571</v>
      </c>
      <c r="AI410">
        <v>3</v>
      </c>
      <c r="AJ410">
        <v>14056</v>
      </c>
      <c r="AK410">
        <v>114498</v>
      </c>
      <c r="AL410">
        <v>1554</v>
      </c>
      <c r="AM410">
        <v>22588</v>
      </c>
      <c r="AN410">
        <v>4</v>
      </c>
      <c r="AO410">
        <v>4</v>
      </c>
      <c r="AP410">
        <v>12417</v>
      </c>
      <c r="AQ410">
        <v>0</v>
      </c>
      <c r="AR410">
        <v>772</v>
      </c>
      <c r="AS410">
        <v>45</v>
      </c>
      <c r="AT410">
        <v>11512</v>
      </c>
      <c r="AU410">
        <v>2506</v>
      </c>
      <c r="AV410">
        <v>3429</v>
      </c>
      <c r="AW410">
        <v>15075</v>
      </c>
      <c r="AX410">
        <v>0</v>
      </c>
      <c r="AY410">
        <v>0</v>
      </c>
      <c r="AZ410">
        <v>846</v>
      </c>
      <c r="BA410">
        <v>0</v>
      </c>
      <c r="BB410">
        <v>300</v>
      </c>
      <c r="BC410">
        <v>2103</v>
      </c>
      <c r="BD410">
        <v>0</v>
      </c>
      <c r="BE410">
        <v>0</v>
      </c>
      <c r="BF410">
        <v>9574</v>
      </c>
      <c r="BG410">
        <v>0</v>
      </c>
      <c r="BH410">
        <v>0</v>
      </c>
      <c r="BI410">
        <v>0</v>
      </c>
      <c r="BJ410">
        <v>12</v>
      </c>
      <c r="BK410">
        <v>6055</v>
      </c>
      <c r="BL410">
        <v>0</v>
      </c>
      <c r="BM410">
        <v>31</v>
      </c>
      <c r="BN410">
        <v>0</v>
      </c>
      <c r="BO410">
        <v>49272</v>
      </c>
      <c r="BP410">
        <v>108686</v>
      </c>
      <c r="BQ410">
        <v>1474</v>
      </c>
      <c r="BR410">
        <v>33</v>
      </c>
      <c r="BS410">
        <v>46662</v>
      </c>
      <c r="BT410">
        <v>1139</v>
      </c>
      <c r="BU410">
        <v>0</v>
      </c>
      <c r="BV410">
        <v>0</v>
      </c>
      <c r="BW410">
        <v>1</v>
      </c>
      <c r="BX410">
        <v>0</v>
      </c>
      <c r="BY410">
        <v>342</v>
      </c>
      <c r="BZ410">
        <v>0</v>
      </c>
      <c r="CA410">
        <v>30214</v>
      </c>
      <c r="CB410">
        <v>21466</v>
      </c>
      <c r="CC410">
        <v>144004</v>
      </c>
      <c r="CD410">
        <v>394668</v>
      </c>
      <c r="CE410">
        <v>65563</v>
      </c>
      <c r="CF410">
        <v>94061</v>
      </c>
      <c r="CG410">
        <v>0</v>
      </c>
      <c r="CH410">
        <v>22</v>
      </c>
      <c r="CI410">
        <v>1</v>
      </c>
      <c r="CJ410">
        <v>105</v>
      </c>
      <c r="CK410">
        <v>88801</v>
      </c>
      <c r="CL410">
        <v>70169</v>
      </c>
      <c r="CM410">
        <v>399526</v>
      </c>
      <c r="CN410">
        <v>83090</v>
      </c>
      <c r="CO410">
        <v>53</v>
      </c>
      <c r="CP410">
        <v>16313</v>
      </c>
      <c r="CQ410">
        <v>1534</v>
      </c>
      <c r="CR410">
        <v>12</v>
      </c>
      <c r="CS410">
        <v>0</v>
      </c>
      <c r="CT410">
        <v>0</v>
      </c>
      <c r="CU410">
        <v>0</v>
      </c>
      <c r="CV410">
        <v>0</v>
      </c>
      <c r="CW410">
        <v>0</v>
      </c>
      <c r="CX410">
        <v>0</v>
      </c>
      <c r="CY410">
        <v>0</v>
      </c>
      <c r="CZ410">
        <v>0</v>
      </c>
      <c r="DA410">
        <v>0</v>
      </c>
      <c r="DB410">
        <v>10</v>
      </c>
      <c r="DC410">
        <v>0</v>
      </c>
      <c r="DD410">
        <v>22</v>
      </c>
      <c r="DE410">
        <f t="shared" si="149"/>
        <v>2024081</v>
      </c>
      <c r="DG410" s="1">
        <f t="shared" si="140"/>
        <v>1633440</v>
      </c>
      <c r="DH410" s="1">
        <f t="shared" si="141"/>
        <v>305052</v>
      </c>
      <c r="DI410" s="1">
        <f t="shared" si="135"/>
        <v>1938492</v>
      </c>
      <c r="DJ410" s="1"/>
      <c r="DK410" s="1">
        <f t="shared" si="142"/>
        <v>84583</v>
      </c>
      <c r="DL410" s="1">
        <f t="shared" si="150"/>
        <v>153098</v>
      </c>
      <c r="DM410" s="1">
        <f t="shared" si="143"/>
        <v>15688</v>
      </c>
      <c r="DN410" s="1">
        <f t="shared" si="144"/>
        <v>50137</v>
      </c>
      <c r="DO410" s="1">
        <f t="shared" si="145"/>
        <v>637555</v>
      </c>
      <c r="DP410" s="1">
        <f t="shared" si="151"/>
        <v>157482</v>
      </c>
      <c r="DQ410" s="1">
        <f t="shared" si="153"/>
        <v>1546</v>
      </c>
      <c r="DR410" s="1">
        <f t="shared" si="146"/>
        <v>21488</v>
      </c>
      <c r="DS410" s="1">
        <f t="shared" si="147"/>
        <v>49272</v>
      </c>
      <c r="DT410" s="1">
        <f t="shared" si="138"/>
        <v>15630</v>
      </c>
      <c r="DU410" s="1">
        <f t="shared" si="136"/>
        <v>158970</v>
      </c>
      <c r="DV410" s="1">
        <f t="shared" si="139"/>
        <v>482669</v>
      </c>
      <c r="DW410" s="1">
        <f t="shared" si="137"/>
        <v>16313</v>
      </c>
      <c r="DX410" s="1">
        <f t="shared" si="154"/>
        <v>1844431</v>
      </c>
      <c r="DY410" s="1"/>
      <c r="DZ410" s="1">
        <f t="shared" si="155"/>
        <v>94061</v>
      </c>
      <c r="EA410" s="1">
        <f t="shared" si="148"/>
        <v>85589</v>
      </c>
      <c r="EB410" s="1"/>
      <c r="EC410" s="1">
        <f t="shared" si="156"/>
        <v>2024081</v>
      </c>
      <c r="ED410" s="1">
        <f t="shared" si="152"/>
        <v>0</v>
      </c>
      <c r="EE410" s="1"/>
    </row>
    <row r="411" spans="1:135" x14ac:dyDescent="0.25">
      <c r="A411" s="10">
        <v>44713</v>
      </c>
      <c r="B411">
        <v>0</v>
      </c>
      <c r="C411">
        <v>0</v>
      </c>
      <c r="D411">
        <v>0</v>
      </c>
      <c r="E411">
        <v>0</v>
      </c>
      <c r="F411">
        <v>6095</v>
      </c>
      <c r="G411">
        <v>15246</v>
      </c>
      <c r="H411">
        <v>52063</v>
      </c>
      <c r="I411">
        <v>2012</v>
      </c>
      <c r="J411">
        <v>5851</v>
      </c>
      <c r="K411">
        <v>2234</v>
      </c>
      <c r="L411">
        <v>34729</v>
      </c>
      <c r="M411">
        <v>1135</v>
      </c>
      <c r="N411">
        <v>1301</v>
      </c>
      <c r="O411">
        <v>1910</v>
      </c>
      <c r="P411">
        <v>11114</v>
      </c>
      <c r="Q411">
        <v>304</v>
      </c>
      <c r="R411">
        <v>4792</v>
      </c>
      <c r="S411">
        <v>15636</v>
      </c>
      <c r="T411">
        <v>140</v>
      </c>
      <c r="U411">
        <v>4176</v>
      </c>
      <c r="V411">
        <v>105</v>
      </c>
      <c r="W411">
        <v>26431</v>
      </c>
      <c r="X411">
        <v>554</v>
      </c>
      <c r="Y411">
        <v>4</v>
      </c>
      <c r="Z411">
        <v>0</v>
      </c>
      <c r="AA411">
        <v>3</v>
      </c>
      <c r="AB411">
        <v>116</v>
      </c>
      <c r="AC411">
        <v>21</v>
      </c>
      <c r="AD411">
        <v>25</v>
      </c>
      <c r="AE411">
        <v>15</v>
      </c>
      <c r="AF411">
        <v>57</v>
      </c>
      <c r="AG411">
        <v>273</v>
      </c>
      <c r="AH411">
        <v>2574</v>
      </c>
      <c r="AI411">
        <v>3</v>
      </c>
      <c r="AJ411">
        <v>14117</v>
      </c>
      <c r="AK411">
        <v>114363</v>
      </c>
      <c r="AL411">
        <v>1530</v>
      </c>
      <c r="AM411">
        <v>22572</v>
      </c>
      <c r="AN411">
        <v>4</v>
      </c>
      <c r="AO411">
        <v>4</v>
      </c>
      <c r="AP411">
        <v>12388</v>
      </c>
      <c r="AQ411">
        <v>0</v>
      </c>
      <c r="AR411">
        <v>778</v>
      </c>
      <c r="AS411">
        <v>46</v>
      </c>
      <c r="AT411">
        <v>11554</v>
      </c>
      <c r="AU411">
        <v>2508</v>
      </c>
      <c r="AV411">
        <v>3439</v>
      </c>
      <c r="AW411">
        <v>15037</v>
      </c>
      <c r="AX411">
        <v>1</v>
      </c>
      <c r="AY411">
        <v>0</v>
      </c>
      <c r="AZ411">
        <v>846</v>
      </c>
      <c r="BA411">
        <v>0</v>
      </c>
      <c r="BB411">
        <v>302</v>
      </c>
      <c r="BC411">
        <v>2111</v>
      </c>
      <c r="BD411">
        <v>0</v>
      </c>
      <c r="BE411">
        <v>0</v>
      </c>
      <c r="BF411">
        <v>9610</v>
      </c>
      <c r="BG411">
        <v>0</v>
      </c>
      <c r="BH411">
        <v>0</v>
      </c>
      <c r="BI411">
        <v>0</v>
      </c>
      <c r="BJ411">
        <v>12</v>
      </c>
      <c r="BK411">
        <v>6102</v>
      </c>
      <c r="BL411">
        <v>0</v>
      </c>
      <c r="BM411">
        <v>6</v>
      </c>
      <c r="BN411">
        <v>0</v>
      </c>
      <c r="BO411">
        <v>48927</v>
      </c>
      <c r="BP411">
        <v>108967</v>
      </c>
      <c r="BQ411">
        <v>1463</v>
      </c>
      <c r="BR411">
        <v>34</v>
      </c>
      <c r="BS411">
        <v>46902</v>
      </c>
      <c r="BT411">
        <v>1129</v>
      </c>
      <c r="BU411">
        <v>0</v>
      </c>
      <c r="BV411">
        <v>0</v>
      </c>
      <c r="BW411">
        <v>1</v>
      </c>
      <c r="BX411">
        <v>0</v>
      </c>
      <c r="BY411">
        <v>339</v>
      </c>
      <c r="BZ411">
        <v>0</v>
      </c>
      <c r="CA411">
        <v>30452</v>
      </c>
      <c r="CB411">
        <v>21196</v>
      </c>
      <c r="CC411">
        <v>146161</v>
      </c>
      <c r="CD411">
        <v>396535</v>
      </c>
      <c r="CE411">
        <v>63447</v>
      </c>
      <c r="CF411">
        <v>94733</v>
      </c>
      <c r="CG411">
        <v>0</v>
      </c>
      <c r="CH411">
        <v>25</v>
      </c>
      <c r="CI411">
        <v>1</v>
      </c>
      <c r="CJ411">
        <v>100</v>
      </c>
      <c r="CK411">
        <v>89381</v>
      </c>
      <c r="CL411">
        <v>70731</v>
      </c>
      <c r="CM411">
        <v>404782</v>
      </c>
      <c r="CN411">
        <v>83752</v>
      </c>
      <c r="CO411">
        <v>53</v>
      </c>
      <c r="CP411">
        <v>16455</v>
      </c>
      <c r="CQ411">
        <v>1582</v>
      </c>
      <c r="CR411">
        <v>11</v>
      </c>
      <c r="CS411">
        <v>0</v>
      </c>
      <c r="CT411">
        <v>0</v>
      </c>
      <c r="CU411">
        <v>0</v>
      </c>
      <c r="CV411">
        <v>0</v>
      </c>
      <c r="CW411">
        <v>0</v>
      </c>
      <c r="CX411">
        <v>0</v>
      </c>
      <c r="CY411">
        <v>0</v>
      </c>
      <c r="CZ411">
        <v>0</v>
      </c>
      <c r="DA411">
        <v>0</v>
      </c>
      <c r="DB411">
        <v>10</v>
      </c>
      <c r="DC411">
        <v>0</v>
      </c>
      <c r="DD411">
        <v>22</v>
      </c>
      <c r="DE411">
        <f t="shared" si="149"/>
        <v>2033408</v>
      </c>
      <c r="DG411" s="1">
        <f t="shared" ref="DG411:DG437" si="157">SUM(AX411:AY411,BC411:CP411,CU411:CX411)</f>
        <v>1643408</v>
      </c>
      <c r="DH411" s="1">
        <f t="shared" ref="DH411:DH429" si="158">SUM(L411:M411,O411:AW411,AZ411:BB411)+CQ411+CR411</f>
        <v>305198</v>
      </c>
      <c r="DI411" s="1">
        <f t="shared" si="135"/>
        <v>1948606</v>
      </c>
      <c r="DJ411" s="1"/>
      <c r="DK411" s="1">
        <f t="shared" ref="DK411:DK429" si="159">SUM(L411:M411,O411:R411,T411:W411)</f>
        <v>84836</v>
      </c>
      <c r="DL411" s="1">
        <f t="shared" si="150"/>
        <v>153075</v>
      </c>
      <c r="DM411" s="1">
        <f t="shared" ref="DM411:DM429" si="160">S411</f>
        <v>15636</v>
      </c>
      <c r="DN411" s="1">
        <f t="shared" ref="DN411:DN429" si="161">AF411+AW411+AM411+AO411+AP411+AQ411</f>
        <v>50058</v>
      </c>
      <c r="DO411" s="1">
        <f t="shared" ref="DO411:DO429" si="162">SUM(AX411,BE411,BH411,BJ411,BN411,BQ411:BR411,BT411,BV411,BY411:CA411,CC411:CE411,CI411:CJ411)</f>
        <v>639674</v>
      </c>
      <c r="DP411" s="1">
        <f t="shared" si="151"/>
        <v>157986</v>
      </c>
      <c r="DQ411" s="1">
        <f t="shared" si="153"/>
        <v>1593</v>
      </c>
      <c r="DR411" s="1">
        <f t="shared" ref="DR411:DR429" si="163">CB411+CH411+Z411</f>
        <v>21221</v>
      </c>
      <c r="DS411" s="1">
        <f t="shared" ref="DS411:DS429" si="164">BO411+BU411</f>
        <v>48927</v>
      </c>
      <c r="DT411" s="1">
        <f t="shared" si="138"/>
        <v>15713</v>
      </c>
      <c r="DU411" s="1">
        <f t="shared" si="136"/>
        <v>160112</v>
      </c>
      <c r="DV411" s="1">
        <f t="shared" si="139"/>
        <v>488587</v>
      </c>
      <c r="DW411" s="1">
        <f t="shared" si="137"/>
        <v>16455</v>
      </c>
      <c r="DX411" s="1">
        <f t="shared" si="154"/>
        <v>1853873</v>
      </c>
      <c r="DY411" s="1"/>
      <c r="DZ411" s="1">
        <f t="shared" si="155"/>
        <v>94733</v>
      </c>
      <c r="EA411" s="1">
        <f t="shared" ref="EA411:EA429" si="165">SUM(F411:K411,N411,CS411:CT411)</f>
        <v>84802</v>
      </c>
      <c r="EB411" s="1"/>
      <c r="EC411" s="1">
        <f t="shared" si="156"/>
        <v>2033408</v>
      </c>
      <c r="ED411" s="1">
        <f t="shared" si="152"/>
        <v>0</v>
      </c>
      <c r="EE411" s="1"/>
    </row>
    <row r="412" spans="1:135" x14ac:dyDescent="0.25">
      <c r="A412" s="10">
        <v>44743</v>
      </c>
      <c r="B412">
        <v>0</v>
      </c>
      <c r="C412">
        <v>0</v>
      </c>
      <c r="D412">
        <v>0</v>
      </c>
      <c r="E412">
        <v>0</v>
      </c>
      <c r="F412">
        <v>6308</v>
      </c>
      <c r="G412">
        <v>15189</v>
      </c>
      <c r="H412">
        <v>52094</v>
      </c>
      <c r="I412">
        <v>2052</v>
      </c>
      <c r="J412">
        <v>5936</v>
      </c>
      <c r="K412">
        <v>2270</v>
      </c>
      <c r="L412">
        <v>34678</v>
      </c>
      <c r="M412">
        <v>1133</v>
      </c>
      <c r="N412">
        <v>1309</v>
      </c>
      <c r="O412">
        <v>1940</v>
      </c>
      <c r="P412">
        <v>11174</v>
      </c>
      <c r="Q412">
        <v>302</v>
      </c>
      <c r="R412">
        <v>4779</v>
      </c>
      <c r="S412">
        <v>15639</v>
      </c>
      <c r="T412">
        <v>141</v>
      </c>
      <c r="U412">
        <v>4182</v>
      </c>
      <c r="V412">
        <v>105</v>
      </c>
      <c r="W412">
        <v>26719</v>
      </c>
      <c r="X412">
        <v>556</v>
      </c>
      <c r="Y412">
        <v>3</v>
      </c>
      <c r="Z412">
        <v>0</v>
      </c>
      <c r="AA412">
        <v>3</v>
      </c>
      <c r="AB412">
        <v>121</v>
      </c>
      <c r="AC412">
        <v>21</v>
      </c>
      <c r="AD412">
        <v>25</v>
      </c>
      <c r="AE412">
        <v>16</v>
      </c>
      <c r="AF412">
        <v>55</v>
      </c>
      <c r="AG412">
        <v>269</v>
      </c>
      <c r="AH412">
        <v>2579</v>
      </c>
      <c r="AI412">
        <v>4</v>
      </c>
      <c r="AJ412">
        <v>14197</v>
      </c>
      <c r="AK412">
        <v>114543</v>
      </c>
      <c r="AL412">
        <v>1522</v>
      </c>
      <c r="AM412">
        <v>22570</v>
      </c>
      <c r="AN412">
        <v>4</v>
      </c>
      <c r="AO412">
        <v>4</v>
      </c>
      <c r="AP412">
        <v>12381</v>
      </c>
      <c r="AQ412">
        <v>0</v>
      </c>
      <c r="AR412">
        <v>778</v>
      </c>
      <c r="AS412">
        <v>49</v>
      </c>
      <c r="AT412">
        <v>11649</v>
      </c>
      <c r="AU412">
        <v>2506</v>
      </c>
      <c r="AV412">
        <v>3458</v>
      </c>
      <c r="AW412">
        <v>14997</v>
      </c>
      <c r="AX412">
        <v>1</v>
      </c>
      <c r="AY412">
        <v>0</v>
      </c>
      <c r="AZ412">
        <v>847</v>
      </c>
      <c r="BA412">
        <v>0</v>
      </c>
      <c r="BB412">
        <v>297</v>
      </c>
      <c r="BC412">
        <v>2128</v>
      </c>
      <c r="BD412">
        <v>0</v>
      </c>
      <c r="BE412">
        <v>0</v>
      </c>
      <c r="BF412">
        <v>9644</v>
      </c>
      <c r="BG412">
        <v>0</v>
      </c>
      <c r="BH412">
        <v>0</v>
      </c>
      <c r="BI412">
        <v>0</v>
      </c>
      <c r="BJ412">
        <v>12</v>
      </c>
      <c r="BK412">
        <v>6165</v>
      </c>
      <c r="BL412">
        <v>0</v>
      </c>
      <c r="BM412">
        <v>5</v>
      </c>
      <c r="BN412">
        <v>0</v>
      </c>
      <c r="BO412">
        <v>49305</v>
      </c>
      <c r="BP412">
        <v>109859</v>
      </c>
      <c r="BQ412">
        <v>1476</v>
      </c>
      <c r="BR412">
        <v>34</v>
      </c>
      <c r="BS412">
        <v>47486</v>
      </c>
      <c r="BT412">
        <v>1156</v>
      </c>
      <c r="BU412">
        <v>0</v>
      </c>
      <c r="BV412">
        <v>0</v>
      </c>
      <c r="BW412">
        <v>1</v>
      </c>
      <c r="BX412">
        <v>0</v>
      </c>
      <c r="BY412">
        <v>342</v>
      </c>
      <c r="BZ412">
        <v>0</v>
      </c>
      <c r="CA412">
        <v>30254</v>
      </c>
      <c r="CB412">
        <v>21342</v>
      </c>
      <c r="CC412">
        <v>145968</v>
      </c>
      <c r="CD412">
        <v>400050</v>
      </c>
      <c r="CE412">
        <v>64131</v>
      </c>
      <c r="CF412">
        <v>95450</v>
      </c>
      <c r="CG412">
        <v>0</v>
      </c>
      <c r="CH412">
        <v>24</v>
      </c>
      <c r="CI412">
        <v>1</v>
      </c>
      <c r="CJ412">
        <v>101</v>
      </c>
      <c r="CK412">
        <v>89875</v>
      </c>
      <c r="CL412">
        <v>71226</v>
      </c>
      <c r="CM412">
        <v>409366</v>
      </c>
      <c r="CN412">
        <v>84340</v>
      </c>
      <c r="CO412">
        <v>54</v>
      </c>
      <c r="CP412">
        <v>16482</v>
      </c>
      <c r="CQ412">
        <v>1588</v>
      </c>
      <c r="CR412">
        <v>12</v>
      </c>
      <c r="CS412">
        <v>0</v>
      </c>
      <c r="CT412">
        <v>0</v>
      </c>
      <c r="CU412">
        <v>0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0</v>
      </c>
      <c r="DB412">
        <v>10</v>
      </c>
      <c r="DC412">
        <v>0</v>
      </c>
      <c r="DD412">
        <v>22</v>
      </c>
      <c r="DE412">
        <f t="shared" si="149"/>
        <v>2047282</v>
      </c>
      <c r="DG412" s="1">
        <f t="shared" si="157"/>
        <v>1656278</v>
      </c>
      <c r="DH412" s="1">
        <f t="shared" si="158"/>
        <v>305846</v>
      </c>
      <c r="DI412" s="1">
        <f t="shared" si="135"/>
        <v>1962124</v>
      </c>
      <c r="DJ412" s="1"/>
      <c r="DK412" s="1">
        <f t="shared" si="159"/>
        <v>85153</v>
      </c>
      <c r="DL412" s="1">
        <f t="shared" si="150"/>
        <v>153447</v>
      </c>
      <c r="DM412" s="1">
        <f t="shared" si="160"/>
        <v>15639</v>
      </c>
      <c r="DN412" s="1">
        <f t="shared" si="161"/>
        <v>50007</v>
      </c>
      <c r="DO412" s="1">
        <f t="shared" si="162"/>
        <v>643526</v>
      </c>
      <c r="DP412" s="1">
        <f>SUM(AY412,BC412:BD412,BG412,BM412,BP412,BS412)</f>
        <v>159478</v>
      </c>
      <c r="DQ412" s="1">
        <f t="shared" si="153"/>
        <v>1600</v>
      </c>
      <c r="DR412" s="1">
        <f t="shared" si="163"/>
        <v>21366</v>
      </c>
      <c r="DS412" s="1">
        <f t="shared" si="164"/>
        <v>49305</v>
      </c>
      <c r="DT412" s="1">
        <f t="shared" si="138"/>
        <v>15810</v>
      </c>
      <c r="DU412" s="1">
        <f t="shared" si="136"/>
        <v>161101</v>
      </c>
      <c r="DV412" s="1">
        <f t="shared" si="139"/>
        <v>493760</v>
      </c>
      <c r="DW412" s="1">
        <f t="shared" si="137"/>
        <v>16482</v>
      </c>
      <c r="DX412" s="1">
        <f t="shared" si="154"/>
        <v>1866674</v>
      </c>
      <c r="DY412" s="1"/>
      <c r="DZ412" s="1">
        <f t="shared" si="155"/>
        <v>95450</v>
      </c>
      <c r="EA412" s="1">
        <f t="shared" si="165"/>
        <v>85158</v>
      </c>
      <c r="EB412" s="1"/>
      <c r="EC412" s="1">
        <f t="shared" si="156"/>
        <v>2047282</v>
      </c>
      <c r="ED412" s="1">
        <f t="shared" si="152"/>
        <v>0</v>
      </c>
      <c r="EE412" s="1"/>
    </row>
    <row r="413" spans="1:135" x14ac:dyDescent="0.25">
      <c r="A413" s="10">
        <v>44774</v>
      </c>
      <c r="B413">
        <v>0</v>
      </c>
      <c r="C413">
        <v>0</v>
      </c>
      <c r="D413">
        <v>0</v>
      </c>
      <c r="E413">
        <v>0</v>
      </c>
      <c r="F413">
        <v>6374</v>
      </c>
      <c r="G413">
        <v>15105</v>
      </c>
      <c r="H413">
        <v>52234</v>
      </c>
      <c r="I413">
        <v>2107</v>
      </c>
      <c r="J413">
        <v>5988</v>
      </c>
      <c r="K413">
        <v>2312</v>
      </c>
      <c r="L413">
        <v>34606</v>
      </c>
      <c r="M413">
        <v>1121</v>
      </c>
      <c r="N413">
        <v>1305</v>
      </c>
      <c r="O413">
        <v>1942</v>
      </c>
      <c r="P413">
        <v>11211</v>
      </c>
      <c r="Q413">
        <v>301</v>
      </c>
      <c r="R413">
        <v>4811</v>
      </c>
      <c r="S413">
        <v>15614</v>
      </c>
      <c r="T413">
        <v>145</v>
      </c>
      <c r="U413">
        <v>4196</v>
      </c>
      <c r="V413">
        <v>105</v>
      </c>
      <c r="W413">
        <v>27071</v>
      </c>
      <c r="X413">
        <v>563</v>
      </c>
      <c r="Y413">
        <v>3</v>
      </c>
      <c r="Z413">
        <v>0</v>
      </c>
      <c r="AA413">
        <v>3</v>
      </c>
      <c r="AB413">
        <v>126</v>
      </c>
      <c r="AC413">
        <v>21</v>
      </c>
      <c r="AD413">
        <v>25</v>
      </c>
      <c r="AE413">
        <v>18</v>
      </c>
      <c r="AF413">
        <v>54</v>
      </c>
      <c r="AG413">
        <v>268</v>
      </c>
      <c r="AH413">
        <v>2582</v>
      </c>
      <c r="AI413">
        <v>4</v>
      </c>
      <c r="AJ413">
        <v>14267</v>
      </c>
      <c r="AK413">
        <v>114629</v>
      </c>
      <c r="AL413">
        <v>1506</v>
      </c>
      <c r="AM413">
        <v>22531</v>
      </c>
      <c r="AN413">
        <v>4</v>
      </c>
      <c r="AO413">
        <v>4</v>
      </c>
      <c r="AP413">
        <v>12379</v>
      </c>
      <c r="AQ413">
        <v>0</v>
      </c>
      <c r="AR413">
        <v>782</v>
      </c>
      <c r="AS413">
        <v>50</v>
      </c>
      <c r="AT413">
        <v>11714</v>
      </c>
      <c r="AU413">
        <v>2500</v>
      </c>
      <c r="AV413">
        <v>3465</v>
      </c>
      <c r="AW413">
        <v>14956</v>
      </c>
      <c r="AX413">
        <v>0</v>
      </c>
      <c r="AY413">
        <v>1</v>
      </c>
      <c r="AZ413">
        <v>849</v>
      </c>
      <c r="BA413">
        <v>0</v>
      </c>
      <c r="BB413">
        <v>294</v>
      </c>
      <c r="BC413">
        <v>2142</v>
      </c>
      <c r="BD413">
        <v>0</v>
      </c>
      <c r="BE413">
        <v>0</v>
      </c>
      <c r="BF413">
        <v>9696</v>
      </c>
      <c r="BG413">
        <v>0</v>
      </c>
      <c r="BH413">
        <v>0</v>
      </c>
      <c r="BI413">
        <v>0</v>
      </c>
      <c r="BJ413">
        <v>11</v>
      </c>
      <c r="BK413">
        <v>6182</v>
      </c>
      <c r="BL413">
        <v>0</v>
      </c>
      <c r="BM413">
        <v>5</v>
      </c>
      <c r="BN413">
        <v>0</v>
      </c>
      <c r="BO413">
        <v>49329</v>
      </c>
      <c r="BP413">
        <v>110454</v>
      </c>
      <c r="BQ413">
        <v>1453</v>
      </c>
      <c r="BR413">
        <v>34</v>
      </c>
      <c r="BS413">
        <v>47936</v>
      </c>
      <c r="BT413">
        <v>1171</v>
      </c>
      <c r="BU413">
        <v>0</v>
      </c>
      <c r="BV413">
        <v>0</v>
      </c>
      <c r="BW413">
        <v>1</v>
      </c>
      <c r="BX413">
        <v>0</v>
      </c>
      <c r="BY413">
        <v>345</v>
      </c>
      <c r="BZ413">
        <v>0</v>
      </c>
      <c r="CA413">
        <v>30079</v>
      </c>
      <c r="CB413">
        <v>22294</v>
      </c>
      <c r="CC413">
        <v>145599</v>
      </c>
      <c r="CD413">
        <v>403384</v>
      </c>
      <c r="CE413">
        <v>64811</v>
      </c>
      <c r="CF413">
        <v>96294</v>
      </c>
      <c r="CG413">
        <v>0</v>
      </c>
      <c r="CH413">
        <v>24</v>
      </c>
      <c r="CI413">
        <v>1</v>
      </c>
      <c r="CJ413">
        <v>99</v>
      </c>
      <c r="CK413">
        <v>90059</v>
      </c>
      <c r="CL413">
        <v>71641</v>
      </c>
      <c r="CM413">
        <v>414680</v>
      </c>
      <c r="CN413">
        <v>84859</v>
      </c>
      <c r="CO413">
        <v>56</v>
      </c>
      <c r="CP413">
        <v>16005</v>
      </c>
      <c r="CQ413">
        <v>1561</v>
      </c>
      <c r="CR413">
        <v>14</v>
      </c>
      <c r="CS413">
        <v>335</v>
      </c>
      <c r="CT413">
        <v>20</v>
      </c>
      <c r="CU413">
        <v>720</v>
      </c>
      <c r="CV413">
        <v>0</v>
      </c>
      <c r="CW413">
        <v>397</v>
      </c>
      <c r="CX413">
        <v>174</v>
      </c>
      <c r="CY413">
        <v>0</v>
      </c>
      <c r="CZ413">
        <v>0</v>
      </c>
      <c r="DA413">
        <v>0</v>
      </c>
      <c r="DB413">
        <v>10</v>
      </c>
      <c r="DC413">
        <v>0</v>
      </c>
      <c r="DD413">
        <v>22</v>
      </c>
      <c r="DE413">
        <f t="shared" si="149"/>
        <v>2062011</v>
      </c>
      <c r="DG413" s="1">
        <f t="shared" si="157"/>
        <v>1669936</v>
      </c>
      <c r="DH413" s="1">
        <f t="shared" si="158"/>
        <v>306295</v>
      </c>
      <c r="DI413" s="1">
        <f t="shared" si="135"/>
        <v>1976231</v>
      </c>
      <c r="DJ413" s="1"/>
      <c r="DK413" s="1">
        <f t="shared" si="159"/>
        <v>85509</v>
      </c>
      <c r="DL413" s="1">
        <f t="shared" si="150"/>
        <v>153673</v>
      </c>
      <c r="DM413" s="1">
        <f t="shared" si="160"/>
        <v>15614</v>
      </c>
      <c r="DN413" s="1">
        <f t="shared" si="161"/>
        <v>49924</v>
      </c>
      <c r="DO413" s="1">
        <f t="shared" si="162"/>
        <v>646987</v>
      </c>
      <c r="DP413" s="1">
        <f t="shared" ref="DP413:DP437" si="166">SUM(AY413,BC413:BD413,BG413,BM413,BP413,BS413)</f>
        <v>160538</v>
      </c>
      <c r="DQ413" s="1">
        <f t="shared" si="153"/>
        <v>2146</v>
      </c>
      <c r="DR413" s="1">
        <f t="shared" si="163"/>
        <v>22318</v>
      </c>
      <c r="DS413" s="1">
        <f t="shared" si="164"/>
        <v>49329</v>
      </c>
      <c r="DT413" s="1">
        <f t="shared" si="138"/>
        <v>15879</v>
      </c>
      <c r="DU413" s="1">
        <f t="shared" si="136"/>
        <v>161700</v>
      </c>
      <c r="DV413" s="1">
        <f t="shared" si="139"/>
        <v>499595</v>
      </c>
      <c r="DW413" s="1">
        <f t="shared" si="137"/>
        <v>16725</v>
      </c>
      <c r="DX413" s="1">
        <f t="shared" si="154"/>
        <v>1879937</v>
      </c>
      <c r="DY413" s="1"/>
      <c r="DZ413" s="1">
        <f t="shared" si="155"/>
        <v>96294</v>
      </c>
      <c r="EA413" s="1">
        <f t="shared" si="165"/>
        <v>85780</v>
      </c>
      <c r="EB413" s="1"/>
      <c r="EC413" s="1">
        <f t="shared" si="156"/>
        <v>2062011</v>
      </c>
      <c r="ED413" s="1">
        <f t="shared" si="152"/>
        <v>0</v>
      </c>
      <c r="EE413" s="1"/>
    </row>
    <row r="414" spans="1:135" x14ac:dyDescent="0.25">
      <c r="A414" s="10">
        <v>44805</v>
      </c>
      <c r="B414">
        <v>0</v>
      </c>
      <c r="C414">
        <v>0</v>
      </c>
      <c r="D414">
        <v>0</v>
      </c>
      <c r="E414">
        <v>0</v>
      </c>
      <c r="F414">
        <v>5891</v>
      </c>
      <c r="G414">
        <v>14978</v>
      </c>
      <c r="H414">
        <v>52296</v>
      </c>
      <c r="I414">
        <v>2155</v>
      </c>
      <c r="J414">
        <v>6291</v>
      </c>
      <c r="K414">
        <v>2385</v>
      </c>
      <c r="L414">
        <v>34540</v>
      </c>
      <c r="M414">
        <v>1121</v>
      </c>
      <c r="N414">
        <v>1336</v>
      </c>
      <c r="O414">
        <v>1948</v>
      </c>
      <c r="P414">
        <v>11184</v>
      </c>
      <c r="Q414">
        <v>299</v>
      </c>
      <c r="R414">
        <v>4818</v>
      </c>
      <c r="S414">
        <v>15568</v>
      </c>
      <c r="T414">
        <v>146</v>
      </c>
      <c r="U414">
        <v>4194</v>
      </c>
      <c r="V414">
        <v>105</v>
      </c>
      <c r="W414">
        <v>27290</v>
      </c>
      <c r="X414">
        <v>563</v>
      </c>
      <c r="Y414">
        <v>3</v>
      </c>
      <c r="Z414">
        <v>0</v>
      </c>
      <c r="AA414">
        <v>3</v>
      </c>
      <c r="AB414">
        <v>123</v>
      </c>
      <c r="AC414">
        <v>21</v>
      </c>
      <c r="AD414">
        <v>25</v>
      </c>
      <c r="AE414">
        <v>17</v>
      </c>
      <c r="AF414">
        <v>54</v>
      </c>
      <c r="AG414">
        <v>273</v>
      </c>
      <c r="AH414">
        <v>2572</v>
      </c>
      <c r="AI414">
        <v>4</v>
      </c>
      <c r="AJ414">
        <v>14335</v>
      </c>
      <c r="AK414">
        <v>114246</v>
      </c>
      <c r="AL414">
        <v>1479</v>
      </c>
      <c r="AM414">
        <v>22414</v>
      </c>
      <c r="AN414">
        <v>3</v>
      </c>
      <c r="AO414">
        <v>4</v>
      </c>
      <c r="AP414">
        <v>12339</v>
      </c>
      <c r="AQ414">
        <v>0</v>
      </c>
      <c r="AR414">
        <v>789</v>
      </c>
      <c r="AS414">
        <v>50</v>
      </c>
      <c r="AT414">
        <v>11747</v>
      </c>
      <c r="AU414">
        <v>2496</v>
      </c>
      <c r="AV414">
        <v>3467</v>
      </c>
      <c r="AW414">
        <v>14855</v>
      </c>
      <c r="AX414">
        <v>2</v>
      </c>
      <c r="AY414">
        <v>0</v>
      </c>
      <c r="AZ414">
        <v>851</v>
      </c>
      <c r="BA414">
        <v>0</v>
      </c>
      <c r="BB414">
        <v>293</v>
      </c>
      <c r="BC414">
        <v>2144</v>
      </c>
      <c r="BD414">
        <v>0</v>
      </c>
      <c r="BE414">
        <v>0</v>
      </c>
      <c r="BF414">
        <v>9719</v>
      </c>
      <c r="BG414">
        <v>0</v>
      </c>
      <c r="BH414">
        <v>0</v>
      </c>
      <c r="BI414">
        <v>0</v>
      </c>
      <c r="BJ414">
        <v>11</v>
      </c>
      <c r="BK414">
        <v>6212</v>
      </c>
      <c r="BL414">
        <v>0</v>
      </c>
      <c r="BM414">
        <v>3</v>
      </c>
      <c r="BN414">
        <v>0</v>
      </c>
      <c r="BO414">
        <v>49422</v>
      </c>
      <c r="BP414">
        <v>110406</v>
      </c>
      <c r="BQ414">
        <v>1429</v>
      </c>
      <c r="BR414">
        <v>34</v>
      </c>
      <c r="BS414">
        <v>47869</v>
      </c>
      <c r="BT414">
        <v>1171</v>
      </c>
      <c r="BU414">
        <v>5</v>
      </c>
      <c r="BV414">
        <v>0</v>
      </c>
      <c r="BW414">
        <v>1</v>
      </c>
      <c r="BX414">
        <v>0</v>
      </c>
      <c r="BY414">
        <v>346</v>
      </c>
      <c r="BZ414">
        <v>0</v>
      </c>
      <c r="CA414">
        <v>29913</v>
      </c>
      <c r="CB414">
        <v>22578</v>
      </c>
      <c r="CC414">
        <v>144918</v>
      </c>
      <c r="CD414">
        <v>405307</v>
      </c>
      <c r="CE414">
        <v>65469</v>
      </c>
      <c r="CF414">
        <v>97236</v>
      </c>
      <c r="CG414">
        <v>0</v>
      </c>
      <c r="CH414">
        <v>26</v>
      </c>
      <c r="CI414">
        <v>1</v>
      </c>
      <c r="CJ414">
        <v>97</v>
      </c>
      <c r="CK414">
        <v>89848</v>
      </c>
      <c r="CL414">
        <v>72049</v>
      </c>
      <c r="CM414">
        <v>420375</v>
      </c>
      <c r="CN414">
        <v>85593</v>
      </c>
      <c r="CO414">
        <v>57</v>
      </c>
      <c r="CP414">
        <v>14918</v>
      </c>
      <c r="CQ414">
        <v>1491</v>
      </c>
      <c r="CR414">
        <v>13</v>
      </c>
      <c r="CS414">
        <v>1000</v>
      </c>
      <c r="CT414">
        <v>63</v>
      </c>
      <c r="CU414">
        <v>2564</v>
      </c>
      <c r="CV414">
        <v>0</v>
      </c>
      <c r="CW414">
        <v>1772</v>
      </c>
      <c r="CX414">
        <v>568</v>
      </c>
      <c r="CY414">
        <v>0</v>
      </c>
      <c r="CZ414">
        <v>0</v>
      </c>
      <c r="DA414">
        <v>0</v>
      </c>
      <c r="DB414">
        <v>10</v>
      </c>
      <c r="DC414">
        <v>0</v>
      </c>
      <c r="DD414">
        <v>20</v>
      </c>
      <c r="DE414">
        <f t="shared" si="149"/>
        <v>2074201</v>
      </c>
      <c r="DG414" s="1">
        <f t="shared" si="157"/>
        <v>1682063</v>
      </c>
      <c r="DH414" s="1">
        <f t="shared" si="158"/>
        <v>305743</v>
      </c>
      <c r="DI414" s="1">
        <f t="shared" si="135"/>
        <v>1987806</v>
      </c>
      <c r="DJ414" s="1"/>
      <c r="DK414" s="1">
        <f t="shared" si="159"/>
        <v>85645</v>
      </c>
      <c r="DL414" s="1">
        <f t="shared" si="150"/>
        <v>153360</v>
      </c>
      <c r="DM414" s="1">
        <f t="shared" si="160"/>
        <v>15568</v>
      </c>
      <c r="DN414" s="1">
        <f t="shared" si="161"/>
        <v>49666</v>
      </c>
      <c r="DO414" s="1">
        <f t="shared" si="162"/>
        <v>648698</v>
      </c>
      <c r="DP414" s="1">
        <f t="shared" si="166"/>
        <v>160422</v>
      </c>
      <c r="DQ414" s="1">
        <f t="shared" si="153"/>
        <v>3844</v>
      </c>
      <c r="DR414" s="1">
        <f t="shared" si="163"/>
        <v>22604</v>
      </c>
      <c r="DS414" s="1">
        <f t="shared" si="164"/>
        <v>49427</v>
      </c>
      <c r="DT414" s="1">
        <f t="shared" si="138"/>
        <v>15932</v>
      </c>
      <c r="DU414" s="1">
        <f t="shared" si="136"/>
        <v>161897</v>
      </c>
      <c r="DV414" s="1">
        <f t="shared" si="139"/>
        <v>506025</v>
      </c>
      <c r="DW414" s="1">
        <f t="shared" si="137"/>
        <v>17482</v>
      </c>
      <c r="DX414" s="1">
        <f t="shared" si="154"/>
        <v>1890570</v>
      </c>
      <c r="DY414" s="1"/>
      <c r="DZ414" s="1">
        <f t="shared" si="155"/>
        <v>97236</v>
      </c>
      <c r="EA414" s="1">
        <f t="shared" si="165"/>
        <v>86395</v>
      </c>
      <c r="EB414" s="1"/>
      <c r="EC414" s="1">
        <f t="shared" si="156"/>
        <v>2074201</v>
      </c>
      <c r="ED414" s="1">
        <f t="shared" si="152"/>
        <v>0</v>
      </c>
      <c r="EE414" s="1"/>
    </row>
    <row r="415" spans="1:135" x14ac:dyDescent="0.25">
      <c r="A415" s="10">
        <v>44835</v>
      </c>
      <c r="B415">
        <v>0</v>
      </c>
      <c r="C415">
        <v>0</v>
      </c>
      <c r="D415">
        <v>0</v>
      </c>
      <c r="E415">
        <v>0</v>
      </c>
      <c r="F415">
        <v>5670</v>
      </c>
      <c r="G415">
        <v>14921</v>
      </c>
      <c r="H415">
        <v>52500</v>
      </c>
      <c r="I415">
        <v>2213</v>
      </c>
      <c r="J415">
        <v>6602</v>
      </c>
      <c r="K415">
        <v>2414</v>
      </c>
      <c r="L415">
        <v>34629</v>
      </c>
      <c r="M415">
        <v>1121</v>
      </c>
      <c r="N415">
        <v>1350</v>
      </c>
      <c r="O415">
        <v>1939</v>
      </c>
      <c r="P415">
        <v>11104</v>
      </c>
      <c r="Q415">
        <v>297</v>
      </c>
      <c r="R415">
        <v>4831</v>
      </c>
      <c r="S415">
        <v>15516</v>
      </c>
      <c r="T415">
        <v>146</v>
      </c>
      <c r="U415">
        <v>4190</v>
      </c>
      <c r="V415">
        <v>106</v>
      </c>
      <c r="W415">
        <v>27551</v>
      </c>
      <c r="X415">
        <v>567</v>
      </c>
      <c r="Y415">
        <v>3</v>
      </c>
      <c r="Z415">
        <v>0</v>
      </c>
      <c r="AA415">
        <v>4</v>
      </c>
      <c r="AB415">
        <v>126</v>
      </c>
      <c r="AC415">
        <v>22</v>
      </c>
      <c r="AD415">
        <v>25</v>
      </c>
      <c r="AE415">
        <v>17</v>
      </c>
      <c r="AF415">
        <v>55</v>
      </c>
      <c r="AG415">
        <v>269</v>
      </c>
      <c r="AH415">
        <v>2577</v>
      </c>
      <c r="AI415">
        <v>4</v>
      </c>
      <c r="AJ415">
        <v>14409</v>
      </c>
      <c r="AK415">
        <v>113834</v>
      </c>
      <c r="AL415">
        <v>1476</v>
      </c>
      <c r="AM415">
        <v>22366</v>
      </c>
      <c r="AN415">
        <v>3</v>
      </c>
      <c r="AO415">
        <v>4</v>
      </c>
      <c r="AP415">
        <v>12319</v>
      </c>
      <c r="AQ415">
        <v>0</v>
      </c>
      <c r="AR415">
        <v>784</v>
      </c>
      <c r="AS415">
        <v>51</v>
      </c>
      <c r="AT415">
        <v>11811</v>
      </c>
      <c r="AU415">
        <v>2498</v>
      </c>
      <c r="AV415">
        <v>3478</v>
      </c>
      <c r="AW415">
        <v>14793</v>
      </c>
      <c r="AX415">
        <v>0</v>
      </c>
      <c r="AY415">
        <v>0</v>
      </c>
      <c r="AZ415">
        <v>851</v>
      </c>
      <c r="BA415">
        <v>0</v>
      </c>
      <c r="BB415">
        <v>291</v>
      </c>
      <c r="BC415">
        <v>2141</v>
      </c>
      <c r="BD415">
        <v>0</v>
      </c>
      <c r="BE415">
        <v>0</v>
      </c>
      <c r="BF415">
        <v>9754</v>
      </c>
      <c r="BG415">
        <v>0</v>
      </c>
      <c r="BH415">
        <v>0</v>
      </c>
      <c r="BI415">
        <v>0</v>
      </c>
      <c r="BJ415">
        <v>11</v>
      </c>
      <c r="BK415">
        <v>6219</v>
      </c>
      <c r="BL415">
        <v>0</v>
      </c>
      <c r="BM415">
        <v>3</v>
      </c>
      <c r="BN415">
        <v>0</v>
      </c>
      <c r="BO415">
        <v>49152</v>
      </c>
      <c r="BP415">
        <v>110213</v>
      </c>
      <c r="BQ415">
        <v>1424</v>
      </c>
      <c r="BR415">
        <v>35</v>
      </c>
      <c r="BS415">
        <v>47877</v>
      </c>
      <c r="BT415">
        <v>1178</v>
      </c>
      <c r="BU415">
        <v>4</v>
      </c>
      <c r="BV415">
        <v>0</v>
      </c>
      <c r="BW415">
        <v>1</v>
      </c>
      <c r="BX415">
        <v>0</v>
      </c>
      <c r="BY415">
        <v>345</v>
      </c>
      <c r="BZ415">
        <v>0</v>
      </c>
      <c r="CA415">
        <v>29930</v>
      </c>
      <c r="CB415">
        <v>23374</v>
      </c>
      <c r="CC415">
        <v>144329</v>
      </c>
      <c r="CD415">
        <v>406579</v>
      </c>
      <c r="CE415">
        <v>65691</v>
      </c>
      <c r="CF415">
        <v>98069</v>
      </c>
      <c r="CG415">
        <v>0</v>
      </c>
      <c r="CH415">
        <v>27</v>
      </c>
      <c r="CI415">
        <v>1</v>
      </c>
      <c r="CJ415">
        <v>99</v>
      </c>
      <c r="CK415">
        <v>89835</v>
      </c>
      <c r="CL415">
        <v>72470</v>
      </c>
      <c r="CM415">
        <v>425094</v>
      </c>
      <c r="CN415">
        <v>85921</v>
      </c>
      <c r="CO415">
        <v>63</v>
      </c>
      <c r="CP415">
        <v>14848</v>
      </c>
      <c r="CQ415">
        <v>1511</v>
      </c>
      <c r="CR415">
        <v>14</v>
      </c>
      <c r="CS415">
        <v>1462</v>
      </c>
      <c r="CT415">
        <v>87</v>
      </c>
      <c r="CU415">
        <v>3464</v>
      </c>
      <c r="CV415">
        <v>0</v>
      </c>
      <c r="CW415">
        <v>2687</v>
      </c>
      <c r="CX415">
        <v>880</v>
      </c>
      <c r="CY415">
        <v>0</v>
      </c>
      <c r="CZ415">
        <v>0</v>
      </c>
      <c r="DA415">
        <v>0</v>
      </c>
      <c r="DB415">
        <v>9</v>
      </c>
      <c r="DC415">
        <v>0</v>
      </c>
      <c r="DD415">
        <v>20</v>
      </c>
      <c r="DE415">
        <f t="shared" si="149"/>
        <v>2084529</v>
      </c>
      <c r="DG415" s="1">
        <f t="shared" si="157"/>
        <v>1691718</v>
      </c>
      <c r="DH415" s="1">
        <f t="shared" si="158"/>
        <v>305592</v>
      </c>
      <c r="DI415" s="1">
        <f t="shared" si="135"/>
        <v>1997310</v>
      </c>
      <c r="DJ415" s="1"/>
      <c r="DK415" s="1">
        <f t="shared" si="159"/>
        <v>85914</v>
      </c>
      <c r="DL415" s="1">
        <f t="shared" si="150"/>
        <v>153100</v>
      </c>
      <c r="DM415" s="1">
        <f t="shared" si="160"/>
        <v>15516</v>
      </c>
      <c r="DN415" s="1">
        <f t="shared" si="161"/>
        <v>49537</v>
      </c>
      <c r="DO415" s="1">
        <f t="shared" si="162"/>
        <v>649622</v>
      </c>
      <c r="DP415" s="1">
        <f t="shared" si="166"/>
        <v>160234</v>
      </c>
      <c r="DQ415" s="1">
        <f t="shared" si="153"/>
        <v>5092</v>
      </c>
      <c r="DR415" s="1">
        <f t="shared" si="163"/>
        <v>23401</v>
      </c>
      <c r="DS415" s="1">
        <f t="shared" si="164"/>
        <v>49156</v>
      </c>
      <c r="DT415" s="1">
        <f t="shared" si="138"/>
        <v>15974</v>
      </c>
      <c r="DU415" s="1">
        <f t="shared" si="136"/>
        <v>162305</v>
      </c>
      <c r="DV415" s="1">
        <f t="shared" si="139"/>
        <v>511078</v>
      </c>
      <c r="DW415" s="1">
        <f t="shared" si="137"/>
        <v>18312</v>
      </c>
      <c r="DX415" s="1">
        <f t="shared" si="154"/>
        <v>1899241</v>
      </c>
      <c r="DY415" s="1"/>
      <c r="DZ415" s="1">
        <f t="shared" si="155"/>
        <v>98069</v>
      </c>
      <c r="EA415" s="1">
        <f t="shared" si="165"/>
        <v>87219</v>
      </c>
      <c r="EB415" s="1"/>
      <c r="EC415" s="1">
        <f t="shared" si="156"/>
        <v>2084529</v>
      </c>
      <c r="ED415" s="1">
        <f t="shared" si="152"/>
        <v>0</v>
      </c>
      <c r="EE415" s="1"/>
    </row>
    <row r="416" spans="1:135" x14ac:dyDescent="0.25">
      <c r="A416" s="10">
        <v>44866</v>
      </c>
      <c r="B416">
        <v>0</v>
      </c>
      <c r="C416">
        <v>0</v>
      </c>
      <c r="D416">
        <v>0</v>
      </c>
      <c r="E416">
        <v>0</v>
      </c>
      <c r="F416">
        <v>5270</v>
      </c>
      <c r="G416">
        <v>14926</v>
      </c>
      <c r="H416">
        <v>52601</v>
      </c>
      <c r="I416">
        <v>2288</v>
      </c>
      <c r="J416">
        <v>6929</v>
      </c>
      <c r="K416">
        <v>2477</v>
      </c>
      <c r="L416">
        <v>34749</v>
      </c>
      <c r="M416">
        <v>1117</v>
      </c>
      <c r="N416">
        <v>1359</v>
      </c>
      <c r="O416">
        <v>1963</v>
      </c>
      <c r="P416">
        <v>11145</v>
      </c>
      <c r="Q416">
        <v>298</v>
      </c>
      <c r="R416">
        <v>4805</v>
      </c>
      <c r="S416">
        <v>15507</v>
      </c>
      <c r="T416">
        <v>147</v>
      </c>
      <c r="U416">
        <v>4181</v>
      </c>
      <c r="V416">
        <v>109</v>
      </c>
      <c r="W416">
        <v>27798</v>
      </c>
      <c r="X416">
        <v>566</v>
      </c>
      <c r="Y416">
        <v>3</v>
      </c>
      <c r="Z416">
        <v>1</v>
      </c>
      <c r="AA416">
        <v>4</v>
      </c>
      <c r="AB416">
        <v>126</v>
      </c>
      <c r="AC416">
        <v>22</v>
      </c>
      <c r="AD416">
        <v>25</v>
      </c>
      <c r="AE416">
        <v>17</v>
      </c>
      <c r="AF416">
        <v>54</v>
      </c>
      <c r="AG416">
        <v>265</v>
      </c>
      <c r="AH416">
        <v>2576</v>
      </c>
      <c r="AI416">
        <v>4</v>
      </c>
      <c r="AJ416">
        <v>14465</v>
      </c>
      <c r="AK416">
        <v>113574</v>
      </c>
      <c r="AL416">
        <v>1458</v>
      </c>
      <c r="AM416">
        <v>22323</v>
      </c>
      <c r="AN416">
        <v>3</v>
      </c>
      <c r="AO416">
        <v>4</v>
      </c>
      <c r="AP416">
        <v>12310</v>
      </c>
      <c r="AQ416">
        <v>0</v>
      </c>
      <c r="AR416">
        <v>782</v>
      </c>
      <c r="AS416">
        <v>52</v>
      </c>
      <c r="AT416">
        <v>11869</v>
      </c>
      <c r="AU416">
        <v>2494</v>
      </c>
      <c r="AV416">
        <v>3484</v>
      </c>
      <c r="AW416">
        <v>14732</v>
      </c>
      <c r="AX416">
        <v>0</v>
      </c>
      <c r="AY416">
        <v>1</v>
      </c>
      <c r="AZ416">
        <v>857</v>
      </c>
      <c r="BA416">
        <v>0</v>
      </c>
      <c r="BB416">
        <v>288</v>
      </c>
      <c r="BC416">
        <v>2151</v>
      </c>
      <c r="BD416">
        <v>0</v>
      </c>
      <c r="BE416">
        <v>0</v>
      </c>
      <c r="BF416">
        <v>9767</v>
      </c>
      <c r="BG416">
        <v>0</v>
      </c>
      <c r="BH416">
        <v>0</v>
      </c>
      <c r="BI416">
        <v>0</v>
      </c>
      <c r="BJ416">
        <v>9</v>
      </c>
      <c r="BK416">
        <v>6279</v>
      </c>
      <c r="BL416">
        <v>0</v>
      </c>
      <c r="BM416">
        <v>4</v>
      </c>
      <c r="BN416">
        <v>0</v>
      </c>
      <c r="BO416">
        <v>49225</v>
      </c>
      <c r="BP416">
        <v>110291</v>
      </c>
      <c r="BQ416">
        <v>1421</v>
      </c>
      <c r="BR416">
        <v>34</v>
      </c>
      <c r="BS416">
        <v>48018</v>
      </c>
      <c r="BT416">
        <v>1180</v>
      </c>
      <c r="BU416">
        <v>2</v>
      </c>
      <c r="BV416">
        <v>0</v>
      </c>
      <c r="BW416">
        <v>1</v>
      </c>
      <c r="BX416">
        <v>0</v>
      </c>
      <c r="BY416">
        <v>356</v>
      </c>
      <c r="BZ416">
        <v>0</v>
      </c>
      <c r="CA416">
        <v>29913</v>
      </c>
      <c r="CB416">
        <v>24195</v>
      </c>
      <c r="CC416">
        <v>143771</v>
      </c>
      <c r="CD416">
        <v>408450</v>
      </c>
      <c r="CE416">
        <v>66807</v>
      </c>
      <c r="CF416">
        <v>99009</v>
      </c>
      <c r="CG416">
        <v>0</v>
      </c>
      <c r="CH416">
        <v>35</v>
      </c>
      <c r="CI416">
        <v>1</v>
      </c>
      <c r="CJ416">
        <v>97</v>
      </c>
      <c r="CK416">
        <v>89979</v>
      </c>
      <c r="CL416">
        <v>72944</v>
      </c>
      <c r="CM416">
        <v>430543</v>
      </c>
      <c r="CN416">
        <v>86356</v>
      </c>
      <c r="CO416">
        <v>56</v>
      </c>
      <c r="CP416">
        <v>14859</v>
      </c>
      <c r="CQ416">
        <v>1533</v>
      </c>
      <c r="CR416">
        <v>15</v>
      </c>
      <c r="CS416">
        <v>1848</v>
      </c>
      <c r="CT416">
        <v>118</v>
      </c>
      <c r="CU416">
        <v>4520</v>
      </c>
      <c r="CV416">
        <v>0</v>
      </c>
      <c r="CW416">
        <v>3484</v>
      </c>
      <c r="CX416">
        <v>1237</v>
      </c>
      <c r="CY416">
        <v>0</v>
      </c>
      <c r="CZ416">
        <v>0</v>
      </c>
      <c r="DA416">
        <v>0</v>
      </c>
      <c r="DB416">
        <v>9</v>
      </c>
      <c r="DC416">
        <v>0</v>
      </c>
      <c r="DD416">
        <v>19</v>
      </c>
      <c r="DE416">
        <f t="shared" si="149"/>
        <v>2098536</v>
      </c>
      <c r="DF416" s="1"/>
      <c r="DG416" s="1">
        <f t="shared" si="157"/>
        <v>1704995</v>
      </c>
      <c r="DH416" s="1">
        <f t="shared" si="158"/>
        <v>305725</v>
      </c>
      <c r="DI416" s="1">
        <f t="shared" ref="DI416:DI435" si="167">SUM(DG416:DH416)</f>
        <v>2010720</v>
      </c>
      <c r="DJ416" s="1"/>
      <c r="DK416" s="1">
        <f t="shared" si="159"/>
        <v>86312</v>
      </c>
      <c r="DL416" s="1">
        <f t="shared" si="150"/>
        <v>152934</v>
      </c>
      <c r="DM416" s="1">
        <f t="shared" si="160"/>
        <v>15507</v>
      </c>
      <c r="DN416" s="1">
        <f t="shared" si="161"/>
        <v>49423</v>
      </c>
      <c r="DO416" s="1">
        <f t="shared" si="162"/>
        <v>652039</v>
      </c>
      <c r="DP416" s="1">
        <f t="shared" si="166"/>
        <v>160465</v>
      </c>
      <c r="DQ416" s="1">
        <f t="shared" si="153"/>
        <v>6269</v>
      </c>
      <c r="DR416" s="1">
        <f t="shared" si="163"/>
        <v>24231</v>
      </c>
      <c r="DS416" s="1">
        <f t="shared" si="164"/>
        <v>49227</v>
      </c>
      <c r="DT416" s="1">
        <f t="shared" si="138"/>
        <v>16047</v>
      </c>
      <c r="DU416" s="1">
        <f t="shared" si="136"/>
        <v>162923</v>
      </c>
      <c r="DV416" s="1">
        <f t="shared" si="139"/>
        <v>516955</v>
      </c>
      <c r="DW416" s="1">
        <f t="shared" si="137"/>
        <v>19379</v>
      </c>
      <c r="DX416" s="1">
        <f t="shared" si="154"/>
        <v>1911711</v>
      </c>
      <c r="DY416" s="1"/>
      <c r="DZ416" s="1">
        <f t="shared" si="155"/>
        <v>99009</v>
      </c>
      <c r="EA416" s="1">
        <f t="shared" si="165"/>
        <v>87816</v>
      </c>
      <c r="EB416" s="1"/>
      <c r="EC416" s="1">
        <f t="shared" si="156"/>
        <v>2098536</v>
      </c>
      <c r="ED416" s="1">
        <f t="shared" si="152"/>
        <v>0</v>
      </c>
      <c r="EE416" s="1"/>
    </row>
    <row r="417" spans="1:135" x14ac:dyDescent="0.25">
      <c r="A417" s="10">
        <v>44896</v>
      </c>
      <c r="B417">
        <v>0</v>
      </c>
      <c r="C417">
        <v>0</v>
      </c>
      <c r="D417">
        <v>0</v>
      </c>
      <c r="E417">
        <v>0</v>
      </c>
      <c r="F417">
        <v>5017</v>
      </c>
      <c r="G417">
        <v>15029</v>
      </c>
      <c r="H417">
        <v>52781</v>
      </c>
      <c r="I417">
        <v>2354</v>
      </c>
      <c r="J417">
        <v>7168</v>
      </c>
      <c r="K417">
        <v>2509</v>
      </c>
      <c r="L417">
        <v>34819</v>
      </c>
      <c r="M417">
        <v>1096</v>
      </c>
      <c r="N417">
        <v>1386</v>
      </c>
      <c r="O417">
        <v>1983</v>
      </c>
      <c r="P417">
        <v>11189</v>
      </c>
      <c r="Q417">
        <v>301</v>
      </c>
      <c r="R417">
        <v>4826</v>
      </c>
      <c r="S417">
        <v>15508</v>
      </c>
      <c r="T417">
        <v>147</v>
      </c>
      <c r="U417">
        <v>4182</v>
      </c>
      <c r="V417">
        <v>109</v>
      </c>
      <c r="W417">
        <v>28043</v>
      </c>
      <c r="X417">
        <v>567</v>
      </c>
      <c r="Y417">
        <v>3</v>
      </c>
      <c r="Z417">
        <v>0</v>
      </c>
      <c r="AA417">
        <v>5</v>
      </c>
      <c r="AB417">
        <v>129</v>
      </c>
      <c r="AC417">
        <v>22</v>
      </c>
      <c r="AD417">
        <v>25</v>
      </c>
      <c r="AE417">
        <v>17</v>
      </c>
      <c r="AF417">
        <v>54</v>
      </c>
      <c r="AG417">
        <v>266</v>
      </c>
      <c r="AH417">
        <v>2569</v>
      </c>
      <c r="AI417">
        <v>4</v>
      </c>
      <c r="AJ417">
        <v>14575</v>
      </c>
      <c r="AK417">
        <v>113532</v>
      </c>
      <c r="AL417">
        <v>1441</v>
      </c>
      <c r="AM417">
        <v>22306</v>
      </c>
      <c r="AN417">
        <v>5</v>
      </c>
      <c r="AO417">
        <v>4</v>
      </c>
      <c r="AP417">
        <v>12307</v>
      </c>
      <c r="AQ417">
        <v>0</v>
      </c>
      <c r="AR417">
        <v>788</v>
      </c>
      <c r="AS417">
        <v>52</v>
      </c>
      <c r="AT417">
        <v>11937</v>
      </c>
      <c r="AU417">
        <v>2490</v>
      </c>
      <c r="AV417">
        <v>3492</v>
      </c>
      <c r="AW417">
        <v>14686</v>
      </c>
      <c r="AX417">
        <v>1</v>
      </c>
      <c r="AY417">
        <v>1</v>
      </c>
      <c r="AZ417">
        <v>864</v>
      </c>
      <c r="BA417">
        <v>0</v>
      </c>
      <c r="BB417">
        <v>283</v>
      </c>
      <c r="BC417">
        <v>2162</v>
      </c>
      <c r="BD417">
        <v>0</v>
      </c>
      <c r="BE417">
        <v>0</v>
      </c>
      <c r="BF417">
        <v>9788</v>
      </c>
      <c r="BG417">
        <v>0</v>
      </c>
      <c r="BH417">
        <v>0</v>
      </c>
      <c r="BI417">
        <v>0</v>
      </c>
      <c r="BJ417">
        <v>10</v>
      </c>
      <c r="BK417">
        <v>6348</v>
      </c>
      <c r="BL417">
        <v>0</v>
      </c>
      <c r="BM417">
        <v>3</v>
      </c>
      <c r="BN417">
        <v>0</v>
      </c>
      <c r="BO417">
        <v>49560</v>
      </c>
      <c r="BP417">
        <v>110381</v>
      </c>
      <c r="BQ417">
        <v>1405</v>
      </c>
      <c r="BR417">
        <v>33</v>
      </c>
      <c r="BS417">
        <v>48287</v>
      </c>
      <c r="BT417">
        <v>1180</v>
      </c>
      <c r="BU417">
        <v>1</v>
      </c>
      <c r="BV417">
        <v>0</v>
      </c>
      <c r="BW417">
        <v>1</v>
      </c>
      <c r="BX417">
        <v>0</v>
      </c>
      <c r="BY417">
        <v>370</v>
      </c>
      <c r="BZ417">
        <v>0</v>
      </c>
      <c r="CA417">
        <v>29980</v>
      </c>
      <c r="CB417">
        <v>25105</v>
      </c>
      <c r="CC417">
        <v>143444</v>
      </c>
      <c r="CD417">
        <v>410618</v>
      </c>
      <c r="CE417">
        <v>67324</v>
      </c>
      <c r="CF417">
        <v>100602</v>
      </c>
      <c r="CG417">
        <v>0</v>
      </c>
      <c r="CH417">
        <v>44</v>
      </c>
      <c r="CI417">
        <v>1</v>
      </c>
      <c r="CJ417">
        <v>96</v>
      </c>
      <c r="CK417">
        <v>90161</v>
      </c>
      <c r="CL417">
        <v>73884</v>
      </c>
      <c r="CM417">
        <v>436824</v>
      </c>
      <c r="CN417">
        <v>88921</v>
      </c>
      <c r="CO417">
        <v>52</v>
      </c>
      <c r="CP417">
        <v>14780</v>
      </c>
      <c r="CQ417">
        <v>1558</v>
      </c>
      <c r="CR417">
        <v>13</v>
      </c>
      <c r="CS417">
        <v>2163</v>
      </c>
      <c r="CT417">
        <v>134</v>
      </c>
      <c r="CU417">
        <v>5677</v>
      </c>
      <c r="CV417">
        <v>1</v>
      </c>
      <c r="CW417">
        <v>4174</v>
      </c>
      <c r="CX417">
        <v>1469</v>
      </c>
      <c r="CY417">
        <v>0</v>
      </c>
      <c r="CZ417">
        <v>0</v>
      </c>
      <c r="DA417">
        <v>0</v>
      </c>
      <c r="DB417">
        <v>9</v>
      </c>
      <c r="DC417">
        <v>0</v>
      </c>
      <c r="DD417">
        <v>19</v>
      </c>
      <c r="DE417">
        <f t="shared" ref="DE417:DE438" si="168">SUM(B417:CX417)</f>
        <v>2117426</v>
      </c>
      <c r="DF417" s="1"/>
      <c r="DG417" s="1">
        <f t="shared" si="157"/>
        <v>1722688</v>
      </c>
      <c r="DH417" s="1">
        <f t="shared" si="158"/>
        <v>306197</v>
      </c>
      <c r="DI417" s="1">
        <f t="shared" si="167"/>
        <v>2028885</v>
      </c>
      <c r="DJ417" s="1"/>
      <c r="DK417" s="1">
        <f t="shared" si="159"/>
        <v>86695</v>
      </c>
      <c r="DL417" s="1">
        <f t="shared" si="150"/>
        <v>153066</v>
      </c>
      <c r="DM417" s="1">
        <f t="shared" si="160"/>
        <v>15508</v>
      </c>
      <c r="DN417" s="1">
        <f t="shared" si="161"/>
        <v>49357</v>
      </c>
      <c r="DO417" s="1">
        <f t="shared" si="162"/>
        <v>654462</v>
      </c>
      <c r="DP417" s="1">
        <f t="shared" si="166"/>
        <v>160834</v>
      </c>
      <c r="DQ417" s="1">
        <f t="shared" si="153"/>
        <v>7214</v>
      </c>
      <c r="DR417" s="1">
        <f t="shared" si="163"/>
        <v>25149</v>
      </c>
      <c r="DS417" s="1">
        <f t="shared" si="164"/>
        <v>49561</v>
      </c>
      <c r="DT417" s="1">
        <f t="shared" si="138"/>
        <v>16137</v>
      </c>
      <c r="DU417" s="1">
        <f t="shared" si="136"/>
        <v>164045</v>
      </c>
      <c r="DV417" s="1">
        <f t="shared" si="139"/>
        <v>525797</v>
      </c>
      <c r="DW417" s="1">
        <f t="shared" si="137"/>
        <v>20458</v>
      </c>
      <c r="DX417" s="1">
        <f t="shared" si="154"/>
        <v>1928283</v>
      </c>
      <c r="DY417" s="1"/>
      <c r="DZ417" s="1">
        <f t="shared" si="155"/>
        <v>100602</v>
      </c>
      <c r="EA417" s="1">
        <f t="shared" si="165"/>
        <v>88541</v>
      </c>
      <c r="EB417" s="1"/>
      <c r="EC417" s="1">
        <f t="shared" si="156"/>
        <v>2117426</v>
      </c>
      <c r="ED417" s="1">
        <f t="shared" si="152"/>
        <v>0</v>
      </c>
      <c r="EE417" s="1"/>
    </row>
    <row r="418" spans="1:135" x14ac:dyDescent="0.25">
      <c r="A418" s="10">
        <v>44927</v>
      </c>
      <c r="B418">
        <v>0</v>
      </c>
      <c r="C418">
        <v>0</v>
      </c>
      <c r="D418">
        <v>0</v>
      </c>
      <c r="E418">
        <v>0</v>
      </c>
      <c r="F418">
        <v>4739</v>
      </c>
      <c r="G418">
        <v>14957</v>
      </c>
      <c r="H418">
        <v>53050</v>
      </c>
      <c r="I418">
        <v>2440</v>
      </c>
      <c r="J418">
        <v>7236</v>
      </c>
      <c r="K418">
        <v>2492</v>
      </c>
      <c r="L418">
        <v>34837</v>
      </c>
      <c r="M418">
        <v>1094</v>
      </c>
      <c r="N418">
        <v>1420</v>
      </c>
      <c r="O418">
        <v>1985</v>
      </c>
      <c r="P418">
        <v>11257</v>
      </c>
      <c r="Q418">
        <v>301</v>
      </c>
      <c r="R418">
        <v>4786</v>
      </c>
      <c r="S418">
        <v>15495</v>
      </c>
      <c r="T418">
        <v>146</v>
      </c>
      <c r="U418">
        <v>4174</v>
      </c>
      <c r="V418">
        <v>107</v>
      </c>
      <c r="W418">
        <v>28358</v>
      </c>
      <c r="X418">
        <v>569</v>
      </c>
      <c r="Y418">
        <v>2</v>
      </c>
      <c r="Z418">
        <v>0</v>
      </c>
      <c r="AA418">
        <v>5</v>
      </c>
      <c r="AB418">
        <v>129</v>
      </c>
      <c r="AC418">
        <v>23</v>
      </c>
      <c r="AD418">
        <v>25</v>
      </c>
      <c r="AE418">
        <v>18</v>
      </c>
      <c r="AF418">
        <v>57</v>
      </c>
      <c r="AG418">
        <v>266</v>
      </c>
      <c r="AH418">
        <v>2589</v>
      </c>
      <c r="AI418">
        <v>5</v>
      </c>
      <c r="AJ418">
        <v>14613</v>
      </c>
      <c r="AK418">
        <v>113441</v>
      </c>
      <c r="AL418">
        <v>1418</v>
      </c>
      <c r="AM418">
        <v>22302</v>
      </c>
      <c r="AN418">
        <v>8</v>
      </c>
      <c r="AO418">
        <v>4</v>
      </c>
      <c r="AP418">
        <v>12371</v>
      </c>
      <c r="AQ418">
        <v>0</v>
      </c>
      <c r="AR418">
        <v>786</v>
      </c>
      <c r="AS418">
        <v>53</v>
      </c>
      <c r="AT418">
        <v>11987</v>
      </c>
      <c r="AU418">
        <v>2489</v>
      </c>
      <c r="AV418">
        <v>3479</v>
      </c>
      <c r="AW418">
        <v>14626</v>
      </c>
      <c r="AX418">
        <v>0</v>
      </c>
      <c r="AY418">
        <v>0</v>
      </c>
      <c r="AZ418">
        <v>865</v>
      </c>
      <c r="BA418">
        <v>0</v>
      </c>
      <c r="BB418">
        <v>277</v>
      </c>
      <c r="BC418">
        <v>2174</v>
      </c>
      <c r="BD418">
        <v>0</v>
      </c>
      <c r="BE418">
        <v>0</v>
      </c>
      <c r="BF418">
        <v>9845</v>
      </c>
      <c r="BG418">
        <v>0</v>
      </c>
      <c r="BH418">
        <v>0</v>
      </c>
      <c r="BI418">
        <v>0</v>
      </c>
      <c r="BJ418">
        <v>10</v>
      </c>
      <c r="BK418">
        <v>6355</v>
      </c>
      <c r="BL418">
        <v>0</v>
      </c>
      <c r="BM418">
        <v>0</v>
      </c>
      <c r="BN418">
        <v>0</v>
      </c>
      <c r="BO418">
        <v>49993</v>
      </c>
      <c r="BP418">
        <v>110754</v>
      </c>
      <c r="BQ418">
        <v>1411</v>
      </c>
      <c r="BR418">
        <v>33</v>
      </c>
      <c r="BS418">
        <v>48547</v>
      </c>
      <c r="BT418">
        <v>1184</v>
      </c>
      <c r="BU418">
        <v>1</v>
      </c>
      <c r="BV418">
        <v>0</v>
      </c>
      <c r="BW418">
        <v>1</v>
      </c>
      <c r="BX418">
        <v>0</v>
      </c>
      <c r="BY418">
        <v>390</v>
      </c>
      <c r="BZ418">
        <v>0</v>
      </c>
      <c r="CA418">
        <v>30325</v>
      </c>
      <c r="CB418">
        <v>25887</v>
      </c>
      <c r="CC418">
        <v>142778</v>
      </c>
      <c r="CD418">
        <v>413172</v>
      </c>
      <c r="CE418">
        <v>68160</v>
      </c>
      <c r="CF418">
        <v>102578</v>
      </c>
      <c r="CG418">
        <v>0</v>
      </c>
      <c r="CH418">
        <v>50</v>
      </c>
      <c r="CI418">
        <v>1</v>
      </c>
      <c r="CJ418">
        <v>95</v>
      </c>
      <c r="CK418">
        <v>90410</v>
      </c>
      <c r="CL418">
        <v>74995</v>
      </c>
      <c r="CM418">
        <v>442846</v>
      </c>
      <c r="CN418">
        <v>93143</v>
      </c>
      <c r="CO418">
        <v>53</v>
      </c>
      <c r="CP418">
        <v>14698</v>
      </c>
      <c r="CQ418">
        <v>1571</v>
      </c>
      <c r="CR418">
        <v>14</v>
      </c>
      <c r="CS418">
        <v>2553</v>
      </c>
      <c r="CT418">
        <v>168</v>
      </c>
      <c r="CU418">
        <v>6887</v>
      </c>
      <c r="CV418">
        <v>1</v>
      </c>
      <c r="CW418">
        <v>5048</v>
      </c>
      <c r="CX418">
        <v>1740</v>
      </c>
      <c r="CY418">
        <v>0</v>
      </c>
      <c r="CZ418">
        <v>0</v>
      </c>
      <c r="DA418">
        <v>0</v>
      </c>
      <c r="DB418">
        <v>9</v>
      </c>
      <c r="DC418">
        <v>0</v>
      </c>
      <c r="DD418">
        <v>19</v>
      </c>
      <c r="DE418">
        <f t="shared" si="168"/>
        <v>2139152</v>
      </c>
      <c r="DF418" s="1"/>
      <c r="DG418" s="1">
        <f t="shared" si="157"/>
        <v>1743565</v>
      </c>
      <c r="DH418" s="1">
        <f t="shared" si="158"/>
        <v>306532</v>
      </c>
      <c r="DI418" s="1">
        <f t="shared" si="167"/>
        <v>2050097</v>
      </c>
      <c r="DJ418" s="1"/>
      <c r="DK418" s="1">
        <f t="shared" si="159"/>
        <v>87045</v>
      </c>
      <c r="DL418" s="1">
        <f t="shared" si="150"/>
        <v>153047</v>
      </c>
      <c r="DM418" s="1">
        <f t="shared" si="160"/>
        <v>15495</v>
      </c>
      <c r="DN418" s="1">
        <f t="shared" si="161"/>
        <v>49360</v>
      </c>
      <c r="DO418" s="1">
        <f t="shared" si="162"/>
        <v>657559</v>
      </c>
      <c r="DP418" s="1">
        <f t="shared" si="166"/>
        <v>161475</v>
      </c>
      <c r="DQ418" s="1">
        <f t="shared" si="153"/>
        <v>8373</v>
      </c>
      <c r="DR418" s="1">
        <f t="shared" si="163"/>
        <v>25937</v>
      </c>
      <c r="DS418" s="1">
        <f t="shared" si="164"/>
        <v>49994</v>
      </c>
      <c r="DT418" s="1">
        <f t="shared" si="138"/>
        <v>16201</v>
      </c>
      <c r="DU418" s="1">
        <f t="shared" si="136"/>
        <v>165405</v>
      </c>
      <c r="DV418" s="1">
        <f t="shared" si="139"/>
        <v>536042</v>
      </c>
      <c r="DW418" s="1">
        <f t="shared" si="137"/>
        <v>21586</v>
      </c>
      <c r="DX418" s="1">
        <f t="shared" si="154"/>
        <v>1947519</v>
      </c>
      <c r="DY418" s="1"/>
      <c r="DZ418" s="1">
        <f t="shared" si="155"/>
        <v>102578</v>
      </c>
      <c r="EA418" s="1">
        <f t="shared" si="165"/>
        <v>89055</v>
      </c>
      <c r="EB418" s="1"/>
      <c r="EC418" s="1">
        <f t="shared" si="156"/>
        <v>2139152</v>
      </c>
      <c r="ED418" s="1">
        <f t="shared" si="152"/>
        <v>0</v>
      </c>
      <c r="EE418" s="1"/>
    </row>
    <row r="419" spans="1:135" x14ac:dyDescent="0.25">
      <c r="A419" s="10">
        <v>44958</v>
      </c>
      <c r="B419">
        <v>0</v>
      </c>
      <c r="C419">
        <v>0</v>
      </c>
      <c r="D419">
        <v>0</v>
      </c>
      <c r="E419">
        <v>0</v>
      </c>
      <c r="F419">
        <v>4618</v>
      </c>
      <c r="G419">
        <v>14991</v>
      </c>
      <c r="H419">
        <v>53445</v>
      </c>
      <c r="I419">
        <v>2545</v>
      </c>
      <c r="J419">
        <v>7430</v>
      </c>
      <c r="K419">
        <v>2487</v>
      </c>
      <c r="L419">
        <v>34744</v>
      </c>
      <c r="M419">
        <v>1077</v>
      </c>
      <c r="N419">
        <v>1474</v>
      </c>
      <c r="O419">
        <v>1948</v>
      </c>
      <c r="P419">
        <v>11206</v>
      </c>
      <c r="Q419">
        <v>303</v>
      </c>
      <c r="R419">
        <v>4765</v>
      </c>
      <c r="S419">
        <v>15435</v>
      </c>
      <c r="T419">
        <v>145</v>
      </c>
      <c r="U419">
        <v>4154</v>
      </c>
      <c r="V419">
        <v>106</v>
      </c>
      <c r="W419">
        <v>28602</v>
      </c>
      <c r="X419">
        <v>568</v>
      </c>
      <c r="Y419">
        <v>2</v>
      </c>
      <c r="Z419">
        <v>0</v>
      </c>
      <c r="AA419">
        <v>5</v>
      </c>
      <c r="AB419">
        <v>128</v>
      </c>
      <c r="AC419">
        <v>24</v>
      </c>
      <c r="AD419">
        <v>25</v>
      </c>
      <c r="AE419">
        <v>18</v>
      </c>
      <c r="AF419">
        <v>60</v>
      </c>
      <c r="AG419">
        <v>266</v>
      </c>
      <c r="AH419">
        <v>2586</v>
      </c>
      <c r="AI419">
        <v>5</v>
      </c>
      <c r="AJ419">
        <v>14638</v>
      </c>
      <c r="AK419">
        <v>113490</v>
      </c>
      <c r="AL419">
        <v>1406</v>
      </c>
      <c r="AM419">
        <v>22208</v>
      </c>
      <c r="AN419">
        <v>8</v>
      </c>
      <c r="AO419">
        <v>4</v>
      </c>
      <c r="AP419">
        <v>12417</v>
      </c>
      <c r="AQ419">
        <v>0</v>
      </c>
      <c r="AR419">
        <v>786</v>
      </c>
      <c r="AS419">
        <v>53</v>
      </c>
      <c r="AT419">
        <v>12048</v>
      </c>
      <c r="AU419">
        <v>2492</v>
      </c>
      <c r="AV419">
        <v>3470</v>
      </c>
      <c r="AW419">
        <v>14566</v>
      </c>
      <c r="AX419">
        <v>2</v>
      </c>
      <c r="AY419">
        <v>1</v>
      </c>
      <c r="AZ419">
        <v>870</v>
      </c>
      <c r="BA419">
        <v>0</v>
      </c>
      <c r="BB419">
        <v>277</v>
      </c>
      <c r="BC419">
        <v>2189</v>
      </c>
      <c r="BD419">
        <v>0</v>
      </c>
      <c r="BE419">
        <v>0</v>
      </c>
      <c r="BF419">
        <v>9899</v>
      </c>
      <c r="BG419">
        <v>0</v>
      </c>
      <c r="BH419">
        <v>0</v>
      </c>
      <c r="BI419">
        <v>0</v>
      </c>
      <c r="BJ419">
        <v>10</v>
      </c>
      <c r="BK419">
        <v>6333</v>
      </c>
      <c r="BL419">
        <v>0</v>
      </c>
      <c r="BM419">
        <v>0</v>
      </c>
      <c r="BN419">
        <v>0</v>
      </c>
      <c r="BO419">
        <v>50352</v>
      </c>
      <c r="BP419">
        <v>111233</v>
      </c>
      <c r="BQ419">
        <v>1395</v>
      </c>
      <c r="BR419">
        <v>34</v>
      </c>
      <c r="BS419">
        <v>48900</v>
      </c>
      <c r="BT419">
        <v>1198</v>
      </c>
      <c r="BU419">
        <v>0</v>
      </c>
      <c r="BV419">
        <v>0</v>
      </c>
      <c r="BW419">
        <v>1</v>
      </c>
      <c r="BX419">
        <v>0</v>
      </c>
      <c r="BY419">
        <v>395</v>
      </c>
      <c r="BZ419">
        <v>0</v>
      </c>
      <c r="CA419">
        <v>30272</v>
      </c>
      <c r="CB419">
        <v>26747</v>
      </c>
      <c r="CC419">
        <v>142186</v>
      </c>
      <c r="CD419">
        <v>416349</v>
      </c>
      <c r="CE419">
        <v>69590</v>
      </c>
      <c r="CF419">
        <v>103611</v>
      </c>
      <c r="CG419">
        <v>0</v>
      </c>
      <c r="CH419">
        <v>59</v>
      </c>
      <c r="CI419">
        <v>1</v>
      </c>
      <c r="CJ419">
        <v>94</v>
      </c>
      <c r="CK419">
        <v>90720</v>
      </c>
      <c r="CL419">
        <v>75669</v>
      </c>
      <c r="CM419">
        <v>448409</v>
      </c>
      <c r="CN419">
        <v>94791</v>
      </c>
      <c r="CO419">
        <v>49</v>
      </c>
      <c r="CP419">
        <v>14787</v>
      </c>
      <c r="CQ419">
        <v>1558</v>
      </c>
      <c r="CR419">
        <v>14</v>
      </c>
      <c r="CS419">
        <v>2940</v>
      </c>
      <c r="CT419">
        <v>201</v>
      </c>
      <c r="CU419">
        <v>7985</v>
      </c>
      <c r="CV419">
        <v>0</v>
      </c>
      <c r="CW419">
        <v>5821</v>
      </c>
      <c r="CX419">
        <v>2043</v>
      </c>
      <c r="CY419">
        <v>0</v>
      </c>
      <c r="CZ419">
        <v>0</v>
      </c>
      <c r="DA419">
        <v>0</v>
      </c>
      <c r="DB419">
        <v>9</v>
      </c>
      <c r="DC419">
        <v>0</v>
      </c>
      <c r="DD419">
        <v>19</v>
      </c>
      <c r="DE419">
        <f t="shared" si="168"/>
        <v>2157733</v>
      </c>
      <c r="DF419" s="1"/>
      <c r="DG419" s="1">
        <f t="shared" si="157"/>
        <v>1761125</v>
      </c>
      <c r="DH419" s="1">
        <f t="shared" si="158"/>
        <v>306477</v>
      </c>
      <c r="DI419" s="1">
        <f t="shared" si="167"/>
        <v>2067602</v>
      </c>
      <c r="DJ419" s="1"/>
      <c r="DK419" s="1">
        <f t="shared" si="159"/>
        <v>87050</v>
      </c>
      <c r="DL419" s="1">
        <f t="shared" si="150"/>
        <v>153165</v>
      </c>
      <c r="DM419" s="1">
        <f t="shared" si="160"/>
        <v>15435</v>
      </c>
      <c r="DN419" s="1">
        <f t="shared" si="161"/>
        <v>49255</v>
      </c>
      <c r="DO419" s="1">
        <f t="shared" si="162"/>
        <v>661526</v>
      </c>
      <c r="DP419" s="1">
        <f t="shared" si="166"/>
        <v>162323</v>
      </c>
      <c r="DQ419" s="1">
        <f t="shared" si="153"/>
        <v>9436</v>
      </c>
      <c r="DR419" s="1">
        <f t="shared" si="163"/>
        <v>26806</v>
      </c>
      <c r="DS419" s="1">
        <f t="shared" si="164"/>
        <v>50352</v>
      </c>
      <c r="DT419" s="1">
        <f t="shared" si="138"/>
        <v>16233</v>
      </c>
      <c r="DU419" s="1">
        <f t="shared" si="136"/>
        <v>166389</v>
      </c>
      <c r="DV419" s="1">
        <f t="shared" si="139"/>
        <v>543249</v>
      </c>
      <c r="DW419" s="1">
        <f t="shared" si="137"/>
        <v>22772</v>
      </c>
      <c r="DX419" s="1">
        <f t="shared" si="154"/>
        <v>1963991</v>
      </c>
      <c r="DY419" s="1"/>
      <c r="DZ419" s="1">
        <f t="shared" si="155"/>
        <v>103611</v>
      </c>
      <c r="EA419" s="1">
        <f t="shared" si="165"/>
        <v>90131</v>
      </c>
      <c r="EB419" s="1"/>
      <c r="EC419" s="1">
        <f t="shared" si="156"/>
        <v>2157733</v>
      </c>
      <c r="ED419" s="1">
        <f t="shared" si="152"/>
        <v>0</v>
      </c>
      <c r="EE419" s="1"/>
    </row>
    <row r="420" spans="1:135" x14ac:dyDescent="0.25">
      <c r="A420" s="10">
        <v>44986</v>
      </c>
      <c r="B420">
        <v>0</v>
      </c>
      <c r="C420">
        <v>0</v>
      </c>
      <c r="D420">
        <v>0</v>
      </c>
      <c r="E420">
        <v>0</v>
      </c>
      <c r="F420">
        <v>4246</v>
      </c>
      <c r="G420">
        <v>15084</v>
      </c>
      <c r="H420">
        <v>53376</v>
      </c>
      <c r="I420">
        <v>2644</v>
      </c>
      <c r="J420">
        <v>7595</v>
      </c>
      <c r="K420">
        <v>2520</v>
      </c>
      <c r="L420">
        <v>34726</v>
      </c>
      <c r="M420">
        <v>1064</v>
      </c>
      <c r="N420">
        <v>1531</v>
      </c>
      <c r="O420">
        <v>1969</v>
      </c>
      <c r="P420">
        <v>11395</v>
      </c>
      <c r="Q420">
        <v>302</v>
      </c>
      <c r="R420">
        <v>4763</v>
      </c>
      <c r="S420">
        <v>15418</v>
      </c>
      <c r="T420">
        <v>142</v>
      </c>
      <c r="U420">
        <v>4191</v>
      </c>
      <c r="V420">
        <v>107</v>
      </c>
      <c r="W420">
        <v>28906</v>
      </c>
      <c r="X420">
        <v>573</v>
      </c>
      <c r="Y420">
        <v>2</v>
      </c>
      <c r="Z420">
        <v>0</v>
      </c>
      <c r="AA420">
        <v>5</v>
      </c>
      <c r="AB420">
        <v>132</v>
      </c>
      <c r="AC420">
        <v>25</v>
      </c>
      <c r="AD420">
        <v>25</v>
      </c>
      <c r="AE420">
        <v>18</v>
      </c>
      <c r="AF420">
        <v>60</v>
      </c>
      <c r="AG420">
        <v>262</v>
      </c>
      <c r="AH420">
        <v>2584</v>
      </c>
      <c r="AI420">
        <v>5</v>
      </c>
      <c r="AJ420">
        <v>14782</v>
      </c>
      <c r="AK420">
        <v>113343</v>
      </c>
      <c r="AL420">
        <v>1385</v>
      </c>
      <c r="AM420">
        <v>22194</v>
      </c>
      <c r="AN420">
        <v>8</v>
      </c>
      <c r="AO420">
        <v>4</v>
      </c>
      <c r="AP420">
        <v>12438</v>
      </c>
      <c r="AQ420">
        <v>0</v>
      </c>
      <c r="AR420">
        <v>788</v>
      </c>
      <c r="AS420">
        <v>55</v>
      </c>
      <c r="AT420">
        <v>12159</v>
      </c>
      <c r="AU420">
        <v>2491</v>
      </c>
      <c r="AV420">
        <v>3465</v>
      </c>
      <c r="AW420">
        <v>14527</v>
      </c>
      <c r="AX420">
        <v>3</v>
      </c>
      <c r="AY420">
        <v>1</v>
      </c>
      <c r="AZ420">
        <v>872</v>
      </c>
      <c r="BA420">
        <v>0</v>
      </c>
      <c r="BB420">
        <v>274</v>
      </c>
      <c r="BC420">
        <v>2194</v>
      </c>
      <c r="BD420">
        <v>0</v>
      </c>
      <c r="BE420">
        <v>0</v>
      </c>
      <c r="BF420">
        <v>9945</v>
      </c>
      <c r="BG420">
        <v>0</v>
      </c>
      <c r="BH420">
        <v>0</v>
      </c>
      <c r="BI420">
        <v>0</v>
      </c>
      <c r="BJ420">
        <v>10</v>
      </c>
      <c r="BK420">
        <v>6336</v>
      </c>
      <c r="BL420">
        <v>0</v>
      </c>
      <c r="BM420">
        <v>0</v>
      </c>
      <c r="BN420">
        <v>0</v>
      </c>
      <c r="BO420">
        <v>50572</v>
      </c>
      <c r="BP420">
        <v>111153</v>
      </c>
      <c r="BQ420">
        <v>1384</v>
      </c>
      <c r="BR420">
        <v>36</v>
      </c>
      <c r="BS420">
        <v>49003</v>
      </c>
      <c r="BT420">
        <v>1185</v>
      </c>
      <c r="BU420">
        <v>1</v>
      </c>
      <c r="BV420">
        <v>0</v>
      </c>
      <c r="BW420">
        <v>1</v>
      </c>
      <c r="BX420">
        <v>0</v>
      </c>
      <c r="BY420">
        <v>403</v>
      </c>
      <c r="BZ420">
        <v>0</v>
      </c>
      <c r="CA420">
        <v>30472</v>
      </c>
      <c r="CB420">
        <v>27553</v>
      </c>
      <c r="CC420">
        <v>142386</v>
      </c>
      <c r="CD420">
        <v>417527</v>
      </c>
      <c r="CE420">
        <v>70337</v>
      </c>
      <c r="CF420">
        <v>104316</v>
      </c>
      <c r="CG420">
        <v>0</v>
      </c>
      <c r="CH420">
        <v>69</v>
      </c>
      <c r="CI420">
        <v>1</v>
      </c>
      <c r="CJ420">
        <v>98</v>
      </c>
      <c r="CK420">
        <v>90853</v>
      </c>
      <c r="CL420">
        <v>76307</v>
      </c>
      <c r="CM420">
        <v>452022</v>
      </c>
      <c r="CN420">
        <v>95333</v>
      </c>
      <c r="CO420">
        <v>45</v>
      </c>
      <c r="CP420">
        <v>14839</v>
      </c>
      <c r="CQ420">
        <v>1577</v>
      </c>
      <c r="CR420">
        <v>13</v>
      </c>
      <c r="CS420">
        <v>3241</v>
      </c>
      <c r="CT420">
        <v>229</v>
      </c>
      <c r="CU420">
        <v>8820</v>
      </c>
      <c r="CV420">
        <v>0</v>
      </c>
      <c r="CW420">
        <v>6843</v>
      </c>
      <c r="CX420">
        <v>2340</v>
      </c>
      <c r="CY420">
        <v>0</v>
      </c>
      <c r="CZ420">
        <v>0</v>
      </c>
      <c r="DA420">
        <v>0</v>
      </c>
      <c r="DB420">
        <v>9</v>
      </c>
      <c r="DC420">
        <v>0</v>
      </c>
      <c r="DD420">
        <v>19</v>
      </c>
      <c r="DE420">
        <f t="shared" si="168"/>
        <v>2169903</v>
      </c>
      <c r="DF420" s="1"/>
      <c r="DG420" s="1">
        <f t="shared" si="157"/>
        <v>1772388</v>
      </c>
      <c r="DH420" s="1">
        <f t="shared" si="158"/>
        <v>307049</v>
      </c>
      <c r="DI420" s="1">
        <f t="shared" si="167"/>
        <v>2079437</v>
      </c>
      <c r="DJ420" s="1"/>
      <c r="DK420" s="1">
        <f t="shared" si="159"/>
        <v>87565</v>
      </c>
      <c r="DL420" s="1">
        <f t="shared" si="150"/>
        <v>153253</v>
      </c>
      <c r="DM420" s="1">
        <f t="shared" si="160"/>
        <v>15418</v>
      </c>
      <c r="DN420" s="1">
        <f t="shared" si="161"/>
        <v>49223</v>
      </c>
      <c r="DO420" s="1">
        <f t="shared" si="162"/>
        <v>663842</v>
      </c>
      <c r="DP420" s="1">
        <f t="shared" si="166"/>
        <v>162351</v>
      </c>
      <c r="DQ420" s="1">
        <f t="shared" si="153"/>
        <v>10773</v>
      </c>
      <c r="DR420" s="1">
        <f t="shared" si="163"/>
        <v>27622</v>
      </c>
      <c r="DS420" s="1">
        <f t="shared" si="164"/>
        <v>50573</v>
      </c>
      <c r="DT420" s="1">
        <f t="shared" si="138"/>
        <v>16282</v>
      </c>
      <c r="DU420" s="1">
        <f t="shared" si="136"/>
        <v>167160</v>
      </c>
      <c r="DV420" s="1">
        <f t="shared" si="139"/>
        <v>547400</v>
      </c>
      <c r="DW420" s="1">
        <f t="shared" si="137"/>
        <v>23659</v>
      </c>
      <c r="DX420" s="1">
        <f t="shared" si="154"/>
        <v>1975121</v>
      </c>
      <c r="DY420" s="1"/>
      <c r="DZ420" s="1">
        <f t="shared" si="155"/>
        <v>104316</v>
      </c>
      <c r="EA420" s="1">
        <f t="shared" si="165"/>
        <v>90466</v>
      </c>
      <c r="EB420" s="1"/>
      <c r="EC420" s="1">
        <f t="shared" si="156"/>
        <v>2169903</v>
      </c>
      <c r="ED420" s="1">
        <f t="shared" si="152"/>
        <v>0</v>
      </c>
      <c r="EE420" s="1"/>
    </row>
    <row r="421" spans="1:135" x14ac:dyDescent="0.25">
      <c r="A421" s="10">
        <v>45017</v>
      </c>
      <c r="B421">
        <v>0</v>
      </c>
      <c r="C421">
        <v>0</v>
      </c>
      <c r="D421">
        <v>0</v>
      </c>
      <c r="E421">
        <v>0</v>
      </c>
      <c r="F421">
        <v>4148</v>
      </c>
      <c r="G421">
        <v>15003</v>
      </c>
      <c r="H421">
        <v>53524</v>
      </c>
      <c r="I421">
        <v>2806</v>
      </c>
      <c r="J421">
        <v>7958</v>
      </c>
      <c r="K421">
        <v>2527</v>
      </c>
      <c r="L421">
        <v>34773</v>
      </c>
      <c r="M421">
        <v>1047</v>
      </c>
      <c r="N421">
        <v>1566</v>
      </c>
      <c r="O421">
        <v>1976</v>
      </c>
      <c r="P421">
        <v>11472</v>
      </c>
      <c r="Q421">
        <v>304</v>
      </c>
      <c r="R421">
        <v>4831</v>
      </c>
      <c r="S421">
        <v>15467</v>
      </c>
      <c r="T421">
        <v>133</v>
      </c>
      <c r="U421">
        <v>4232</v>
      </c>
      <c r="V421">
        <v>104</v>
      </c>
      <c r="W421">
        <v>29197</v>
      </c>
      <c r="X421">
        <v>571</v>
      </c>
      <c r="Y421">
        <v>2</v>
      </c>
      <c r="Z421">
        <v>0</v>
      </c>
      <c r="AA421">
        <v>5</v>
      </c>
      <c r="AB421">
        <v>133</v>
      </c>
      <c r="AC421">
        <v>25</v>
      </c>
      <c r="AD421">
        <v>25</v>
      </c>
      <c r="AE421">
        <v>18</v>
      </c>
      <c r="AF421">
        <v>61</v>
      </c>
      <c r="AG421">
        <v>261</v>
      </c>
      <c r="AH421">
        <v>2596</v>
      </c>
      <c r="AI421">
        <v>5</v>
      </c>
      <c r="AJ421">
        <v>14872</v>
      </c>
      <c r="AK421">
        <v>113194</v>
      </c>
      <c r="AL421">
        <v>1363</v>
      </c>
      <c r="AM421">
        <v>22197</v>
      </c>
      <c r="AN421">
        <v>9</v>
      </c>
      <c r="AO421">
        <v>4</v>
      </c>
      <c r="AP421">
        <v>12437</v>
      </c>
      <c r="AQ421">
        <v>0</v>
      </c>
      <c r="AR421">
        <v>794</v>
      </c>
      <c r="AS421">
        <v>56</v>
      </c>
      <c r="AT421">
        <v>12246</v>
      </c>
      <c r="AU421">
        <v>2500</v>
      </c>
      <c r="AV421">
        <v>3461</v>
      </c>
      <c r="AW421">
        <v>14510</v>
      </c>
      <c r="AX421">
        <v>1</v>
      </c>
      <c r="AY421">
        <v>2</v>
      </c>
      <c r="AZ421">
        <v>871</v>
      </c>
      <c r="BA421">
        <v>0</v>
      </c>
      <c r="BB421">
        <v>259</v>
      </c>
      <c r="BC421">
        <v>2198</v>
      </c>
      <c r="BD421">
        <v>0</v>
      </c>
      <c r="BE421">
        <v>0</v>
      </c>
      <c r="BF421">
        <v>9993</v>
      </c>
      <c r="BG421">
        <v>0</v>
      </c>
      <c r="BH421">
        <v>0</v>
      </c>
      <c r="BI421">
        <v>0</v>
      </c>
      <c r="BJ421">
        <v>9</v>
      </c>
      <c r="BK421">
        <v>6345</v>
      </c>
      <c r="BL421">
        <v>0</v>
      </c>
      <c r="BM421">
        <v>0</v>
      </c>
      <c r="BN421">
        <v>0</v>
      </c>
      <c r="BO421">
        <v>50612</v>
      </c>
      <c r="BP421">
        <v>111333</v>
      </c>
      <c r="BQ421">
        <v>1370</v>
      </c>
      <c r="BR421">
        <v>36</v>
      </c>
      <c r="BS421">
        <v>49205</v>
      </c>
      <c r="BT421">
        <v>1194</v>
      </c>
      <c r="BU421">
        <v>0</v>
      </c>
      <c r="BV421">
        <v>0</v>
      </c>
      <c r="BW421">
        <v>1</v>
      </c>
      <c r="BX421">
        <v>0</v>
      </c>
      <c r="BY421">
        <v>400</v>
      </c>
      <c r="BZ421">
        <v>0</v>
      </c>
      <c r="CA421">
        <v>30486</v>
      </c>
      <c r="CB421">
        <v>28138</v>
      </c>
      <c r="CC421">
        <v>142583</v>
      </c>
      <c r="CD421">
        <v>419531</v>
      </c>
      <c r="CE421">
        <v>71543</v>
      </c>
      <c r="CF421">
        <v>105034</v>
      </c>
      <c r="CG421">
        <v>0</v>
      </c>
      <c r="CH421">
        <v>76</v>
      </c>
      <c r="CI421">
        <v>1</v>
      </c>
      <c r="CJ421">
        <v>96</v>
      </c>
      <c r="CK421">
        <v>91254</v>
      </c>
      <c r="CL421">
        <v>77125</v>
      </c>
      <c r="CM421">
        <v>456278</v>
      </c>
      <c r="CN421">
        <v>96451</v>
      </c>
      <c r="CO421">
        <v>50</v>
      </c>
      <c r="CP421">
        <v>14844</v>
      </c>
      <c r="CQ421">
        <v>1601</v>
      </c>
      <c r="CR421">
        <v>12</v>
      </c>
      <c r="CS421">
        <v>3499</v>
      </c>
      <c r="CT421">
        <v>243</v>
      </c>
      <c r="CU421">
        <v>9913</v>
      </c>
      <c r="CV421">
        <v>0</v>
      </c>
      <c r="CW421">
        <v>7611</v>
      </c>
      <c r="CX421">
        <v>2697</v>
      </c>
      <c r="CY421">
        <v>0</v>
      </c>
      <c r="CZ421">
        <v>0</v>
      </c>
      <c r="DA421">
        <v>0</v>
      </c>
      <c r="DB421">
        <v>9</v>
      </c>
      <c r="DC421">
        <v>0</v>
      </c>
      <c r="DD421">
        <v>19</v>
      </c>
      <c r="DE421">
        <f t="shared" si="168"/>
        <v>2185308</v>
      </c>
      <c r="DF421" s="1"/>
      <c r="DG421" s="1">
        <f t="shared" si="157"/>
        <v>1786410</v>
      </c>
      <c r="DH421" s="1">
        <f t="shared" si="158"/>
        <v>307624</v>
      </c>
      <c r="DI421" s="1">
        <f t="shared" si="167"/>
        <v>2094034</v>
      </c>
      <c r="DJ421" s="1"/>
      <c r="DK421" s="1">
        <f t="shared" si="159"/>
        <v>88069</v>
      </c>
      <c r="DL421" s="1">
        <f t="shared" si="150"/>
        <v>153266</v>
      </c>
      <c r="DM421" s="1">
        <f t="shared" si="160"/>
        <v>15467</v>
      </c>
      <c r="DN421" s="1">
        <f t="shared" si="161"/>
        <v>49209</v>
      </c>
      <c r="DO421" s="1">
        <f t="shared" si="162"/>
        <v>667250</v>
      </c>
      <c r="DP421" s="1">
        <f t="shared" si="166"/>
        <v>162738</v>
      </c>
      <c r="DQ421" s="1">
        <f t="shared" si="153"/>
        <v>11921</v>
      </c>
      <c r="DR421" s="1">
        <f t="shared" si="163"/>
        <v>28214</v>
      </c>
      <c r="DS421" s="1">
        <f t="shared" si="164"/>
        <v>50612</v>
      </c>
      <c r="DT421" s="1">
        <f t="shared" si="138"/>
        <v>16339</v>
      </c>
      <c r="DU421" s="1">
        <f t="shared" si="136"/>
        <v>168379</v>
      </c>
      <c r="DV421" s="1">
        <f t="shared" si="139"/>
        <v>552779</v>
      </c>
      <c r="DW421" s="1">
        <f t="shared" si="137"/>
        <v>24757</v>
      </c>
      <c r="DX421" s="1">
        <f t="shared" si="154"/>
        <v>1989000</v>
      </c>
      <c r="DY421" s="1"/>
      <c r="DZ421" s="1">
        <f t="shared" si="155"/>
        <v>105034</v>
      </c>
      <c r="EA421" s="1">
        <f t="shared" si="165"/>
        <v>91274</v>
      </c>
      <c r="EB421" s="1"/>
      <c r="EC421" s="1">
        <f t="shared" si="156"/>
        <v>2185308</v>
      </c>
      <c r="ED421" s="1">
        <f t="shared" si="152"/>
        <v>0</v>
      </c>
      <c r="EE421" s="1"/>
    </row>
    <row r="422" spans="1:135" x14ac:dyDescent="0.25">
      <c r="A422" s="10">
        <v>45047</v>
      </c>
      <c r="B422">
        <v>0</v>
      </c>
      <c r="C422">
        <v>0</v>
      </c>
      <c r="D422">
        <v>0</v>
      </c>
      <c r="E422">
        <v>0</v>
      </c>
      <c r="F422">
        <v>4095</v>
      </c>
      <c r="G422">
        <v>14939</v>
      </c>
      <c r="H422">
        <v>52884</v>
      </c>
      <c r="I422">
        <v>2891</v>
      </c>
      <c r="J422">
        <v>8365</v>
      </c>
      <c r="K422">
        <v>2478</v>
      </c>
      <c r="L422">
        <v>34671</v>
      </c>
      <c r="M422">
        <v>1046</v>
      </c>
      <c r="N422">
        <v>1533</v>
      </c>
      <c r="O422">
        <v>1640</v>
      </c>
      <c r="P422">
        <v>11353</v>
      </c>
      <c r="Q422">
        <v>298</v>
      </c>
      <c r="R422">
        <v>4800</v>
      </c>
      <c r="S422">
        <v>15410</v>
      </c>
      <c r="T422">
        <v>129</v>
      </c>
      <c r="U422">
        <v>4164</v>
      </c>
      <c r="V422">
        <v>102</v>
      </c>
      <c r="W422">
        <v>29309</v>
      </c>
      <c r="X422">
        <v>572</v>
      </c>
      <c r="Y422">
        <v>2</v>
      </c>
      <c r="Z422">
        <v>0</v>
      </c>
      <c r="AA422">
        <v>2</v>
      </c>
      <c r="AB422">
        <v>132</v>
      </c>
      <c r="AC422">
        <v>25</v>
      </c>
      <c r="AD422">
        <v>26</v>
      </c>
      <c r="AE422">
        <v>17</v>
      </c>
      <c r="AF422">
        <v>62</v>
      </c>
      <c r="AG422">
        <v>256</v>
      </c>
      <c r="AH422">
        <v>2590</v>
      </c>
      <c r="AI422">
        <v>5</v>
      </c>
      <c r="AJ422">
        <v>14889</v>
      </c>
      <c r="AK422">
        <v>112741</v>
      </c>
      <c r="AL422">
        <v>1386</v>
      </c>
      <c r="AM422">
        <v>22135</v>
      </c>
      <c r="AN422">
        <v>9</v>
      </c>
      <c r="AO422">
        <v>4</v>
      </c>
      <c r="AP422">
        <v>12363</v>
      </c>
      <c r="AQ422">
        <v>0</v>
      </c>
      <c r="AR422">
        <v>336</v>
      </c>
      <c r="AS422">
        <v>57</v>
      </c>
      <c r="AT422">
        <v>12273</v>
      </c>
      <c r="AU422">
        <v>2487</v>
      </c>
      <c r="AV422">
        <v>3465</v>
      </c>
      <c r="AW422">
        <v>14472</v>
      </c>
      <c r="AX422">
        <v>1</v>
      </c>
      <c r="AY422">
        <v>0</v>
      </c>
      <c r="AZ422">
        <v>868</v>
      </c>
      <c r="BA422">
        <v>0</v>
      </c>
      <c r="BB422">
        <v>256</v>
      </c>
      <c r="BC422">
        <v>2196</v>
      </c>
      <c r="BD422">
        <v>0</v>
      </c>
      <c r="BE422">
        <v>0</v>
      </c>
      <c r="BF422">
        <v>10014</v>
      </c>
      <c r="BG422">
        <v>0</v>
      </c>
      <c r="BH422">
        <v>0</v>
      </c>
      <c r="BI422">
        <v>0</v>
      </c>
      <c r="BJ422">
        <v>8</v>
      </c>
      <c r="BK422">
        <v>6350</v>
      </c>
      <c r="BL422">
        <v>0</v>
      </c>
      <c r="BM422">
        <v>0</v>
      </c>
      <c r="BN422">
        <v>0</v>
      </c>
      <c r="BO422">
        <v>51153</v>
      </c>
      <c r="BP422">
        <v>109980</v>
      </c>
      <c r="BQ422">
        <v>1241</v>
      </c>
      <c r="BR422">
        <v>36</v>
      </c>
      <c r="BS422">
        <v>48572</v>
      </c>
      <c r="BT422">
        <v>1055</v>
      </c>
      <c r="BU422">
        <v>0</v>
      </c>
      <c r="BV422">
        <v>0</v>
      </c>
      <c r="BW422">
        <v>1</v>
      </c>
      <c r="BX422">
        <v>0</v>
      </c>
      <c r="BY422">
        <v>411</v>
      </c>
      <c r="BZ422">
        <v>0</v>
      </c>
      <c r="CA422">
        <v>30616</v>
      </c>
      <c r="CB422">
        <v>28966</v>
      </c>
      <c r="CC422">
        <v>142703</v>
      </c>
      <c r="CD422">
        <v>419859</v>
      </c>
      <c r="CE422">
        <v>70315</v>
      </c>
      <c r="CF422">
        <v>105539</v>
      </c>
      <c r="CG422">
        <v>0</v>
      </c>
      <c r="CH422">
        <v>78</v>
      </c>
      <c r="CI422">
        <v>1</v>
      </c>
      <c r="CJ422">
        <v>97</v>
      </c>
      <c r="CK422">
        <v>91848</v>
      </c>
      <c r="CL422">
        <v>77201</v>
      </c>
      <c r="CM422">
        <v>459608</v>
      </c>
      <c r="CN422">
        <v>96925</v>
      </c>
      <c r="CO422">
        <v>40</v>
      </c>
      <c r="CP422">
        <v>14826</v>
      </c>
      <c r="CQ422">
        <v>1631</v>
      </c>
      <c r="CR422">
        <v>18</v>
      </c>
      <c r="CS422">
        <v>3608</v>
      </c>
      <c r="CT422">
        <v>241</v>
      </c>
      <c r="CU422">
        <v>10782</v>
      </c>
      <c r="CV422">
        <v>0</v>
      </c>
      <c r="CW422">
        <v>8154</v>
      </c>
      <c r="CX422">
        <v>2963</v>
      </c>
      <c r="CY422">
        <v>0</v>
      </c>
      <c r="CZ422">
        <v>0</v>
      </c>
      <c r="DA422">
        <v>0</v>
      </c>
      <c r="DB422">
        <v>7</v>
      </c>
      <c r="DC422">
        <v>0</v>
      </c>
      <c r="DD422">
        <v>19</v>
      </c>
      <c r="DE422">
        <f t="shared" si="168"/>
        <v>2188574</v>
      </c>
      <c r="DF422" s="1"/>
      <c r="DG422" s="1">
        <f t="shared" si="157"/>
        <v>1791539</v>
      </c>
      <c r="DH422" s="1">
        <f t="shared" si="158"/>
        <v>306001</v>
      </c>
      <c r="DI422" s="1">
        <f t="shared" si="167"/>
        <v>2097540</v>
      </c>
      <c r="DJ422" s="1"/>
      <c r="DK422" s="1">
        <f t="shared" si="159"/>
        <v>87512</v>
      </c>
      <c r="DL422" s="1">
        <f t="shared" si="150"/>
        <v>152394</v>
      </c>
      <c r="DM422" s="1">
        <f t="shared" si="160"/>
        <v>15410</v>
      </c>
      <c r="DN422" s="1">
        <f t="shared" si="161"/>
        <v>49036</v>
      </c>
      <c r="DO422" s="1">
        <f t="shared" si="162"/>
        <v>666343</v>
      </c>
      <c r="DP422" s="1">
        <f t="shared" si="166"/>
        <v>160748</v>
      </c>
      <c r="DQ422" s="1">
        <f t="shared" si="153"/>
        <v>12766</v>
      </c>
      <c r="DR422" s="1">
        <f t="shared" si="163"/>
        <v>29044</v>
      </c>
      <c r="DS422" s="1">
        <f t="shared" si="164"/>
        <v>51153</v>
      </c>
      <c r="DT422" s="1">
        <f t="shared" si="138"/>
        <v>16365</v>
      </c>
      <c r="DU422" s="1">
        <f t="shared" si="136"/>
        <v>169049</v>
      </c>
      <c r="DV422" s="1">
        <f t="shared" si="139"/>
        <v>556573</v>
      </c>
      <c r="DW422" s="1">
        <f t="shared" si="137"/>
        <v>25608</v>
      </c>
      <c r="DX422" s="1">
        <f t="shared" si="154"/>
        <v>1992001</v>
      </c>
      <c r="DY422" s="1"/>
      <c r="DZ422" s="1">
        <f t="shared" si="155"/>
        <v>105539</v>
      </c>
      <c r="EA422" s="1">
        <f t="shared" si="165"/>
        <v>91034</v>
      </c>
      <c r="EB422" s="1"/>
      <c r="EC422" s="1">
        <f t="shared" si="156"/>
        <v>2188574</v>
      </c>
      <c r="ED422" s="1">
        <f t="shared" si="152"/>
        <v>0</v>
      </c>
      <c r="EE422" s="1"/>
    </row>
    <row r="423" spans="1:135" x14ac:dyDescent="0.25">
      <c r="A423" s="10">
        <v>45078</v>
      </c>
      <c r="B423">
        <v>0</v>
      </c>
      <c r="C423">
        <v>0</v>
      </c>
      <c r="D423">
        <v>0</v>
      </c>
      <c r="E423">
        <v>0</v>
      </c>
      <c r="F423">
        <v>4009</v>
      </c>
      <c r="G423">
        <v>15097</v>
      </c>
      <c r="H423">
        <v>52984</v>
      </c>
      <c r="I423">
        <v>2927</v>
      </c>
      <c r="J423">
        <v>8626</v>
      </c>
      <c r="K423">
        <v>2403</v>
      </c>
      <c r="L423">
        <v>34688</v>
      </c>
      <c r="M423">
        <v>1061</v>
      </c>
      <c r="N423">
        <v>1495</v>
      </c>
      <c r="O423">
        <v>1631</v>
      </c>
      <c r="P423">
        <v>11369</v>
      </c>
      <c r="Q423">
        <v>297</v>
      </c>
      <c r="R423">
        <v>4780</v>
      </c>
      <c r="S423">
        <v>15416</v>
      </c>
      <c r="T423">
        <v>123</v>
      </c>
      <c r="U423">
        <v>4181</v>
      </c>
      <c r="V423">
        <v>99</v>
      </c>
      <c r="W423">
        <v>29452</v>
      </c>
      <c r="X423">
        <v>574</v>
      </c>
      <c r="Y423">
        <v>2</v>
      </c>
      <c r="Z423">
        <v>0</v>
      </c>
      <c r="AA423">
        <v>3</v>
      </c>
      <c r="AB423">
        <v>131</v>
      </c>
      <c r="AC423">
        <v>25</v>
      </c>
      <c r="AD423">
        <v>26</v>
      </c>
      <c r="AE423">
        <v>16</v>
      </c>
      <c r="AF423">
        <v>60</v>
      </c>
      <c r="AG423">
        <v>247</v>
      </c>
      <c r="AH423">
        <v>2578</v>
      </c>
      <c r="AI423">
        <v>4</v>
      </c>
      <c r="AJ423">
        <v>14803</v>
      </c>
      <c r="AK423">
        <v>112344</v>
      </c>
      <c r="AL423">
        <v>1392</v>
      </c>
      <c r="AM423">
        <v>22180</v>
      </c>
      <c r="AN423">
        <v>10</v>
      </c>
      <c r="AO423">
        <v>4</v>
      </c>
      <c r="AP423">
        <v>12391</v>
      </c>
      <c r="AQ423">
        <v>0</v>
      </c>
      <c r="AR423">
        <v>323</v>
      </c>
      <c r="AS423">
        <v>56</v>
      </c>
      <c r="AT423">
        <v>12285</v>
      </c>
      <c r="AU423">
        <v>2483</v>
      </c>
      <c r="AV423">
        <v>3463</v>
      </c>
      <c r="AW423">
        <v>14416</v>
      </c>
      <c r="AX423">
        <v>0</v>
      </c>
      <c r="AY423">
        <v>1</v>
      </c>
      <c r="AZ423">
        <v>865</v>
      </c>
      <c r="BA423">
        <v>0</v>
      </c>
      <c r="BB423">
        <v>251</v>
      </c>
      <c r="BC423">
        <v>2197</v>
      </c>
      <c r="BD423">
        <v>0</v>
      </c>
      <c r="BE423">
        <v>0</v>
      </c>
      <c r="BF423">
        <v>9996</v>
      </c>
      <c r="BG423">
        <v>0</v>
      </c>
      <c r="BH423">
        <v>0</v>
      </c>
      <c r="BI423">
        <v>0</v>
      </c>
      <c r="BJ423">
        <v>8</v>
      </c>
      <c r="BK423">
        <v>6338</v>
      </c>
      <c r="BL423">
        <v>0</v>
      </c>
      <c r="BM423">
        <v>11</v>
      </c>
      <c r="BN423">
        <v>0</v>
      </c>
      <c r="BO423">
        <v>52385</v>
      </c>
      <c r="BP423">
        <v>108714</v>
      </c>
      <c r="BQ423">
        <v>1348</v>
      </c>
      <c r="BR423">
        <v>37</v>
      </c>
      <c r="BS423">
        <v>47733</v>
      </c>
      <c r="BT423">
        <v>1188</v>
      </c>
      <c r="BU423">
        <v>0</v>
      </c>
      <c r="BV423">
        <v>0</v>
      </c>
      <c r="BW423">
        <v>2</v>
      </c>
      <c r="BX423">
        <v>0</v>
      </c>
      <c r="BY423">
        <v>422</v>
      </c>
      <c r="BZ423">
        <v>0</v>
      </c>
      <c r="CA423">
        <v>30253</v>
      </c>
      <c r="CB423">
        <v>29280</v>
      </c>
      <c r="CC423">
        <v>141328</v>
      </c>
      <c r="CD423">
        <v>416223</v>
      </c>
      <c r="CE423">
        <v>68983</v>
      </c>
      <c r="CF423">
        <v>104483</v>
      </c>
      <c r="CG423">
        <v>0</v>
      </c>
      <c r="CH423">
        <v>78</v>
      </c>
      <c r="CI423">
        <v>1</v>
      </c>
      <c r="CJ423">
        <v>93</v>
      </c>
      <c r="CK423">
        <v>90721</v>
      </c>
      <c r="CL423">
        <v>75996</v>
      </c>
      <c r="CM423">
        <v>455372</v>
      </c>
      <c r="CN423">
        <v>96250</v>
      </c>
      <c r="CO423">
        <v>47</v>
      </c>
      <c r="CP423">
        <v>14871</v>
      </c>
      <c r="CQ423">
        <v>1696</v>
      </c>
      <c r="CR423">
        <v>24</v>
      </c>
      <c r="CS423">
        <v>3695</v>
      </c>
      <c r="CT423">
        <v>245</v>
      </c>
      <c r="CU423">
        <v>11663</v>
      </c>
      <c r="CV423">
        <v>0</v>
      </c>
      <c r="CW423">
        <v>8641</v>
      </c>
      <c r="CX423">
        <v>3211</v>
      </c>
      <c r="CY423">
        <v>0</v>
      </c>
      <c r="CZ423">
        <v>0</v>
      </c>
      <c r="DA423">
        <v>0</v>
      </c>
      <c r="DB423">
        <v>7</v>
      </c>
      <c r="DC423">
        <v>0</v>
      </c>
      <c r="DD423">
        <v>19</v>
      </c>
      <c r="DE423">
        <f t="shared" si="168"/>
        <v>2175104</v>
      </c>
      <c r="DG423" s="1">
        <f t="shared" si="157"/>
        <v>1777874</v>
      </c>
      <c r="DH423" s="1">
        <f t="shared" si="158"/>
        <v>305749</v>
      </c>
      <c r="DI423" s="1">
        <f t="shared" si="167"/>
        <v>2083623</v>
      </c>
      <c r="DJ423" s="1"/>
      <c r="DK423" s="1">
        <f t="shared" si="159"/>
        <v>87681</v>
      </c>
      <c r="DL423" s="1">
        <f t="shared" si="150"/>
        <v>151881</v>
      </c>
      <c r="DM423" s="1">
        <f t="shared" si="160"/>
        <v>15416</v>
      </c>
      <c r="DN423" s="1">
        <f t="shared" si="161"/>
        <v>49051</v>
      </c>
      <c r="DO423" s="1">
        <f t="shared" si="162"/>
        <v>659884</v>
      </c>
      <c r="DP423" s="1">
        <f t="shared" si="166"/>
        <v>158656</v>
      </c>
      <c r="DQ423" s="1">
        <f t="shared" si="153"/>
        <v>13572</v>
      </c>
      <c r="DR423" s="1">
        <f t="shared" si="163"/>
        <v>29358</v>
      </c>
      <c r="DS423" s="1">
        <f t="shared" si="164"/>
        <v>52385</v>
      </c>
      <c r="DT423" s="1">
        <f t="shared" si="138"/>
        <v>16336</v>
      </c>
      <c r="DU423" s="1">
        <f t="shared" si="136"/>
        <v>166717</v>
      </c>
      <c r="DV423" s="1">
        <f t="shared" si="139"/>
        <v>551669</v>
      </c>
      <c r="DW423" s="1">
        <f t="shared" si="137"/>
        <v>26534</v>
      </c>
      <c r="DX423" s="1">
        <f t="shared" si="154"/>
        <v>1979140</v>
      </c>
      <c r="DY423" s="1"/>
      <c r="DZ423" s="1">
        <f t="shared" si="155"/>
        <v>104483</v>
      </c>
      <c r="EA423" s="1">
        <f t="shared" si="165"/>
        <v>91481</v>
      </c>
      <c r="EB423" s="1"/>
      <c r="EC423" s="1">
        <f t="shared" si="156"/>
        <v>2175104</v>
      </c>
      <c r="ED423" s="1">
        <f t="shared" si="152"/>
        <v>0</v>
      </c>
      <c r="EE423" s="1"/>
    </row>
    <row r="424" spans="1:135" ht="14.4" x14ac:dyDescent="0.3">
      <c r="A424" s="49">
        <v>45108</v>
      </c>
      <c r="B424" s="48">
        <v>0</v>
      </c>
      <c r="C424" s="48">
        <v>0</v>
      </c>
      <c r="D424" s="48">
        <v>0</v>
      </c>
      <c r="E424" s="48">
        <v>0</v>
      </c>
      <c r="F424" s="48">
        <v>3970</v>
      </c>
      <c r="G424" s="48">
        <v>15314</v>
      </c>
      <c r="H424" s="48">
        <v>52573</v>
      </c>
      <c r="I424" s="48">
        <v>2975</v>
      </c>
      <c r="J424" s="48">
        <v>8727</v>
      </c>
      <c r="K424" s="48">
        <v>2314</v>
      </c>
      <c r="L424" s="48">
        <v>34715</v>
      </c>
      <c r="M424" s="48">
        <v>1056</v>
      </c>
      <c r="N424" s="48">
        <v>1427</v>
      </c>
      <c r="O424" s="48">
        <v>1587</v>
      </c>
      <c r="P424" s="48">
        <v>11285</v>
      </c>
      <c r="Q424" s="48">
        <v>293</v>
      </c>
      <c r="R424" s="48">
        <v>4616</v>
      </c>
      <c r="S424" s="48">
        <v>15150</v>
      </c>
      <c r="T424" s="48">
        <v>123</v>
      </c>
      <c r="U424" s="48">
        <v>4103</v>
      </c>
      <c r="V424" s="48">
        <v>96</v>
      </c>
      <c r="W424" s="48">
        <v>28984</v>
      </c>
      <c r="X424" s="48">
        <v>571</v>
      </c>
      <c r="Y424" s="48">
        <v>3</v>
      </c>
      <c r="Z424" s="48">
        <v>0</v>
      </c>
      <c r="AA424" s="48">
        <v>2</v>
      </c>
      <c r="AB424" s="48">
        <v>126</v>
      </c>
      <c r="AC424" s="48">
        <v>24</v>
      </c>
      <c r="AD424" s="48">
        <v>26</v>
      </c>
      <c r="AE424" s="48">
        <v>16</v>
      </c>
      <c r="AF424" s="48">
        <v>57</v>
      </c>
      <c r="AG424" s="48">
        <v>214</v>
      </c>
      <c r="AH424" s="48">
        <v>2481</v>
      </c>
      <c r="AI424" s="48">
        <v>4</v>
      </c>
      <c r="AJ424" s="48">
        <v>14184</v>
      </c>
      <c r="AK424" s="48">
        <v>111628</v>
      </c>
      <c r="AL424" s="48">
        <v>1390</v>
      </c>
      <c r="AM424" s="48">
        <v>21703</v>
      </c>
      <c r="AN424" s="48">
        <v>11</v>
      </c>
      <c r="AO424" s="48">
        <v>4</v>
      </c>
      <c r="AP424" s="48">
        <v>12059</v>
      </c>
      <c r="AQ424" s="48">
        <v>0</v>
      </c>
      <c r="AR424" s="48">
        <v>312</v>
      </c>
      <c r="AS424" s="48">
        <v>55</v>
      </c>
      <c r="AT424" s="48">
        <v>12102</v>
      </c>
      <c r="AU424" s="48">
        <v>2393</v>
      </c>
      <c r="AV424" s="48">
        <v>3310</v>
      </c>
      <c r="AW424" s="48">
        <v>13829</v>
      </c>
      <c r="AX424" s="48">
        <v>3</v>
      </c>
      <c r="AY424" s="48">
        <v>0</v>
      </c>
      <c r="AZ424" s="48">
        <v>841</v>
      </c>
      <c r="BA424" s="48">
        <v>0</v>
      </c>
      <c r="BB424" s="48">
        <v>237</v>
      </c>
      <c r="BC424" s="48">
        <v>2169</v>
      </c>
      <c r="BD424" s="48">
        <v>0</v>
      </c>
      <c r="BE424" s="48">
        <v>0</v>
      </c>
      <c r="BF424" s="48">
        <v>9936</v>
      </c>
      <c r="BG424" s="48">
        <v>0</v>
      </c>
      <c r="BH424" s="48">
        <v>0</v>
      </c>
      <c r="BI424" s="48">
        <v>0</v>
      </c>
      <c r="BJ424" s="48">
        <v>7</v>
      </c>
      <c r="BK424" s="48">
        <v>6278</v>
      </c>
      <c r="BL424" s="48">
        <v>0</v>
      </c>
      <c r="BM424" s="48">
        <v>16</v>
      </c>
      <c r="BN424" s="48">
        <v>0</v>
      </c>
      <c r="BO424" s="48">
        <v>52072</v>
      </c>
      <c r="BP424" s="48">
        <v>107718</v>
      </c>
      <c r="BQ424" s="48">
        <v>1507</v>
      </c>
      <c r="BR424" s="48">
        <v>39</v>
      </c>
      <c r="BS424" s="48">
        <v>46918</v>
      </c>
      <c r="BT424" s="48">
        <v>1359</v>
      </c>
      <c r="BU424" s="48">
        <v>0</v>
      </c>
      <c r="BV424" s="48">
        <v>0</v>
      </c>
      <c r="BW424" s="48">
        <v>2</v>
      </c>
      <c r="BX424" s="48">
        <v>0</v>
      </c>
      <c r="BY424" s="48">
        <v>400</v>
      </c>
      <c r="BZ424" s="48">
        <v>0</v>
      </c>
      <c r="CA424" s="48">
        <v>29927</v>
      </c>
      <c r="CB424" s="48">
        <v>29124</v>
      </c>
      <c r="CC424" s="48">
        <v>139983</v>
      </c>
      <c r="CD424" s="48">
        <v>410676</v>
      </c>
      <c r="CE424" s="48">
        <v>66603</v>
      </c>
      <c r="CF424" s="48">
        <v>102046</v>
      </c>
      <c r="CG424" s="48">
        <v>0</v>
      </c>
      <c r="CH424" s="48">
        <v>83</v>
      </c>
      <c r="CI424" s="48">
        <v>1</v>
      </c>
      <c r="CJ424" s="48">
        <v>90</v>
      </c>
      <c r="CK424" s="48">
        <v>89373</v>
      </c>
      <c r="CL424" s="48">
        <v>74303</v>
      </c>
      <c r="CM424" s="48">
        <v>451783</v>
      </c>
      <c r="CN424" s="48">
        <v>94782</v>
      </c>
      <c r="CO424" s="48">
        <v>46</v>
      </c>
      <c r="CP424" s="48">
        <v>14927</v>
      </c>
      <c r="CQ424" s="48">
        <v>1734</v>
      </c>
      <c r="CR424" s="48">
        <v>29</v>
      </c>
      <c r="CS424" s="48">
        <v>3778</v>
      </c>
      <c r="CT424" s="48">
        <v>244</v>
      </c>
      <c r="CU424" s="48">
        <v>12444</v>
      </c>
      <c r="CV424" s="48">
        <v>0</v>
      </c>
      <c r="CW424" s="48">
        <v>9011</v>
      </c>
      <c r="CX424" s="48">
        <v>3424</v>
      </c>
      <c r="CY424" s="48">
        <v>0</v>
      </c>
      <c r="CZ424" s="48">
        <v>0</v>
      </c>
      <c r="DA424" s="48">
        <v>0</v>
      </c>
      <c r="DB424" s="48">
        <v>7</v>
      </c>
      <c r="DC424" s="48">
        <v>0</v>
      </c>
      <c r="DD424" s="48">
        <v>18</v>
      </c>
      <c r="DE424">
        <f t="shared" si="168"/>
        <v>2149725</v>
      </c>
      <c r="DG424" s="1">
        <f t="shared" si="157"/>
        <v>1757050</v>
      </c>
      <c r="DH424" s="1">
        <f t="shared" si="158"/>
        <v>301353</v>
      </c>
      <c r="DI424" s="1">
        <f t="shared" si="167"/>
        <v>2058403</v>
      </c>
      <c r="DJ424" s="1"/>
      <c r="DK424" s="1">
        <f t="shared" si="159"/>
        <v>86858</v>
      </c>
      <c r="DL424" s="1">
        <f t="shared" si="150"/>
        <v>149930</v>
      </c>
      <c r="DM424" s="1">
        <f t="shared" si="160"/>
        <v>15150</v>
      </c>
      <c r="DN424" s="1">
        <f t="shared" si="161"/>
        <v>47652</v>
      </c>
      <c r="DO424" s="1">
        <f t="shared" si="162"/>
        <v>650595</v>
      </c>
      <c r="DP424" s="1">
        <f t="shared" si="166"/>
        <v>156821</v>
      </c>
      <c r="DQ424" s="1">
        <f t="shared" si="153"/>
        <v>14198</v>
      </c>
      <c r="DR424" s="1">
        <f t="shared" si="163"/>
        <v>29207</v>
      </c>
      <c r="DS424" s="1">
        <f t="shared" si="164"/>
        <v>52072</v>
      </c>
      <c r="DT424" s="1">
        <f t="shared" si="138"/>
        <v>16216</v>
      </c>
      <c r="DU424" s="1">
        <f t="shared" si="136"/>
        <v>163676</v>
      </c>
      <c r="DV424" s="1">
        <f t="shared" si="139"/>
        <v>546611</v>
      </c>
      <c r="DW424" s="1">
        <f t="shared" si="137"/>
        <v>27371</v>
      </c>
      <c r="DX424" s="1">
        <f t="shared" si="154"/>
        <v>1956357</v>
      </c>
      <c r="DY424" s="1"/>
      <c r="DZ424" s="1">
        <f t="shared" si="155"/>
        <v>102046</v>
      </c>
      <c r="EA424" s="1">
        <f t="shared" si="165"/>
        <v>91322</v>
      </c>
      <c r="EB424" s="1"/>
      <c r="EC424" s="1">
        <f t="shared" si="156"/>
        <v>2149725</v>
      </c>
      <c r="ED424" s="1">
        <f t="shared" si="152"/>
        <v>0</v>
      </c>
      <c r="EE424" s="1"/>
    </row>
    <row r="425" spans="1:135" ht="14.4" x14ac:dyDescent="0.3">
      <c r="A425" s="51">
        <v>45139</v>
      </c>
      <c r="B425" s="50">
        <v>0</v>
      </c>
      <c r="C425" s="50">
        <v>0</v>
      </c>
      <c r="D425" s="50">
        <v>0</v>
      </c>
      <c r="E425" s="50">
        <v>0</v>
      </c>
      <c r="F425" s="50">
        <v>3932</v>
      </c>
      <c r="G425" s="50">
        <v>15575</v>
      </c>
      <c r="H425" s="50">
        <v>52179</v>
      </c>
      <c r="I425" s="50">
        <v>2973</v>
      </c>
      <c r="J425" s="50">
        <v>8755</v>
      </c>
      <c r="K425" s="50">
        <v>2231</v>
      </c>
      <c r="L425" s="50">
        <v>34793</v>
      </c>
      <c r="M425" s="50">
        <v>1072</v>
      </c>
      <c r="N425" s="50">
        <v>1332</v>
      </c>
      <c r="O425" s="50">
        <v>1558</v>
      </c>
      <c r="P425" s="50">
        <v>11167</v>
      </c>
      <c r="Q425" s="50">
        <v>289</v>
      </c>
      <c r="R425" s="50">
        <v>4569</v>
      </c>
      <c r="S425" s="50">
        <v>14948</v>
      </c>
      <c r="T425" s="50">
        <v>114</v>
      </c>
      <c r="U425" s="50">
        <v>4060</v>
      </c>
      <c r="V425" s="50">
        <v>90</v>
      </c>
      <c r="W425" s="50">
        <v>28366</v>
      </c>
      <c r="X425" s="50">
        <v>563</v>
      </c>
      <c r="Y425" s="50">
        <v>3</v>
      </c>
      <c r="Z425" s="50">
        <v>0</v>
      </c>
      <c r="AA425" s="50">
        <v>1</v>
      </c>
      <c r="AB425" s="50">
        <v>118</v>
      </c>
      <c r="AC425" s="50">
        <v>24</v>
      </c>
      <c r="AD425" s="50">
        <v>25</v>
      </c>
      <c r="AE425" s="50">
        <v>14</v>
      </c>
      <c r="AF425" s="50">
        <v>55</v>
      </c>
      <c r="AG425" s="50">
        <v>208</v>
      </c>
      <c r="AH425" s="50">
        <v>2428</v>
      </c>
      <c r="AI425" s="50">
        <v>4</v>
      </c>
      <c r="AJ425" s="50">
        <v>13527</v>
      </c>
      <c r="AK425" s="50">
        <v>110685</v>
      </c>
      <c r="AL425" s="50">
        <v>1386</v>
      </c>
      <c r="AM425" s="50">
        <v>21301</v>
      </c>
      <c r="AN425" s="50">
        <v>10</v>
      </c>
      <c r="AO425" s="50">
        <v>5</v>
      </c>
      <c r="AP425" s="50">
        <v>11610</v>
      </c>
      <c r="AQ425" s="50">
        <v>0</v>
      </c>
      <c r="AR425" s="50">
        <v>299</v>
      </c>
      <c r="AS425" s="50">
        <v>55</v>
      </c>
      <c r="AT425" s="50">
        <v>11969</v>
      </c>
      <c r="AU425" s="50">
        <v>2328</v>
      </c>
      <c r="AV425" s="50">
        <v>3219</v>
      </c>
      <c r="AW425" s="50">
        <v>13261</v>
      </c>
      <c r="AX425" s="50">
        <v>0</v>
      </c>
      <c r="AY425" s="50">
        <v>0</v>
      </c>
      <c r="AZ425" s="50">
        <v>811</v>
      </c>
      <c r="BA425" s="50">
        <v>0</v>
      </c>
      <c r="BB425" s="50">
        <v>219</v>
      </c>
      <c r="BC425" s="50">
        <v>2297</v>
      </c>
      <c r="BD425" s="50">
        <v>0</v>
      </c>
      <c r="BE425" s="50">
        <v>0</v>
      </c>
      <c r="BF425" s="50">
        <v>9885</v>
      </c>
      <c r="BG425" s="50">
        <v>0</v>
      </c>
      <c r="BH425" s="50">
        <v>0</v>
      </c>
      <c r="BI425" s="50">
        <v>0</v>
      </c>
      <c r="BJ425" s="50">
        <v>7</v>
      </c>
      <c r="BK425" s="50">
        <v>6138</v>
      </c>
      <c r="BL425" s="50">
        <v>0</v>
      </c>
      <c r="BM425" s="50">
        <v>17</v>
      </c>
      <c r="BN425" s="50">
        <v>0</v>
      </c>
      <c r="BO425" s="50">
        <v>51892</v>
      </c>
      <c r="BP425" s="50">
        <v>106748</v>
      </c>
      <c r="BQ425" s="50">
        <v>1664</v>
      </c>
      <c r="BR425" s="50">
        <v>39</v>
      </c>
      <c r="BS425" s="50">
        <v>46223</v>
      </c>
      <c r="BT425" s="50">
        <v>1505</v>
      </c>
      <c r="BU425" s="50">
        <v>0</v>
      </c>
      <c r="BV425" s="50">
        <v>0</v>
      </c>
      <c r="BW425" s="50">
        <v>2</v>
      </c>
      <c r="BX425" s="50">
        <v>0</v>
      </c>
      <c r="BY425" s="50">
        <v>375</v>
      </c>
      <c r="BZ425" s="50">
        <v>0</v>
      </c>
      <c r="CA425" s="50">
        <v>29520</v>
      </c>
      <c r="CB425" s="50">
        <v>28900</v>
      </c>
      <c r="CC425" s="50">
        <v>138656</v>
      </c>
      <c r="CD425" s="50">
        <v>405659</v>
      </c>
      <c r="CE425" s="50">
        <v>63758</v>
      </c>
      <c r="CF425" s="50">
        <v>99674</v>
      </c>
      <c r="CG425" s="50">
        <v>0</v>
      </c>
      <c r="CH425" s="50">
        <v>84</v>
      </c>
      <c r="CI425" s="50">
        <v>0</v>
      </c>
      <c r="CJ425" s="50">
        <v>86</v>
      </c>
      <c r="CK425" s="50">
        <v>87613</v>
      </c>
      <c r="CL425" s="50">
        <v>72551</v>
      </c>
      <c r="CM425" s="50">
        <v>448184</v>
      </c>
      <c r="CN425" s="50">
        <v>93152</v>
      </c>
      <c r="CO425" s="50">
        <v>43</v>
      </c>
      <c r="CP425" s="50">
        <v>14999</v>
      </c>
      <c r="CQ425" s="50">
        <v>1734</v>
      </c>
      <c r="CR425" s="50">
        <v>27</v>
      </c>
      <c r="CS425" s="50">
        <v>3780</v>
      </c>
      <c r="CT425" s="50">
        <v>229</v>
      </c>
      <c r="CU425" s="50">
        <v>13225</v>
      </c>
      <c r="CV425" s="50">
        <v>0</v>
      </c>
      <c r="CW425" s="50">
        <v>9369</v>
      </c>
      <c r="CX425" s="50">
        <v>3644</v>
      </c>
      <c r="CY425" s="50">
        <v>0</v>
      </c>
      <c r="CZ425" s="50">
        <v>0</v>
      </c>
      <c r="DA425" s="50">
        <v>0</v>
      </c>
      <c r="DB425" s="50">
        <v>7</v>
      </c>
      <c r="DC425" s="50">
        <v>0</v>
      </c>
      <c r="DD425" s="50">
        <v>18</v>
      </c>
      <c r="DE425">
        <f t="shared" si="168"/>
        <v>2123810</v>
      </c>
      <c r="DG425" s="1">
        <f t="shared" si="157"/>
        <v>1735909</v>
      </c>
      <c r="DH425" s="1">
        <f t="shared" si="158"/>
        <v>296915</v>
      </c>
      <c r="DI425" s="1">
        <f t="shared" si="167"/>
        <v>2032824</v>
      </c>
      <c r="DJ425" s="1"/>
      <c r="DK425" s="1">
        <f t="shared" si="159"/>
        <v>86078</v>
      </c>
      <c r="DL425" s="1">
        <f t="shared" si="150"/>
        <v>147896</v>
      </c>
      <c r="DM425" s="1">
        <f t="shared" si="160"/>
        <v>14948</v>
      </c>
      <c r="DN425" s="1">
        <f t="shared" si="161"/>
        <v>46232</v>
      </c>
      <c r="DO425" s="1">
        <f t="shared" si="162"/>
        <v>641269</v>
      </c>
      <c r="DP425" s="1">
        <f t="shared" si="166"/>
        <v>155285</v>
      </c>
      <c r="DQ425" s="1">
        <f t="shared" si="153"/>
        <v>14774</v>
      </c>
      <c r="DR425" s="1">
        <f t="shared" si="163"/>
        <v>28984</v>
      </c>
      <c r="DS425" s="1">
        <f t="shared" si="164"/>
        <v>51892</v>
      </c>
      <c r="DT425" s="1">
        <f t="shared" si="138"/>
        <v>16025</v>
      </c>
      <c r="DU425" s="1">
        <f t="shared" si="136"/>
        <v>160164</v>
      </c>
      <c r="DV425" s="1">
        <f t="shared" si="139"/>
        <v>541379</v>
      </c>
      <c r="DW425" s="1">
        <f t="shared" si="137"/>
        <v>28224</v>
      </c>
      <c r="DX425" s="1">
        <f t="shared" si="154"/>
        <v>1933150</v>
      </c>
      <c r="DY425" s="1"/>
      <c r="DZ425" s="1">
        <f t="shared" si="155"/>
        <v>99674</v>
      </c>
      <c r="EA425" s="1">
        <f t="shared" si="165"/>
        <v>90986</v>
      </c>
      <c r="EB425" s="1"/>
      <c r="EC425" s="1">
        <f t="shared" si="156"/>
        <v>2123810</v>
      </c>
      <c r="ED425" s="1">
        <f t="shared" si="152"/>
        <v>0</v>
      </c>
      <c r="EE425" s="1"/>
    </row>
    <row r="426" spans="1:135" ht="14.4" x14ac:dyDescent="0.3">
      <c r="A426" s="53">
        <v>45170</v>
      </c>
      <c r="B426" s="52">
        <v>0</v>
      </c>
      <c r="C426" s="52">
        <v>0</v>
      </c>
      <c r="D426" s="52">
        <v>0</v>
      </c>
      <c r="E426" s="52">
        <v>0</v>
      </c>
      <c r="F426" s="52">
        <v>3928</v>
      </c>
      <c r="G426" s="52">
        <v>16039</v>
      </c>
      <c r="H426" s="52">
        <v>51878</v>
      </c>
      <c r="I426" s="52">
        <v>3042</v>
      </c>
      <c r="J426" s="52">
        <v>8910</v>
      </c>
      <c r="K426" s="52">
        <v>2153</v>
      </c>
      <c r="L426" s="52">
        <v>34993</v>
      </c>
      <c r="M426" s="52">
        <v>1052</v>
      </c>
      <c r="N426" s="52">
        <v>1228</v>
      </c>
      <c r="O426" s="52">
        <v>1570</v>
      </c>
      <c r="P426" s="52">
        <v>11269</v>
      </c>
      <c r="Q426" s="52">
        <v>307</v>
      </c>
      <c r="R426" s="52">
        <v>4610</v>
      </c>
      <c r="S426" s="52">
        <v>15099</v>
      </c>
      <c r="T426" s="52">
        <v>105</v>
      </c>
      <c r="U426" s="52">
        <v>4093</v>
      </c>
      <c r="V426" s="52">
        <v>84</v>
      </c>
      <c r="W426" s="52">
        <v>27960</v>
      </c>
      <c r="X426" s="52">
        <v>555</v>
      </c>
      <c r="Y426" s="52">
        <v>3</v>
      </c>
      <c r="Z426" s="52">
        <v>0</v>
      </c>
      <c r="AA426" s="52">
        <v>2</v>
      </c>
      <c r="AB426" s="52">
        <v>107</v>
      </c>
      <c r="AC426" s="52">
        <v>24</v>
      </c>
      <c r="AD426" s="52">
        <v>24</v>
      </c>
      <c r="AE426" s="52">
        <v>14</v>
      </c>
      <c r="AF426" s="52">
        <v>54</v>
      </c>
      <c r="AG426" s="52">
        <v>180</v>
      </c>
      <c r="AH426" s="52">
        <v>2428</v>
      </c>
      <c r="AI426" s="52">
        <v>4</v>
      </c>
      <c r="AJ426" s="52">
        <v>12959</v>
      </c>
      <c r="AK426" s="52">
        <v>109794</v>
      </c>
      <c r="AL426" s="52">
        <v>1378</v>
      </c>
      <c r="AM426" s="52">
        <v>21507</v>
      </c>
      <c r="AN426" s="52">
        <v>10</v>
      </c>
      <c r="AO426" s="52">
        <v>5</v>
      </c>
      <c r="AP426" s="52">
        <v>11638</v>
      </c>
      <c r="AQ426" s="52">
        <v>0</v>
      </c>
      <c r="AR426" s="52">
        <v>291</v>
      </c>
      <c r="AS426" s="52">
        <v>53</v>
      </c>
      <c r="AT426" s="52">
        <v>11924</v>
      </c>
      <c r="AU426" s="52">
        <v>2322</v>
      </c>
      <c r="AV426" s="52">
        <v>3164</v>
      </c>
      <c r="AW426" s="52">
        <v>13283</v>
      </c>
      <c r="AX426" s="52">
        <v>3</v>
      </c>
      <c r="AY426" s="52">
        <v>0</v>
      </c>
      <c r="AZ426" s="52">
        <v>779</v>
      </c>
      <c r="BA426" s="52">
        <v>0</v>
      </c>
      <c r="BB426" s="52">
        <v>199</v>
      </c>
      <c r="BC426" s="52">
        <v>2340</v>
      </c>
      <c r="BD426" s="52">
        <v>0</v>
      </c>
      <c r="BE426" s="52">
        <v>0</v>
      </c>
      <c r="BF426" s="52">
        <v>9822</v>
      </c>
      <c r="BG426" s="52">
        <v>0</v>
      </c>
      <c r="BH426" s="52">
        <v>0</v>
      </c>
      <c r="BI426" s="52">
        <v>0</v>
      </c>
      <c r="BJ426" s="52">
        <v>7</v>
      </c>
      <c r="BK426" s="52">
        <v>6026</v>
      </c>
      <c r="BL426" s="52">
        <v>0</v>
      </c>
      <c r="BM426" s="52">
        <v>23</v>
      </c>
      <c r="BN426" s="52">
        <v>0</v>
      </c>
      <c r="BO426" s="52">
        <v>52078</v>
      </c>
      <c r="BP426" s="52">
        <v>105642</v>
      </c>
      <c r="BQ426" s="52">
        <v>1863</v>
      </c>
      <c r="BR426" s="52">
        <v>39</v>
      </c>
      <c r="BS426" s="52">
        <v>45221</v>
      </c>
      <c r="BT426" s="52">
        <v>1741</v>
      </c>
      <c r="BU426" s="52">
        <v>1</v>
      </c>
      <c r="BV426" s="52">
        <v>0</v>
      </c>
      <c r="BW426" s="52">
        <v>2</v>
      </c>
      <c r="BX426" s="52">
        <v>0</v>
      </c>
      <c r="BY426" s="52">
        <v>350</v>
      </c>
      <c r="BZ426" s="52">
        <v>0</v>
      </c>
      <c r="CA426" s="52">
        <v>29396</v>
      </c>
      <c r="CB426" s="52">
        <v>28802</v>
      </c>
      <c r="CC426" s="52">
        <v>137019</v>
      </c>
      <c r="CD426" s="52">
        <v>398327</v>
      </c>
      <c r="CE426" s="52">
        <v>60721</v>
      </c>
      <c r="CF426" s="52">
        <v>97114</v>
      </c>
      <c r="CG426" s="52">
        <v>0</v>
      </c>
      <c r="CH426" s="52">
        <v>88</v>
      </c>
      <c r="CI426" s="52">
        <v>0</v>
      </c>
      <c r="CJ426" s="52">
        <v>71</v>
      </c>
      <c r="CK426" s="52">
        <v>85426</v>
      </c>
      <c r="CL426" s="52">
        <v>70530</v>
      </c>
      <c r="CM426" s="52">
        <v>444203</v>
      </c>
      <c r="CN426" s="52">
        <v>91298</v>
      </c>
      <c r="CO426" s="52">
        <v>42</v>
      </c>
      <c r="CP426" s="52">
        <v>14855</v>
      </c>
      <c r="CQ426" s="52">
        <v>1748</v>
      </c>
      <c r="CR426" s="52">
        <v>29</v>
      </c>
      <c r="CS426" s="52">
        <v>3829</v>
      </c>
      <c r="CT426" s="52">
        <v>226</v>
      </c>
      <c r="CU426" s="52">
        <v>14044</v>
      </c>
      <c r="CV426" s="52">
        <v>1</v>
      </c>
      <c r="CW426" s="52">
        <v>9907</v>
      </c>
      <c r="CX426" s="52">
        <v>3918</v>
      </c>
      <c r="CY426" s="52">
        <v>0</v>
      </c>
      <c r="CZ426" s="52">
        <v>0</v>
      </c>
      <c r="DA426" s="52">
        <v>0</v>
      </c>
      <c r="DB426" s="52">
        <v>7</v>
      </c>
      <c r="DC426" s="52">
        <v>0</v>
      </c>
      <c r="DD426" s="52">
        <v>18</v>
      </c>
      <c r="DE426">
        <f t="shared" si="168"/>
        <v>2097773</v>
      </c>
      <c r="DG426" s="1">
        <f t="shared" si="157"/>
        <v>1710920</v>
      </c>
      <c r="DH426" s="1">
        <f t="shared" si="158"/>
        <v>295620</v>
      </c>
      <c r="DI426" s="1">
        <f t="shared" si="167"/>
        <v>2006540</v>
      </c>
      <c r="DJ426" s="1"/>
      <c r="DK426" s="1">
        <f t="shared" si="159"/>
        <v>86043</v>
      </c>
      <c r="DL426" s="1">
        <f t="shared" si="150"/>
        <v>146214</v>
      </c>
      <c r="DM426" s="1">
        <f t="shared" si="160"/>
        <v>15099</v>
      </c>
      <c r="DN426" s="1">
        <f t="shared" si="161"/>
        <v>46487</v>
      </c>
      <c r="DO426" s="1">
        <f t="shared" si="162"/>
        <v>629537</v>
      </c>
      <c r="DP426" s="1">
        <f t="shared" si="166"/>
        <v>153226</v>
      </c>
      <c r="DQ426" s="1">
        <f t="shared" si="153"/>
        <v>15602</v>
      </c>
      <c r="DR426" s="1">
        <f t="shared" si="163"/>
        <v>28890</v>
      </c>
      <c r="DS426" s="1">
        <f t="shared" si="164"/>
        <v>52079</v>
      </c>
      <c r="DT426" s="1">
        <f t="shared" si="138"/>
        <v>15850</v>
      </c>
      <c r="DU426" s="1">
        <f t="shared" si="136"/>
        <v>155956</v>
      </c>
      <c r="DV426" s="1">
        <f t="shared" si="139"/>
        <v>535543</v>
      </c>
      <c r="DW426" s="1">
        <f t="shared" si="137"/>
        <v>28900</v>
      </c>
      <c r="DX426" s="1">
        <f t="shared" si="154"/>
        <v>1909426</v>
      </c>
      <c r="DY426" s="1"/>
      <c r="DZ426" s="1">
        <f t="shared" si="155"/>
        <v>97114</v>
      </c>
      <c r="EA426" s="1">
        <f t="shared" si="165"/>
        <v>91233</v>
      </c>
      <c r="EB426" s="1"/>
      <c r="EC426" s="1">
        <f t="shared" si="156"/>
        <v>2097773</v>
      </c>
      <c r="ED426" s="1">
        <f t="shared" si="152"/>
        <v>0</v>
      </c>
      <c r="EE426" s="1"/>
    </row>
    <row r="427" spans="1:135" ht="14.4" x14ac:dyDescent="0.3">
      <c r="A427" s="55">
        <v>45200</v>
      </c>
      <c r="B427" s="54">
        <v>0</v>
      </c>
      <c r="C427" s="54">
        <v>0</v>
      </c>
      <c r="D427" s="54">
        <v>0</v>
      </c>
      <c r="E427" s="54">
        <v>0</v>
      </c>
      <c r="F427" s="54">
        <v>4003</v>
      </c>
      <c r="G427" s="54">
        <v>17047</v>
      </c>
      <c r="H427" s="54">
        <v>55378</v>
      </c>
      <c r="I427" s="54">
        <v>3173</v>
      </c>
      <c r="J427" s="54">
        <v>9391</v>
      </c>
      <c r="K427" s="54">
        <v>2242</v>
      </c>
      <c r="L427" s="54">
        <v>35224</v>
      </c>
      <c r="M427" s="54">
        <v>1051</v>
      </c>
      <c r="N427" s="54">
        <v>1225</v>
      </c>
      <c r="O427" s="54">
        <v>1599</v>
      </c>
      <c r="P427" s="54">
        <v>11353</v>
      </c>
      <c r="Q427" s="54">
        <v>315</v>
      </c>
      <c r="R427" s="54">
        <v>4697</v>
      </c>
      <c r="S427" s="54">
        <v>15419</v>
      </c>
      <c r="T427" s="54">
        <v>98</v>
      </c>
      <c r="U427" s="54">
        <v>4172</v>
      </c>
      <c r="V427" s="54">
        <v>77</v>
      </c>
      <c r="W427" s="54">
        <v>28128</v>
      </c>
      <c r="X427" s="54">
        <v>553</v>
      </c>
      <c r="Y427" s="54">
        <v>3</v>
      </c>
      <c r="Z427" s="54">
        <v>0</v>
      </c>
      <c r="AA427" s="54">
        <v>2</v>
      </c>
      <c r="AB427" s="54">
        <v>103</v>
      </c>
      <c r="AC427" s="54">
        <v>25</v>
      </c>
      <c r="AD427" s="54">
        <v>23</v>
      </c>
      <c r="AE427" s="54">
        <v>15</v>
      </c>
      <c r="AF427" s="54">
        <v>54</v>
      </c>
      <c r="AG427" s="54">
        <v>162</v>
      </c>
      <c r="AH427" s="54">
        <v>2455</v>
      </c>
      <c r="AI427" s="54">
        <v>4</v>
      </c>
      <c r="AJ427" s="54">
        <v>12821</v>
      </c>
      <c r="AK427" s="54">
        <v>109426</v>
      </c>
      <c r="AL427" s="54">
        <v>1383</v>
      </c>
      <c r="AM427" s="54">
        <v>21814</v>
      </c>
      <c r="AN427" s="54">
        <v>11</v>
      </c>
      <c r="AO427" s="54">
        <v>4</v>
      </c>
      <c r="AP427" s="54">
        <v>11858</v>
      </c>
      <c r="AQ427" s="54">
        <v>0</v>
      </c>
      <c r="AR427" s="54">
        <v>283</v>
      </c>
      <c r="AS427" s="54">
        <v>52</v>
      </c>
      <c r="AT427" s="54">
        <v>12046</v>
      </c>
      <c r="AU427" s="54">
        <v>2346</v>
      </c>
      <c r="AV427" s="54">
        <v>3205</v>
      </c>
      <c r="AW427" s="54">
        <v>13397</v>
      </c>
      <c r="AX427" s="54">
        <v>3</v>
      </c>
      <c r="AY427" s="54">
        <v>2</v>
      </c>
      <c r="AZ427" s="54">
        <v>782</v>
      </c>
      <c r="BA427" s="54">
        <v>0</v>
      </c>
      <c r="BB427" s="54">
        <v>179</v>
      </c>
      <c r="BC427" s="54">
        <v>2365</v>
      </c>
      <c r="BD427" s="54">
        <v>0</v>
      </c>
      <c r="BE427" s="54">
        <v>0</v>
      </c>
      <c r="BF427" s="54">
        <v>9785</v>
      </c>
      <c r="BG427" s="54">
        <v>0</v>
      </c>
      <c r="BH427" s="54">
        <v>0</v>
      </c>
      <c r="BI427" s="54">
        <v>0</v>
      </c>
      <c r="BJ427" s="54">
        <v>8</v>
      </c>
      <c r="BK427" s="54">
        <v>5973</v>
      </c>
      <c r="BL427" s="54">
        <v>0</v>
      </c>
      <c r="BM427" s="54">
        <v>27</v>
      </c>
      <c r="BN427" s="54">
        <v>0</v>
      </c>
      <c r="BO427" s="54">
        <v>53291</v>
      </c>
      <c r="BP427" s="54">
        <v>106984</v>
      </c>
      <c r="BQ427" s="54">
        <v>2206</v>
      </c>
      <c r="BR427" s="54">
        <v>36</v>
      </c>
      <c r="BS427" s="54">
        <v>46013</v>
      </c>
      <c r="BT427" s="54">
        <v>2017</v>
      </c>
      <c r="BU427" s="54">
        <v>1</v>
      </c>
      <c r="BV427" s="54">
        <v>0</v>
      </c>
      <c r="BW427" s="54">
        <v>1</v>
      </c>
      <c r="BX427" s="54">
        <v>0</v>
      </c>
      <c r="BY427" s="54">
        <v>359</v>
      </c>
      <c r="BZ427" s="54">
        <v>0</v>
      </c>
      <c r="CA427" s="54">
        <v>30169</v>
      </c>
      <c r="CB427" s="54">
        <v>29823</v>
      </c>
      <c r="CC427" s="54">
        <v>138906</v>
      </c>
      <c r="CD427" s="54">
        <v>404870</v>
      </c>
      <c r="CE427" s="54">
        <v>61658</v>
      </c>
      <c r="CF427" s="54">
        <v>100486</v>
      </c>
      <c r="CG427" s="54">
        <v>0</v>
      </c>
      <c r="CH427" s="54">
        <v>102</v>
      </c>
      <c r="CI427" s="54">
        <v>0</v>
      </c>
      <c r="CJ427" s="54">
        <v>71</v>
      </c>
      <c r="CK427" s="54">
        <v>86866</v>
      </c>
      <c r="CL427" s="54">
        <v>71761</v>
      </c>
      <c r="CM427" s="54">
        <v>455177</v>
      </c>
      <c r="CN427" s="54">
        <v>93289</v>
      </c>
      <c r="CO427" s="54">
        <v>40</v>
      </c>
      <c r="CP427" s="54">
        <v>14915</v>
      </c>
      <c r="CQ427" s="54">
        <v>1755</v>
      </c>
      <c r="CR427" s="54">
        <v>40</v>
      </c>
      <c r="CS427" s="54">
        <v>3787</v>
      </c>
      <c r="CT427" s="54">
        <v>233</v>
      </c>
      <c r="CU427" s="54">
        <v>14919</v>
      </c>
      <c r="CV427" s="54">
        <v>0</v>
      </c>
      <c r="CW427" s="54">
        <v>10525</v>
      </c>
      <c r="CX427" s="54">
        <v>4200</v>
      </c>
      <c r="CY427" s="54">
        <v>0</v>
      </c>
      <c r="CZ427" s="54">
        <v>0</v>
      </c>
      <c r="DA427" s="54">
        <v>0</v>
      </c>
      <c r="DB427" s="54">
        <v>7</v>
      </c>
      <c r="DC427" s="54">
        <v>0</v>
      </c>
      <c r="DD427" s="54">
        <v>18</v>
      </c>
      <c r="DE427">
        <f t="shared" si="168"/>
        <v>2140261</v>
      </c>
      <c r="DG427" s="1">
        <f t="shared" si="157"/>
        <v>1746848</v>
      </c>
      <c r="DH427" s="1">
        <f t="shared" si="158"/>
        <v>296934</v>
      </c>
      <c r="DI427" s="1">
        <f t="shared" si="167"/>
        <v>2043782</v>
      </c>
      <c r="DJ427" s="1"/>
      <c r="DK427" s="1">
        <f t="shared" si="159"/>
        <v>86714</v>
      </c>
      <c r="DL427" s="1">
        <f t="shared" si="150"/>
        <v>145879</v>
      </c>
      <c r="DM427" s="1">
        <f t="shared" si="160"/>
        <v>15419</v>
      </c>
      <c r="DN427" s="1">
        <f t="shared" si="161"/>
        <v>47127</v>
      </c>
      <c r="DO427" s="1">
        <f t="shared" si="162"/>
        <v>640303</v>
      </c>
      <c r="DP427" s="1">
        <f t="shared" si="166"/>
        <v>155391</v>
      </c>
      <c r="DQ427" s="1">
        <f t="shared" si="153"/>
        <v>16520</v>
      </c>
      <c r="DR427" s="1">
        <f t="shared" si="163"/>
        <v>29925</v>
      </c>
      <c r="DS427" s="1">
        <f t="shared" si="164"/>
        <v>53292</v>
      </c>
      <c r="DT427" s="1">
        <f t="shared" si="138"/>
        <v>15759</v>
      </c>
      <c r="DU427" s="1">
        <f t="shared" si="136"/>
        <v>158627</v>
      </c>
      <c r="DV427" s="1">
        <f t="shared" si="139"/>
        <v>548506</v>
      </c>
      <c r="DW427" s="1">
        <f t="shared" si="137"/>
        <v>29834</v>
      </c>
      <c r="DX427" s="1">
        <f t="shared" si="154"/>
        <v>1943296</v>
      </c>
      <c r="DY427" s="1"/>
      <c r="DZ427" s="1">
        <f t="shared" si="155"/>
        <v>100486</v>
      </c>
      <c r="EA427" s="1">
        <f t="shared" si="165"/>
        <v>96479</v>
      </c>
      <c r="EB427" s="1"/>
      <c r="EC427" s="1">
        <f t="shared" si="156"/>
        <v>2140261</v>
      </c>
      <c r="ED427" s="1">
        <f t="shared" si="152"/>
        <v>0</v>
      </c>
      <c r="EE427" s="1"/>
    </row>
    <row r="428" spans="1:135" ht="14.4" x14ac:dyDescent="0.3">
      <c r="A428" s="56">
        <v>45231</v>
      </c>
      <c r="B428" s="57">
        <v>0</v>
      </c>
      <c r="C428" s="57">
        <v>0</v>
      </c>
      <c r="D428" s="57">
        <v>0</v>
      </c>
      <c r="E428" s="57">
        <v>0</v>
      </c>
      <c r="F428" s="57">
        <v>4047</v>
      </c>
      <c r="G428" s="57">
        <v>17563</v>
      </c>
      <c r="H428" s="57">
        <v>55462</v>
      </c>
      <c r="I428" s="57">
        <v>3323</v>
      </c>
      <c r="J428" s="57">
        <v>9757</v>
      </c>
      <c r="K428" s="57">
        <v>2279</v>
      </c>
      <c r="L428" s="57">
        <v>35579</v>
      </c>
      <c r="M428" s="57">
        <v>1062</v>
      </c>
      <c r="N428" s="57">
        <v>1279</v>
      </c>
      <c r="O428" s="57">
        <v>1612</v>
      </c>
      <c r="P428" s="57">
        <v>11571</v>
      </c>
      <c r="Q428" s="57">
        <v>329</v>
      </c>
      <c r="R428" s="57">
        <v>4795</v>
      </c>
      <c r="S428" s="57">
        <v>15615</v>
      </c>
      <c r="T428" s="57">
        <v>99</v>
      </c>
      <c r="U428" s="57">
        <v>4243</v>
      </c>
      <c r="V428" s="57">
        <v>78</v>
      </c>
      <c r="W428" s="57">
        <v>28245</v>
      </c>
      <c r="X428" s="57">
        <v>553</v>
      </c>
      <c r="Y428" s="57">
        <v>4</v>
      </c>
      <c r="Z428" s="57">
        <v>2</v>
      </c>
      <c r="AA428" s="57">
        <v>1</v>
      </c>
      <c r="AB428" s="57">
        <v>101</v>
      </c>
      <c r="AC428" s="57">
        <v>25</v>
      </c>
      <c r="AD428" s="57">
        <v>23</v>
      </c>
      <c r="AE428" s="57">
        <v>14</v>
      </c>
      <c r="AF428" s="57">
        <v>54</v>
      </c>
      <c r="AG428" s="57">
        <v>152</v>
      </c>
      <c r="AH428" s="57">
        <v>2489</v>
      </c>
      <c r="AI428" s="57">
        <v>4</v>
      </c>
      <c r="AJ428" s="57">
        <v>12631</v>
      </c>
      <c r="AK428" s="57">
        <v>109029</v>
      </c>
      <c r="AL428" s="57">
        <v>1387</v>
      </c>
      <c r="AM428" s="57">
        <v>22170</v>
      </c>
      <c r="AN428" s="57">
        <v>9</v>
      </c>
      <c r="AO428" s="57">
        <v>4</v>
      </c>
      <c r="AP428" s="57">
        <v>12081</v>
      </c>
      <c r="AQ428" s="57">
        <v>0</v>
      </c>
      <c r="AR428" s="57">
        <v>282</v>
      </c>
      <c r="AS428" s="57">
        <v>53</v>
      </c>
      <c r="AT428" s="57">
        <v>12085</v>
      </c>
      <c r="AU428" s="57">
        <v>2345</v>
      </c>
      <c r="AV428" s="57">
        <v>3214</v>
      </c>
      <c r="AW428" s="57">
        <v>13465</v>
      </c>
      <c r="AX428" s="57">
        <v>4</v>
      </c>
      <c r="AY428" s="57">
        <v>2</v>
      </c>
      <c r="AZ428" s="57">
        <v>770</v>
      </c>
      <c r="BA428" s="57">
        <v>0</v>
      </c>
      <c r="BB428" s="57">
        <v>173</v>
      </c>
      <c r="BC428" s="57">
        <v>2396</v>
      </c>
      <c r="BD428" s="57">
        <v>0</v>
      </c>
      <c r="BE428" s="57">
        <v>0</v>
      </c>
      <c r="BF428" s="57">
        <v>9728</v>
      </c>
      <c r="BG428" s="57">
        <v>0</v>
      </c>
      <c r="BH428" s="57">
        <v>0</v>
      </c>
      <c r="BI428" s="57">
        <v>0</v>
      </c>
      <c r="BJ428" s="57">
        <v>8</v>
      </c>
      <c r="BK428" s="57">
        <v>5946</v>
      </c>
      <c r="BL428" s="57">
        <v>0</v>
      </c>
      <c r="BM428" s="57">
        <v>16</v>
      </c>
      <c r="BN428" s="57">
        <v>0</v>
      </c>
      <c r="BO428" s="57">
        <v>54147</v>
      </c>
      <c r="BP428" s="57">
        <v>105394</v>
      </c>
      <c r="BQ428" s="57">
        <v>2427</v>
      </c>
      <c r="BR428" s="57">
        <v>34</v>
      </c>
      <c r="BS428" s="57">
        <v>44969</v>
      </c>
      <c r="BT428" s="57">
        <v>2201</v>
      </c>
      <c r="BU428" s="57">
        <v>0</v>
      </c>
      <c r="BV428" s="57">
        <v>0</v>
      </c>
      <c r="BW428" s="57">
        <v>1</v>
      </c>
      <c r="BX428" s="57">
        <v>0</v>
      </c>
      <c r="BY428" s="57">
        <v>365</v>
      </c>
      <c r="BZ428" s="57">
        <v>0</v>
      </c>
      <c r="CA428" s="57">
        <v>29697</v>
      </c>
      <c r="CB428" s="57">
        <v>29975</v>
      </c>
      <c r="CC428" s="57">
        <v>136593</v>
      </c>
      <c r="CD428" s="57">
        <v>395326</v>
      </c>
      <c r="CE428" s="57">
        <v>61246</v>
      </c>
      <c r="CF428" s="57">
        <v>97861</v>
      </c>
      <c r="CG428" s="57">
        <v>0</v>
      </c>
      <c r="CH428" s="57">
        <v>114</v>
      </c>
      <c r="CI428" s="57">
        <v>0</v>
      </c>
      <c r="CJ428" s="57">
        <v>71</v>
      </c>
      <c r="CK428" s="57">
        <v>83963</v>
      </c>
      <c r="CL428" s="57">
        <v>69481</v>
      </c>
      <c r="CM428" s="57">
        <v>448801</v>
      </c>
      <c r="CN428" s="57">
        <v>89004</v>
      </c>
      <c r="CO428" s="57">
        <v>53</v>
      </c>
      <c r="CP428" s="57">
        <v>14940</v>
      </c>
      <c r="CQ428" s="57">
        <v>1736</v>
      </c>
      <c r="CR428" s="57">
        <v>38</v>
      </c>
      <c r="CS428" s="57">
        <v>3819</v>
      </c>
      <c r="CT428" s="57">
        <v>224</v>
      </c>
      <c r="CU428" s="57">
        <v>15838</v>
      </c>
      <c r="CV428" s="57">
        <v>0</v>
      </c>
      <c r="CW428" s="57">
        <v>11072</v>
      </c>
      <c r="CX428" s="57">
        <v>4462</v>
      </c>
      <c r="CY428" s="57">
        <v>0</v>
      </c>
      <c r="CZ428" s="57">
        <v>0</v>
      </c>
      <c r="DA428" s="57">
        <v>0</v>
      </c>
      <c r="DB428" s="57">
        <v>7</v>
      </c>
      <c r="DC428" s="57">
        <v>0</v>
      </c>
      <c r="DD428" s="57">
        <v>18</v>
      </c>
      <c r="DE428">
        <f t="shared" si="168"/>
        <v>2112010</v>
      </c>
      <c r="DG428" s="1">
        <f t="shared" si="157"/>
        <v>1716135</v>
      </c>
      <c r="DH428" s="1">
        <f t="shared" si="158"/>
        <v>298122</v>
      </c>
      <c r="DI428" s="1">
        <f t="shared" si="167"/>
        <v>2014257</v>
      </c>
      <c r="DJ428" s="1"/>
      <c r="DK428" s="1">
        <f t="shared" si="159"/>
        <v>87613</v>
      </c>
      <c r="DL428" s="1">
        <f t="shared" si="150"/>
        <v>145344</v>
      </c>
      <c r="DM428" s="1">
        <f t="shared" si="160"/>
        <v>15615</v>
      </c>
      <c r="DN428" s="1">
        <f t="shared" si="161"/>
        <v>47774</v>
      </c>
      <c r="DO428" s="1">
        <f t="shared" si="162"/>
        <v>627972</v>
      </c>
      <c r="DP428" s="1">
        <f t="shared" si="166"/>
        <v>152777</v>
      </c>
      <c r="DQ428" s="1">
        <f t="shared" si="153"/>
        <v>17308</v>
      </c>
      <c r="DR428" s="1">
        <f t="shared" si="163"/>
        <v>30091</v>
      </c>
      <c r="DS428" s="1">
        <f t="shared" si="164"/>
        <v>54147</v>
      </c>
      <c r="DT428" s="1">
        <f t="shared" si="138"/>
        <v>15675</v>
      </c>
      <c r="DU428" s="1">
        <f t="shared" si="136"/>
        <v>153444</v>
      </c>
      <c r="DV428" s="1">
        <f t="shared" si="139"/>
        <v>537858</v>
      </c>
      <c r="DW428" s="1">
        <f t="shared" si="137"/>
        <v>30778</v>
      </c>
      <c r="DX428" s="1">
        <f t="shared" si="154"/>
        <v>1916396</v>
      </c>
      <c r="DY428" s="1"/>
      <c r="DZ428" s="1">
        <f t="shared" si="155"/>
        <v>97861</v>
      </c>
      <c r="EA428" s="1">
        <f t="shared" si="165"/>
        <v>97753</v>
      </c>
      <c r="EB428" s="1"/>
      <c r="EC428" s="1">
        <f t="shared" si="156"/>
        <v>2112010</v>
      </c>
      <c r="ED428" s="1">
        <f t="shared" si="152"/>
        <v>0</v>
      </c>
      <c r="EE428" s="1"/>
    </row>
    <row r="429" spans="1:135" ht="14.4" x14ac:dyDescent="0.3">
      <c r="A429" s="72">
        <v>45261</v>
      </c>
      <c r="B429" s="71">
        <v>0</v>
      </c>
      <c r="C429" s="71">
        <v>0</v>
      </c>
      <c r="D429" s="71">
        <v>0</v>
      </c>
      <c r="E429" s="71">
        <v>0</v>
      </c>
      <c r="F429" s="71">
        <v>4060</v>
      </c>
      <c r="G429" s="71">
        <v>18393</v>
      </c>
      <c r="H429" s="71">
        <v>57242</v>
      </c>
      <c r="I429" s="71">
        <v>3488</v>
      </c>
      <c r="J429" s="71">
        <v>10321</v>
      </c>
      <c r="K429" s="71">
        <v>2203</v>
      </c>
      <c r="L429" s="71">
        <v>35634</v>
      </c>
      <c r="M429" s="71">
        <v>1062</v>
      </c>
      <c r="N429" s="71">
        <v>1291</v>
      </c>
      <c r="O429" s="71">
        <v>1578</v>
      </c>
      <c r="P429" s="71">
        <v>11455</v>
      </c>
      <c r="Q429" s="71">
        <v>327</v>
      </c>
      <c r="R429" s="71">
        <v>4778</v>
      </c>
      <c r="S429" s="71">
        <v>15849</v>
      </c>
      <c r="T429" s="71">
        <v>92</v>
      </c>
      <c r="U429" s="71">
        <v>4225</v>
      </c>
      <c r="V429" s="71">
        <v>74</v>
      </c>
      <c r="W429" s="71">
        <v>28226</v>
      </c>
      <c r="X429" s="71">
        <v>548</v>
      </c>
      <c r="Y429" s="71">
        <v>4</v>
      </c>
      <c r="Z429" s="71">
        <v>1</v>
      </c>
      <c r="AA429" s="71">
        <v>2</v>
      </c>
      <c r="AB429" s="71">
        <v>96</v>
      </c>
      <c r="AC429" s="71">
        <v>25</v>
      </c>
      <c r="AD429" s="71">
        <v>23</v>
      </c>
      <c r="AE429" s="71">
        <v>15</v>
      </c>
      <c r="AF429" s="71">
        <v>55</v>
      </c>
      <c r="AG429" s="71">
        <v>145</v>
      </c>
      <c r="AH429" s="71">
        <v>2479</v>
      </c>
      <c r="AI429" s="71">
        <v>3</v>
      </c>
      <c r="AJ429" s="71">
        <v>12412</v>
      </c>
      <c r="AK429" s="71">
        <v>108462</v>
      </c>
      <c r="AL429" s="71">
        <v>1376</v>
      </c>
      <c r="AM429" s="71">
        <v>22349</v>
      </c>
      <c r="AN429" s="71">
        <v>9</v>
      </c>
      <c r="AO429" s="71">
        <v>4</v>
      </c>
      <c r="AP429" s="71">
        <v>12140</v>
      </c>
      <c r="AQ429" s="71">
        <v>0</v>
      </c>
      <c r="AR429" s="71">
        <v>279</v>
      </c>
      <c r="AS429" s="71">
        <v>51</v>
      </c>
      <c r="AT429" s="71">
        <v>12087</v>
      </c>
      <c r="AU429" s="71">
        <v>2338</v>
      </c>
      <c r="AV429" s="71">
        <v>3194</v>
      </c>
      <c r="AW429" s="71">
        <v>13455</v>
      </c>
      <c r="AX429" s="71">
        <v>4</v>
      </c>
      <c r="AY429" s="71">
        <v>1</v>
      </c>
      <c r="AZ429" s="71">
        <v>774</v>
      </c>
      <c r="BA429" s="71">
        <v>0</v>
      </c>
      <c r="BB429" s="71">
        <v>173</v>
      </c>
      <c r="BC429" s="71">
        <v>2494</v>
      </c>
      <c r="BD429" s="71">
        <v>0</v>
      </c>
      <c r="BE429" s="71">
        <v>0</v>
      </c>
      <c r="BF429" s="71">
        <v>9681</v>
      </c>
      <c r="BG429" s="71">
        <v>0</v>
      </c>
      <c r="BH429" s="71">
        <v>0</v>
      </c>
      <c r="BI429" s="71">
        <v>0</v>
      </c>
      <c r="BJ429" s="71">
        <v>8</v>
      </c>
      <c r="BK429" s="71">
        <v>5880</v>
      </c>
      <c r="BL429" s="71">
        <v>0</v>
      </c>
      <c r="BM429" s="71">
        <v>15</v>
      </c>
      <c r="BN429" s="71">
        <v>0</v>
      </c>
      <c r="BO429" s="71">
        <v>54999</v>
      </c>
      <c r="BP429" s="71">
        <v>104877</v>
      </c>
      <c r="BQ429" s="71">
        <v>2639</v>
      </c>
      <c r="BR429" s="71">
        <v>35</v>
      </c>
      <c r="BS429" s="71">
        <v>44523</v>
      </c>
      <c r="BT429" s="71">
        <v>2340</v>
      </c>
      <c r="BU429" s="71">
        <v>0</v>
      </c>
      <c r="BV429" s="71">
        <v>0</v>
      </c>
      <c r="BW429" s="71">
        <v>1</v>
      </c>
      <c r="BX429" s="71">
        <v>0</v>
      </c>
      <c r="BY429" s="71">
        <v>372</v>
      </c>
      <c r="BZ429" s="71">
        <v>0</v>
      </c>
      <c r="CA429" s="71">
        <v>29578</v>
      </c>
      <c r="CB429" s="71">
        <v>30090</v>
      </c>
      <c r="CC429" s="71">
        <v>135701</v>
      </c>
      <c r="CD429" s="71">
        <v>391371</v>
      </c>
      <c r="CE429" s="71">
        <v>59760</v>
      </c>
      <c r="CF429" s="71">
        <v>97085</v>
      </c>
      <c r="CG429" s="71">
        <v>0</v>
      </c>
      <c r="CH429" s="71">
        <v>115</v>
      </c>
      <c r="CI429" s="71">
        <v>0</v>
      </c>
      <c r="CJ429" s="71">
        <v>71</v>
      </c>
      <c r="CK429" s="71">
        <v>82990</v>
      </c>
      <c r="CL429" s="71">
        <v>68517</v>
      </c>
      <c r="CM429" s="71">
        <v>448663</v>
      </c>
      <c r="CN429" s="71">
        <v>87493</v>
      </c>
      <c r="CO429" s="71">
        <v>46</v>
      </c>
      <c r="CP429" s="71">
        <v>14986</v>
      </c>
      <c r="CQ429" s="71">
        <v>1674</v>
      </c>
      <c r="CR429" s="71">
        <v>47</v>
      </c>
      <c r="CS429" s="71">
        <v>3707</v>
      </c>
      <c r="CT429" s="71">
        <v>234</v>
      </c>
      <c r="CU429" s="71">
        <v>16708</v>
      </c>
      <c r="CV429" s="71">
        <v>0</v>
      </c>
      <c r="CW429" s="71">
        <v>11665</v>
      </c>
      <c r="CX429" s="71">
        <v>4801</v>
      </c>
      <c r="CY429" s="71">
        <v>0</v>
      </c>
      <c r="CZ429" s="71">
        <v>0</v>
      </c>
      <c r="DA429" s="71">
        <v>0</v>
      </c>
      <c r="DB429" s="71">
        <v>7</v>
      </c>
      <c r="DC429" s="71">
        <v>0</v>
      </c>
      <c r="DD429" s="71">
        <v>18</v>
      </c>
      <c r="DE429">
        <f t="shared" si="168"/>
        <v>2105968</v>
      </c>
      <c r="DG429" s="1">
        <f t="shared" si="157"/>
        <v>1707509</v>
      </c>
      <c r="DH429" s="1">
        <f t="shared" si="158"/>
        <v>297520</v>
      </c>
      <c r="DI429" s="1">
        <f t="shared" si="167"/>
        <v>2005029</v>
      </c>
      <c r="DJ429" s="1"/>
      <c r="DK429" s="1">
        <f t="shared" si="159"/>
        <v>87451</v>
      </c>
      <c r="DL429" s="1">
        <f t="shared" si="150"/>
        <v>144495</v>
      </c>
      <c r="DM429" s="1">
        <f t="shared" si="160"/>
        <v>15849</v>
      </c>
      <c r="DN429" s="1">
        <f t="shared" si="161"/>
        <v>48003</v>
      </c>
      <c r="DO429" s="1">
        <f t="shared" si="162"/>
        <v>621879</v>
      </c>
      <c r="DP429" s="1">
        <f t="shared" si="166"/>
        <v>151910</v>
      </c>
      <c r="DQ429" s="1">
        <f t="shared" si="153"/>
        <v>18187</v>
      </c>
      <c r="DR429" s="1">
        <f t="shared" si="163"/>
        <v>30206</v>
      </c>
      <c r="DS429" s="1">
        <f t="shared" si="164"/>
        <v>54999</v>
      </c>
      <c r="DT429" s="1">
        <f t="shared" si="138"/>
        <v>15562</v>
      </c>
      <c r="DU429" s="1">
        <f t="shared" si="136"/>
        <v>151507</v>
      </c>
      <c r="DV429" s="1">
        <f t="shared" si="139"/>
        <v>536202</v>
      </c>
      <c r="DW429" s="1">
        <f t="shared" si="137"/>
        <v>31694</v>
      </c>
      <c r="DX429" s="1">
        <f t="shared" si="154"/>
        <v>1907944</v>
      </c>
      <c r="DY429" s="1"/>
      <c r="DZ429" s="1">
        <f t="shared" si="155"/>
        <v>97085</v>
      </c>
      <c r="EA429" s="1">
        <f t="shared" si="165"/>
        <v>100939</v>
      </c>
      <c r="EB429" s="1"/>
      <c r="EC429" s="1">
        <f t="shared" si="156"/>
        <v>2105968</v>
      </c>
      <c r="ED429" s="1">
        <f t="shared" si="152"/>
        <v>0</v>
      </c>
      <c r="EE429" s="1"/>
    </row>
    <row r="430" spans="1:135" ht="14.4" x14ac:dyDescent="0.3">
      <c r="A430" s="72">
        <v>45292</v>
      </c>
      <c r="B430" s="71">
        <v>0</v>
      </c>
      <c r="C430" s="71">
        <v>0</v>
      </c>
      <c r="D430" s="71">
        <v>0</v>
      </c>
      <c r="E430" s="71">
        <v>0</v>
      </c>
      <c r="F430" s="71">
        <v>3960</v>
      </c>
      <c r="G430" s="71">
        <v>19239</v>
      </c>
      <c r="H430" s="71">
        <v>58946</v>
      </c>
      <c r="I430" s="71">
        <v>3551</v>
      </c>
      <c r="J430" s="71">
        <v>10695</v>
      </c>
      <c r="K430" s="71">
        <v>2172</v>
      </c>
      <c r="L430" s="71">
        <v>36397</v>
      </c>
      <c r="M430" s="71">
        <v>1084</v>
      </c>
      <c r="N430" s="71">
        <v>1303</v>
      </c>
      <c r="O430" s="71">
        <v>1549</v>
      </c>
      <c r="P430" s="71">
        <v>11518</v>
      </c>
      <c r="Q430" s="71">
        <v>337</v>
      </c>
      <c r="R430" s="71">
        <v>4765</v>
      </c>
      <c r="S430" s="71">
        <v>16038</v>
      </c>
      <c r="T430" s="71">
        <v>92</v>
      </c>
      <c r="U430" s="71">
        <v>4223</v>
      </c>
      <c r="V430" s="71">
        <v>68</v>
      </c>
      <c r="W430" s="71">
        <v>28244</v>
      </c>
      <c r="X430" s="71">
        <v>546</v>
      </c>
      <c r="Y430">
        <v>4</v>
      </c>
      <c r="Z430">
        <v>0</v>
      </c>
      <c r="AA430" s="71">
        <v>2</v>
      </c>
      <c r="AB430" s="71">
        <v>94</v>
      </c>
      <c r="AC430" s="71">
        <v>23</v>
      </c>
      <c r="AD430" s="71">
        <v>23</v>
      </c>
      <c r="AE430" s="71">
        <v>15</v>
      </c>
      <c r="AF430" s="71">
        <v>54</v>
      </c>
      <c r="AG430" s="71">
        <v>133</v>
      </c>
      <c r="AH430" s="71">
        <v>2481</v>
      </c>
      <c r="AI430" s="71">
        <v>2</v>
      </c>
      <c r="AJ430" s="71">
        <v>12147</v>
      </c>
      <c r="AK430" s="71">
        <v>107540</v>
      </c>
      <c r="AL430" s="71">
        <v>1347</v>
      </c>
      <c r="AM430" s="71">
        <v>22420</v>
      </c>
      <c r="AN430" s="71">
        <v>8</v>
      </c>
      <c r="AO430" s="71">
        <v>4</v>
      </c>
      <c r="AP430" s="71">
        <v>12332</v>
      </c>
      <c r="AQ430" s="71">
        <v>0</v>
      </c>
      <c r="AR430" s="71">
        <v>276</v>
      </c>
      <c r="AS430" s="71">
        <v>55</v>
      </c>
      <c r="AT430" s="71">
        <v>12100</v>
      </c>
      <c r="AU430" s="71">
        <v>2339</v>
      </c>
      <c r="AV430" s="71">
        <v>3213</v>
      </c>
      <c r="AW430" s="71">
        <v>13504</v>
      </c>
      <c r="AX430">
        <v>4</v>
      </c>
      <c r="AY430">
        <v>0</v>
      </c>
      <c r="AZ430">
        <v>767</v>
      </c>
      <c r="BA430">
        <v>0</v>
      </c>
      <c r="BB430">
        <v>154</v>
      </c>
      <c r="BC430" s="71">
        <v>2558</v>
      </c>
      <c r="BD430" s="71">
        <v>0</v>
      </c>
      <c r="BE430" s="71">
        <v>0</v>
      </c>
      <c r="BF430" s="71">
        <v>9612</v>
      </c>
      <c r="BG430" s="71">
        <v>0</v>
      </c>
      <c r="BH430" s="71">
        <v>0</v>
      </c>
      <c r="BI430" s="71">
        <v>0</v>
      </c>
      <c r="BJ430" s="71">
        <v>8</v>
      </c>
      <c r="BK430" s="71">
        <v>5839</v>
      </c>
      <c r="BL430" s="71">
        <v>0</v>
      </c>
      <c r="BM430" s="71">
        <v>10</v>
      </c>
      <c r="BN430" s="71">
        <v>0</v>
      </c>
      <c r="BO430" s="71">
        <v>56005</v>
      </c>
      <c r="BP430" s="71">
        <v>104271</v>
      </c>
      <c r="BQ430" s="71">
        <v>2776</v>
      </c>
      <c r="BR430" s="71">
        <v>35</v>
      </c>
      <c r="BS430" s="71">
        <v>44264</v>
      </c>
      <c r="BT430" s="71">
        <v>2518</v>
      </c>
      <c r="BU430" s="71">
        <v>2</v>
      </c>
      <c r="BV430" s="71">
        <v>0</v>
      </c>
      <c r="BW430" s="71">
        <v>1</v>
      </c>
      <c r="BX430" s="71">
        <v>0</v>
      </c>
      <c r="BY430" s="71">
        <v>379</v>
      </c>
      <c r="BZ430" s="71">
        <v>0</v>
      </c>
      <c r="CA430" s="71">
        <v>29718</v>
      </c>
      <c r="CB430" s="71">
        <v>30378</v>
      </c>
      <c r="CC430" s="71">
        <v>135439</v>
      </c>
      <c r="CD430" s="71">
        <v>388692</v>
      </c>
      <c r="CE430" s="71">
        <v>58309</v>
      </c>
      <c r="CF430" s="71">
        <v>97077</v>
      </c>
      <c r="CG430" s="71">
        <v>0</v>
      </c>
      <c r="CH430" s="71">
        <v>119</v>
      </c>
      <c r="CI430" s="71">
        <v>0</v>
      </c>
      <c r="CJ430" s="71">
        <v>68</v>
      </c>
      <c r="CK430" s="71">
        <v>82663</v>
      </c>
      <c r="CL430" s="71">
        <v>68274</v>
      </c>
      <c r="CM430" s="71">
        <v>450950</v>
      </c>
      <c r="CN430" s="71">
        <v>87123</v>
      </c>
      <c r="CO430" s="71">
        <v>43</v>
      </c>
      <c r="CP430" s="71">
        <v>15195</v>
      </c>
      <c r="CQ430" s="71">
        <v>1705</v>
      </c>
      <c r="CR430" s="71">
        <v>54</v>
      </c>
      <c r="CS430" s="71">
        <v>3778</v>
      </c>
      <c r="CT430" s="71">
        <v>238</v>
      </c>
      <c r="CU430" s="71">
        <v>17457</v>
      </c>
      <c r="CV430" s="71">
        <v>1</v>
      </c>
      <c r="CW430" s="71">
        <v>12604</v>
      </c>
      <c r="CX430" s="71">
        <v>5105</v>
      </c>
      <c r="CY430" s="71">
        <v>0</v>
      </c>
      <c r="CZ430" s="71">
        <v>0</v>
      </c>
      <c r="DA430" s="71">
        <v>0</v>
      </c>
      <c r="DB430" s="71">
        <v>7</v>
      </c>
      <c r="DC430" s="71">
        <v>0</v>
      </c>
      <c r="DD430" s="71">
        <v>18</v>
      </c>
      <c r="DE430">
        <f t="shared" si="168"/>
        <v>2109036</v>
      </c>
      <c r="DG430" s="1">
        <f t="shared" si="157"/>
        <v>1707497</v>
      </c>
      <c r="DH430" s="1">
        <f>SUM(L430:M430,O430:AW430,AZ430:BB430,CQ430,CR431)</f>
        <v>297661</v>
      </c>
      <c r="DI430" s="1">
        <f t="shared" si="167"/>
        <v>2005158</v>
      </c>
      <c r="DJ430" s="1"/>
      <c r="DK430" s="1">
        <f t="shared" ref="DK430:DK437" si="169">SUM(L430:M430,O430:R430,T430:W430)</f>
        <v>88277</v>
      </c>
      <c r="DL430" s="1">
        <f t="shared" si="150"/>
        <v>143269</v>
      </c>
      <c r="DM430" s="1">
        <f t="shared" ref="DM430:DM437" si="170">S430</f>
        <v>16038</v>
      </c>
      <c r="DN430" s="1">
        <f t="shared" ref="DN430:DN437" si="171">AF430+AW430+AM430+AO430+AP430+AQ430</f>
        <v>48314</v>
      </c>
      <c r="DO430" s="1">
        <f t="shared" ref="DO430:DO437" si="172">SUM(AX430,BE430,BH430,BJ430,BN430,BQ430:BR430,BT430,BV430,BY430:CA430,CC430:CE430,CI430:CJ430)</f>
        <v>617946</v>
      </c>
      <c r="DP430" s="1">
        <f t="shared" si="166"/>
        <v>151103</v>
      </c>
      <c r="DQ430" s="1">
        <f t="shared" si="153"/>
        <v>19468</v>
      </c>
      <c r="DR430" s="1">
        <f t="shared" ref="DR430:DR437" si="173">CB430+CH430+Z430</f>
        <v>30497</v>
      </c>
      <c r="DS430" s="1">
        <f t="shared" ref="DS430:DS437" si="174">BO430+BU430</f>
        <v>56007</v>
      </c>
      <c r="DT430" s="1">
        <f t="shared" si="138"/>
        <v>15452</v>
      </c>
      <c r="DU430" s="1">
        <f t="shared" si="136"/>
        <v>150937</v>
      </c>
      <c r="DV430" s="1">
        <f t="shared" si="139"/>
        <v>538116</v>
      </c>
      <c r="DW430" s="1">
        <f t="shared" si="137"/>
        <v>32653</v>
      </c>
      <c r="DX430" s="1">
        <f t="shared" si="154"/>
        <v>1908077</v>
      </c>
      <c r="DY430" s="1"/>
      <c r="DZ430" s="1">
        <f t="shared" si="155"/>
        <v>97077</v>
      </c>
      <c r="EA430" s="1">
        <f t="shared" ref="EA430:EA437" si="175">SUM(F430:K430,N430,CS430:CT430)</f>
        <v>103882</v>
      </c>
      <c r="EB430" s="1"/>
      <c r="EC430" s="1">
        <f t="shared" si="156"/>
        <v>2109036</v>
      </c>
      <c r="ED430" s="1">
        <f t="shared" si="152"/>
        <v>0</v>
      </c>
      <c r="EE430" s="1"/>
    </row>
    <row r="431" spans="1:135" ht="14.4" x14ac:dyDescent="0.3">
      <c r="A431" s="76">
        <v>45323</v>
      </c>
      <c r="B431" s="75">
        <v>0</v>
      </c>
      <c r="C431" s="75">
        <v>0</v>
      </c>
      <c r="D431" s="75">
        <v>0</v>
      </c>
      <c r="E431" s="75">
        <v>0</v>
      </c>
      <c r="F431" s="75">
        <v>3856</v>
      </c>
      <c r="G431" s="75">
        <v>20033</v>
      </c>
      <c r="H431" s="75">
        <v>61076</v>
      </c>
      <c r="I431" s="75">
        <v>3663</v>
      </c>
      <c r="J431" s="75">
        <v>11143</v>
      </c>
      <c r="K431" s="75">
        <v>2181</v>
      </c>
      <c r="L431" s="75">
        <v>36509</v>
      </c>
      <c r="M431" s="75">
        <v>1084</v>
      </c>
      <c r="N431" s="75">
        <v>1325</v>
      </c>
      <c r="O431" s="75">
        <v>1542</v>
      </c>
      <c r="P431" s="75">
        <v>11571</v>
      </c>
      <c r="Q431" s="75">
        <v>339</v>
      </c>
      <c r="R431" s="75">
        <v>4753</v>
      </c>
      <c r="S431" s="75">
        <v>16192</v>
      </c>
      <c r="T431" s="75">
        <v>80</v>
      </c>
      <c r="U431" s="75">
        <v>4257</v>
      </c>
      <c r="V431" s="75">
        <v>63</v>
      </c>
      <c r="W431" s="75">
        <v>28213</v>
      </c>
      <c r="X431" s="75">
        <v>548</v>
      </c>
      <c r="Y431">
        <v>4</v>
      </c>
      <c r="Z431">
        <v>0</v>
      </c>
      <c r="AA431" s="75">
        <v>2</v>
      </c>
      <c r="AB431" s="75">
        <v>88</v>
      </c>
      <c r="AC431" s="75">
        <v>23</v>
      </c>
      <c r="AD431" s="75">
        <v>22</v>
      </c>
      <c r="AE431" s="75">
        <v>16</v>
      </c>
      <c r="AF431" s="75">
        <v>56</v>
      </c>
      <c r="AG431" s="75">
        <v>132</v>
      </c>
      <c r="AH431" s="75">
        <v>2494</v>
      </c>
      <c r="AI431" s="75">
        <v>1</v>
      </c>
      <c r="AJ431" s="75">
        <v>11782</v>
      </c>
      <c r="AK431" s="75">
        <v>107222</v>
      </c>
      <c r="AL431" s="75">
        <v>1344</v>
      </c>
      <c r="AM431" s="75">
        <v>22560</v>
      </c>
      <c r="AN431" s="75">
        <v>9</v>
      </c>
      <c r="AO431" s="75">
        <v>5</v>
      </c>
      <c r="AP431" s="75">
        <v>12602</v>
      </c>
      <c r="AQ431" s="75">
        <v>0</v>
      </c>
      <c r="AR431" s="75">
        <v>272</v>
      </c>
      <c r="AS431" s="75">
        <v>54</v>
      </c>
      <c r="AT431" s="75">
        <v>12154</v>
      </c>
      <c r="AU431" s="75">
        <v>2333</v>
      </c>
      <c r="AV431" s="75">
        <v>3188</v>
      </c>
      <c r="AW431" s="75">
        <v>13434</v>
      </c>
      <c r="AX431">
        <v>7</v>
      </c>
      <c r="AY431">
        <v>1</v>
      </c>
      <c r="AZ431">
        <v>755</v>
      </c>
      <c r="BA431">
        <v>0</v>
      </c>
      <c r="BB431">
        <v>145</v>
      </c>
      <c r="BC431" s="75">
        <v>2556</v>
      </c>
      <c r="BD431" s="75">
        <v>0</v>
      </c>
      <c r="BE431" s="75">
        <v>0</v>
      </c>
      <c r="BF431" s="75">
        <v>9585</v>
      </c>
      <c r="BG431" s="75">
        <v>0</v>
      </c>
      <c r="BH431" s="75">
        <v>0</v>
      </c>
      <c r="BI431" s="75">
        <v>0</v>
      </c>
      <c r="BJ431" s="75">
        <v>7</v>
      </c>
      <c r="BK431" s="75">
        <v>5834</v>
      </c>
      <c r="BL431" s="75">
        <v>0</v>
      </c>
      <c r="BM431" s="75">
        <v>9</v>
      </c>
      <c r="BN431" s="75">
        <v>0</v>
      </c>
      <c r="BO431" s="75">
        <v>56632</v>
      </c>
      <c r="BP431" s="75">
        <v>104059</v>
      </c>
      <c r="BQ431" s="75">
        <v>3015</v>
      </c>
      <c r="BR431" s="75">
        <v>33</v>
      </c>
      <c r="BS431" s="75">
        <v>44128</v>
      </c>
      <c r="BT431" s="75">
        <v>2638</v>
      </c>
      <c r="BU431" s="75">
        <v>0</v>
      </c>
      <c r="BV431" s="75">
        <v>0</v>
      </c>
      <c r="BW431" s="75">
        <v>1</v>
      </c>
      <c r="BX431" s="75">
        <v>0</v>
      </c>
      <c r="BY431" s="75">
        <v>381</v>
      </c>
      <c r="BZ431" s="75">
        <v>0</v>
      </c>
      <c r="CA431" s="75">
        <v>29813</v>
      </c>
      <c r="CB431" s="75">
        <v>30658</v>
      </c>
      <c r="CC431" s="75">
        <v>135154</v>
      </c>
      <c r="CD431" s="75">
        <v>384944</v>
      </c>
      <c r="CE431" s="75">
        <v>57511</v>
      </c>
      <c r="CF431" s="75">
        <v>96335</v>
      </c>
      <c r="CG431" s="75">
        <v>0</v>
      </c>
      <c r="CH431" s="75">
        <v>121</v>
      </c>
      <c r="CI431" s="75">
        <v>0</v>
      </c>
      <c r="CJ431" s="75">
        <v>65</v>
      </c>
      <c r="CK431" s="75">
        <v>81874</v>
      </c>
      <c r="CL431" s="75">
        <v>67600</v>
      </c>
      <c r="CM431" s="75">
        <v>451903</v>
      </c>
      <c r="CN431" s="75">
        <v>86536</v>
      </c>
      <c r="CO431" s="75">
        <v>51</v>
      </c>
      <c r="CP431" s="75">
        <v>15402</v>
      </c>
      <c r="CQ431" s="75">
        <v>1716</v>
      </c>
      <c r="CR431" s="75">
        <v>58</v>
      </c>
      <c r="CS431" s="75">
        <v>3809</v>
      </c>
      <c r="CT431" s="75">
        <v>247</v>
      </c>
      <c r="CU431" s="75">
        <v>18301</v>
      </c>
      <c r="CV431" s="75">
        <v>0</v>
      </c>
      <c r="CW431" s="75">
        <v>13523</v>
      </c>
      <c r="CX431" s="75">
        <v>5415</v>
      </c>
      <c r="CY431" s="75">
        <v>0</v>
      </c>
      <c r="CZ431" s="75">
        <v>0</v>
      </c>
      <c r="DA431" s="75">
        <v>0</v>
      </c>
      <c r="DB431" s="75">
        <v>7</v>
      </c>
      <c r="DC431" s="75">
        <v>0</v>
      </c>
      <c r="DD431" s="75">
        <v>18</v>
      </c>
      <c r="DE431">
        <f t="shared" si="168"/>
        <v>2109047</v>
      </c>
      <c r="DG431" s="1">
        <f t="shared" si="157"/>
        <v>1704092</v>
      </c>
      <c r="DH431" s="1">
        <f>SUM(L431:M431,O431:AW431,AZ431:BB431,CQ431,CR432)</f>
        <v>297620</v>
      </c>
      <c r="DI431" s="1">
        <f t="shared" si="167"/>
        <v>2001712</v>
      </c>
      <c r="DJ431" s="1"/>
      <c r="DK431" s="1">
        <f t="shared" si="169"/>
        <v>88411</v>
      </c>
      <c r="DL431" s="1">
        <f t="shared" si="150"/>
        <v>142588</v>
      </c>
      <c r="DM431" s="1">
        <f t="shared" si="170"/>
        <v>16192</v>
      </c>
      <c r="DN431" s="1">
        <f t="shared" si="171"/>
        <v>48657</v>
      </c>
      <c r="DO431" s="1">
        <f t="shared" si="172"/>
        <v>613568</v>
      </c>
      <c r="DP431" s="1">
        <f t="shared" si="166"/>
        <v>150753</v>
      </c>
      <c r="DQ431" s="1">
        <f t="shared" si="153"/>
        <v>20712</v>
      </c>
      <c r="DR431" s="1">
        <f t="shared" si="173"/>
        <v>30779</v>
      </c>
      <c r="DS431" s="1">
        <f t="shared" si="174"/>
        <v>56632</v>
      </c>
      <c r="DT431" s="1">
        <f t="shared" si="138"/>
        <v>15420</v>
      </c>
      <c r="DU431" s="1">
        <f t="shared" si="136"/>
        <v>149474</v>
      </c>
      <c r="DV431" s="1">
        <f t="shared" si="139"/>
        <v>538490</v>
      </c>
      <c r="DW431" s="1">
        <f t="shared" si="137"/>
        <v>33703</v>
      </c>
      <c r="DX431" s="1">
        <f t="shared" si="154"/>
        <v>1905379</v>
      </c>
      <c r="DY431" s="1"/>
      <c r="DZ431" s="1">
        <f t="shared" si="155"/>
        <v>96335</v>
      </c>
      <c r="EA431" s="1">
        <f t="shared" si="175"/>
        <v>107333</v>
      </c>
      <c r="EB431" s="1"/>
      <c r="EC431" s="1">
        <f t="shared" si="156"/>
        <v>2109047</v>
      </c>
      <c r="ED431" s="1">
        <f t="shared" si="152"/>
        <v>0</v>
      </c>
      <c r="EE431" s="1"/>
    </row>
    <row r="432" spans="1:135" ht="14.4" x14ac:dyDescent="0.3">
      <c r="A432" s="87">
        <v>45352</v>
      </c>
      <c r="B432" s="86">
        <v>0</v>
      </c>
      <c r="C432" s="86">
        <v>0</v>
      </c>
      <c r="D432" s="86">
        <v>0</v>
      </c>
      <c r="E432" s="86">
        <v>0</v>
      </c>
      <c r="F432" s="86">
        <v>3769</v>
      </c>
      <c r="G432" s="86">
        <v>20635</v>
      </c>
      <c r="H432" s="86">
        <v>62332</v>
      </c>
      <c r="I432" s="86">
        <v>3772</v>
      </c>
      <c r="J432" s="86">
        <v>11464</v>
      </c>
      <c r="K432" s="86">
        <v>2167</v>
      </c>
      <c r="L432" s="86">
        <v>36558</v>
      </c>
      <c r="M432" s="86">
        <v>1087</v>
      </c>
      <c r="N432" s="86">
        <v>1312</v>
      </c>
      <c r="O432" s="86">
        <v>1503</v>
      </c>
      <c r="P432" s="86">
        <v>11563</v>
      </c>
      <c r="Q432" s="86">
        <v>343</v>
      </c>
      <c r="R432" s="86">
        <v>4780</v>
      </c>
      <c r="S432" s="86">
        <v>16444</v>
      </c>
      <c r="T432" s="86">
        <v>78</v>
      </c>
      <c r="U432" s="86">
        <v>4238</v>
      </c>
      <c r="V432" s="86">
        <v>57</v>
      </c>
      <c r="W432" s="86">
        <v>28070</v>
      </c>
      <c r="X432" s="86">
        <v>552</v>
      </c>
      <c r="Y432">
        <v>4</v>
      </c>
      <c r="Z432">
        <v>1</v>
      </c>
      <c r="AA432" s="86">
        <v>2</v>
      </c>
      <c r="AB432" s="86">
        <v>77</v>
      </c>
      <c r="AC432" s="86">
        <v>25</v>
      </c>
      <c r="AD432" s="86">
        <v>24</v>
      </c>
      <c r="AE432" s="86">
        <v>16</v>
      </c>
      <c r="AF432" s="86">
        <v>60</v>
      </c>
      <c r="AG432" s="86">
        <v>111</v>
      </c>
      <c r="AH432" s="86">
        <v>2516</v>
      </c>
      <c r="AI432" s="86">
        <v>1</v>
      </c>
      <c r="AJ432" s="86">
        <v>11376</v>
      </c>
      <c r="AK432" s="86">
        <v>106474</v>
      </c>
      <c r="AL432" s="86">
        <v>1349</v>
      </c>
      <c r="AM432" s="86">
        <v>22703</v>
      </c>
      <c r="AN432" s="86">
        <v>8</v>
      </c>
      <c r="AO432" s="86">
        <v>6</v>
      </c>
      <c r="AP432" s="86">
        <v>12796</v>
      </c>
      <c r="AQ432" s="86">
        <v>0</v>
      </c>
      <c r="AR432" s="86">
        <v>249</v>
      </c>
      <c r="AS432" s="86">
        <v>56</v>
      </c>
      <c r="AT432" s="86">
        <v>12204</v>
      </c>
      <c r="AU432" s="86">
        <v>2337</v>
      </c>
      <c r="AV432" s="86">
        <v>3169</v>
      </c>
      <c r="AW432" s="86">
        <v>13421</v>
      </c>
      <c r="AX432" s="86">
        <v>8</v>
      </c>
      <c r="AY432" s="86">
        <v>0</v>
      </c>
      <c r="AZ432" s="86">
        <v>741</v>
      </c>
      <c r="BA432" s="86">
        <v>0</v>
      </c>
      <c r="BB432" s="86">
        <v>129</v>
      </c>
      <c r="BC432" s="86">
        <v>2568</v>
      </c>
      <c r="BD432" s="86">
        <v>0</v>
      </c>
      <c r="BE432" s="86">
        <v>0</v>
      </c>
      <c r="BF432" s="86">
        <v>9519</v>
      </c>
      <c r="BG432" s="86">
        <v>0</v>
      </c>
      <c r="BH432" s="86">
        <v>0</v>
      </c>
      <c r="BI432" s="86">
        <v>0</v>
      </c>
      <c r="BJ432" s="86">
        <v>5</v>
      </c>
      <c r="BK432" s="86">
        <v>5765</v>
      </c>
      <c r="BL432" s="86">
        <v>0</v>
      </c>
      <c r="BM432" s="86">
        <v>17</v>
      </c>
      <c r="BN432" s="86">
        <v>0</v>
      </c>
      <c r="BO432" s="86">
        <v>57008</v>
      </c>
      <c r="BP432" s="86">
        <v>103116</v>
      </c>
      <c r="BQ432" s="86">
        <v>3234</v>
      </c>
      <c r="BR432" s="86">
        <v>33</v>
      </c>
      <c r="BS432" s="86">
        <v>43491</v>
      </c>
      <c r="BT432" s="86">
        <v>2828</v>
      </c>
      <c r="BU432" s="86">
        <v>0</v>
      </c>
      <c r="BV432" s="86">
        <v>1</v>
      </c>
      <c r="BW432" s="86">
        <v>1</v>
      </c>
      <c r="BX432" s="86">
        <v>0</v>
      </c>
      <c r="BY432" s="86">
        <v>387</v>
      </c>
      <c r="BZ432" s="86">
        <v>0</v>
      </c>
      <c r="CA432" s="86">
        <v>29957</v>
      </c>
      <c r="CB432" s="86">
        <v>30807</v>
      </c>
      <c r="CC432" s="86">
        <v>134592</v>
      </c>
      <c r="CD432" s="86">
        <v>378497</v>
      </c>
      <c r="CE432" s="86">
        <v>56110</v>
      </c>
      <c r="CF432" s="86">
        <v>94729</v>
      </c>
      <c r="CG432" s="86">
        <v>0</v>
      </c>
      <c r="CH432" s="86">
        <v>120</v>
      </c>
      <c r="CI432" s="86">
        <v>0</v>
      </c>
      <c r="CJ432" s="86">
        <v>68</v>
      </c>
      <c r="CK432" s="86">
        <v>79969</v>
      </c>
      <c r="CL432" s="86">
        <v>66179</v>
      </c>
      <c r="CM432" s="86">
        <v>446116</v>
      </c>
      <c r="CN432" s="86">
        <v>84080</v>
      </c>
      <c r="CO432" s="86">
        <v>45</v>
      </c>
      <c r="CP432" s="86">
        <v>15680</v>
      </c>
      <c r="CQ432" s="86">
        <v>1744</v>
      </c>
      <c r="CR432" s="86">
        <v>56</v>
      </c>
      <c r="CS432" s="86">
        <v>3874</v>
      </c>
      <c r="CT432" s="86">
        <v>237</v>
      </c>
      <c r="CU432" s="86">
        <v>19143</v>
      </c>
      <c r="CV432" s="86">
        <v>0</v>
      </c>
      <c r="CW432" s="86">
        <v>14232</v>
      </c>
      <c r="CX432" s="86">
        <v>5743</v>
      </c>
      <c r="CY432" s="86">
        <v>0</v>
      </c>
      <c r="CZ432" s="86">
        <v>0</v>
      </c>
      <c r="DA432" s="86">
        <v>0</v>
      </c>
      <c r="DB432" s="86">
        <v>7</v>
      </c>
      <c r="DC432" s="86">
        <v>0</v>
      </c>
      <c r="DD432" s="86">
        <v>18</v>
      </c>
      <c r="DE432">
        <f t="shared" si="168"/>
        <v>2090538</v>
      </c>
      <c r="DG432" s="1">
        <f t="shared" si="157"/>
        <v>1684048</v>
      </c>
      <c r="DH432" s="1">
        <f>SUM(L432:M432,O432:AW432,AZ432:BB432,CQ432,CR433)</f>
        <v>296926</v>
      </c>
      <c r="DI432" s="1">
        <f t="shared" si="167"/>
        <v>1980974</v>
      </c>
      <c r="DJ432" s="1"/>
      <c r="DK432" s="1">
        <f t="shared" si="169"/>
        <v>88277</v>
      </c>
      <c r="DL432" s="1">
        <f t="shared" si="150"/>
        <v>141420</v>
      </c>
      <c r="DM432" s="1">
        <f t="shared" si="170"/>
        <v>16444</v>
      </c>
      <c r="DN432" s="1">
        <f t="shared" si="171"/>
        <v>48986</v>
      </c>
      <c r="DO432" s="1">
        <f t="shared" si="172"/>
        <v>605720</v>
      </c>
      <c r="DP432" s="1">
        <f t="shared" si="166"/>
        <v>149192</v>
      </c>
      <c r="DQ432" s="1">
        <f t="shared" si="153"/>
        <v>21775</v>
      </c>
      <c r="DR432" s="1">
        <f t="shared" si="173"/>
        <v>30928</v>
      </c>
      <c r="DS432" s="1">
        <f t="shared" si="174"/>
        <v>57008</v>
      </c>
      <c r="DT432" s="1">
        <f t="shared" si="138"/>
        <v>15285</v>
      </c>
      <c r="DU432" s="1">
        <f t="shared" si="136"/>
        <v>146148</v>
      </c>
      <c r="DV432" s="1">
        <f t="shared" si="139"/>
        <v>530241</v>
      </c>
      <c r="DW432" s="1">
        <f t="shared" si="137"/>
        <v>34823</v>
      </c>
      <c r="DX432" s="1">
        <f t="shared" si="154"/>
        <v>1886247</v>
      </c>
      <c r="DY432" s="1"/>
      <c r="DZ432" s="1">
        <f t="shared" si="155"/>
        <v>94729</v>
      </c>
      <c r="EA432" s="1">
        <f t="shared" si="175"/>
        <v>109562</v>
      </c>
      <c r="EB432" s="1"/>
      <c r="EC432" s="1">
        <f t="shared" si="156"/>
        <v>2090538</v>
      </c>
      <c r="ED432" s="1">
        <f t="shared" si="152"/>
        <v>0</v>
      </c>
      <c r="EE432" s="1"/>
    </row>
    <row r="433" spans="1:135" ht="14.4" x14ac:dyDescent="0.3">
      <c r="A433" s="72">
        <v>45383</v>
      </c>
      <c r="B433" s="71">
        <v>0</v>
      </c>
      <c r="C433" s="71">
        <v>0</v>
      </c>
      <c r="D433" s="71">
        <v>0</v>
      </c>
      <c r="E433" s="71">
        <v>0</v>
      </c>
      <c r="F433" s="71">
        <v>3780</v>
      </c>
      <c r="G433" s="71">
        <v>20556</v>
      </c>
      <c r="H433" s="71">
        <v>60913</v>
      </c>
      <c r="I433" s="71">
        <v>3814</v>
      </c>
      <c r="J433" s="71">
        <v>11445</v>
      </c>
      <c r="K433" s="71">
        <v>2129</v>
      </c>
      <c r="L433" s="71">
        <v>36604</v>
      </c>
      <c r="M433" s="71">
        <v>1107</v>
      </c>
      <c r="N433" s="71">
        <v>1272</v>
      </c>
      <c r="O433" s="71">
        <v>1458</v>
      </c>
      <c r="P433" s="71">
        <v>11352</v>
      </c>
      <c r="Q433" s="71">
        <v>335</v>
      </c>
      <c r="R433" s="71">
        <v>4759</v>
      </c>
      <c r="S433" s="71">
        <v>16301</v>
      </c>
      <c r="T433" s="71">
        <v>72</v>
      </c>
      <c r="U433" s="71">
        <v>4200</v>
      </c>
      <c r="V433" s="71">
        <v>58</v>
      </c>
      <c r="W433" s="71">
        <v>27283</v>
      </c>
      <c r="X433" s="71">
        <v>544</v>
      </c>
      <c r="Y433">
        <v>4</v>
      </c>
      <c r="Z433">
        <v>1</v>
      </c>
      <c r="AA433" s="71">
        <v>1</v>
      </c>
      <c r="AB433" s="71">
        <v>74</v>
      </c>
      <c r="AC433" s="71">
        <v>25</v>
      </c>
      <c r="AD433" s="71">
        <v>24</v>
      </c>
      <c r="AE433" s="71">
        <v>15</v>
      </c>
      <c r="AF433" s="71">
        <v>58</v>
      </c>
      <c r="AG433" s="71">
        <v>99</v>
      </c>
      <c r="AH433" s="71">
        <v>2480</v>
      </c>
      <c r="AI433" s="71">
        <v>1</v>
      </c>
      <c r="AJ433" s="71">
        <v>10815</v>
      </c>
      <c r="AK433" s="71">
        <v>105087</v>
      </c>
      <c r="AL433" s="71">
        <v>1339</v>
      </c>
      <c r="AM433" s="71">
        <v>22524</v>
      </c>
      <c r="AN433" s="71">
        <v>7</v>
      </c>
      <c r="AO433" s="71">
        <v>6</v>
      </c>
      <c r="AP433" s="71">
        <v>12752</v>
      </c>
      <c r="AQ433" s="71">
        <v>0</v>
      </c>
      <c r="AR433" s="71">
        <v>247</v>
      </c>
      <c r="AS433" s="71">
        <v>56</v>
      </c>
      <c r="AT433" s="71">
        <v>12105</v>
      </c>
      <c r="AU433" s="71">
        <v>2316</v>
      </c>
      <c r="AV433" s="71">
        <v>3106</v>
      </c>
      <c r="AW433" s="71">
        <v>13173</v>
      </c>
      <c r="AX433" s="71">
        <v>5</v>
      </c>
      <c r="AY433" s="71">
        <v>3</v>
      </c>
      <c r="AZ433" s="71">
        <v>700</v>
      </c>
      <c r="BA433" s="71">
        <v>0</v>
      </c>
      <c r="BB433" s="71">
        <v>127</v>
      </c>
      <c r="BC433" s="71">
        <v>2456</v>
      </c>
      <c r="BD433" s="71">
        <v>0</v>
      </c>
      <c r="BE433" s="71">
        <v>0</v>
      </c>
      <c r="BF433" s="71">
        <v>9482</v>
      </c>
      <c r="BG433" s="71">
        <v>0</v>
      </c>
      <c r="BH433" s="71">
        <v>0</v>
      </c>
      <c r="BI433" s="71">
        <v>0</v>
      </c>
      <c r="BJ433" s="71">
        <v>2</v>
      </c>
      <c r="BK433" s="71">
        <v>5637</v>
      </c>
      <c r="BL433" s="71">
        <v>0</v>
      </c>
      <c r="BM433" s="71">
        <v>17</v>
      </c>
      <c r="BN433" s="71">
        <v>0</v>
      </c>
      <c r="BO433" s="71">
        <v>53091</v>
      </c>
      <c r="BP433" s="71">
        <v>99505</v>
      </c>
      <c r="BQ433" s="71">
        <v>3362</v>
      </c>
      <c r="BR433" s="71">
        <v>31</v>
      </c>
      <c r="BS433" s="71">
        <v>41825</v>
      </c>
      <c r="BT433" s="71">
        <v>2961</v>
      </c>
      <c r="BU433" s="71">
        <v>0</v>
      </c>
      <c r="BV433" s="71">
        <v>1</v>
      </c>
      <c r="BW433" s="71">
        <v>1</v>
      </c>
      <c r="BX433" s="71">
        <v>0</v>
      </c>
      <c r="BY433" s="71">
        <v>386</v>
      </c>
      <c r="BZ433" s="71">
        <v>0</v>
      </c>
      <c r="CA433" s="71">
        <v>29789</v>
      </c>
      <c r="CB433" s="71">
        <v>30861</v>
      </c>
      <c r="CC433" s="71">
        <v>132273</v>
      </c>
      <c r="CD433" s="71">
        <v>366723</v>
      </c>
      <c r="CE433" s="71">
        <v>53761</v>
      </c>
      <c r="CF433" s="71">
        <v>91170</v>
      </c>
      <c r="CG433" s="71">
        <v>0</v>
      </c>
      <c r="CH433" s="71">
        <v>120</v>
      </c>
      <c r="CI433" s="71">
        <v>0</v>
      </c>
      <c r="CJ433" s="71">
        <v>61</v>
      </c>
      <c r="CK433" s="71">
        <v>76414</v>
      </c>
      <c r="CL433" s="71">
        <v>62008</v>
      </c>
      <c r="CM433" s="71">
        <v>426096</v>
      </c>
      <c r="CN433" s="71">
        <v>77852</v>
      </c>
      <c r="CO433" s="71">
        <v>38</v>
      </c>
      <c r="CP433" s="71">
        <v>15728</v>
      </c>
      <c r="CQ433" s="71">
        <v>1756</v>
      </c>
      <c r="CR433" s="71">
        <v>54</v>
      </c>
      <c r="CS433" s="71">
        <v>3939</v>
      </c>
      <c r="CT433" s="71">
        <v>246</v>
      </c>
      <c r="CU433" s="71">
        <v>19431</v>
      </c>
      <c r="CV433" s="71">
        <v>0</v>
      </c>
      <c r="CW433" s="71">
        <v>14648</v>
      </c>
      <c r="CX433" s="71">
        <v>6097</v>
      </c>
      <c r="CY433" s="71">
        <v>0</v>
      </c>
      <c r="CZ433" s="71">
        <v>0</v>
      </c>
      <c r="DA433" s="71">
        <v>0</v>
      </c>
      <c r="DB433" s="71">
        <v>7</v>
      </c>
      <c r="DC433" s="71">
        <v>0</v>
      </c>
      <c r="DD433" s="71">
        <v>18</v>
      </c>
      <c r="DE433">
        <f t="shared" si="168"/>
        <v>2022954</v>
      </c>
      <c r="DG433" s="1">
        <f t="shared" si="157"/>
        <v>1621835</v>
      </c>
      <c r="DH433" s="1">
        <f t="shared" ref="DH433:DH438" si="176">SUM(L433:M433,O433:AW433,AZ433:BB433,CQ433,CR433)</f>
        <v>293025</v>
      </c>
      <c r="DI433" s="1">
        <f t="shared" si="167"/>
        <v>1914860</v>
      </c>
      <c r="DJ433" s="1"/>
      <c r="DK433" s="1">
        <f t="shared" si="169"/>
        <v>87228</v>
      </c>
      <c r="DL433" s="1">
        <f t="shared" si="150"/>
        <v>139172</v>
      </c>
      <c r="DM433" s="1">
        <f t="shared" si="170"/>
        <v>16301</v>
      </c>
      <c r="DN433" s="1">
        <f t="shared" si="171"/>
        <v>48513</v>
      </c>
      <c r="DO433" s="1">
        <f t="shared" si="172"/>
        <v>589355</v>
      </c>
      <c r="DP433" s="1">
        <f t="shared" si="166"/>
        <v>143806</v>
      </c>
      <c r="DQ433" s="1">
        <f t="shared" si="153"/>
        <v>22555</v>
      </c>
      <c r="DR433" s="1">
        <f t="shared" si="173"/>
        <v>30982</v>
      </c>
      <c r="DS433" s="1">
        <f t="shared" si="174"/>
        <v>53091</v>
      </c>
      <c r="DT433" s="1">
        <f t="shared" si="138"/>
        <v>15120</v>
      </c>
      <c r="DU433" s="1">
        <f t="shared" si="136"/>
        <v>138422</v>
      </c>
      <c r="DV433" s="1">
        <f t="shared" si="139"/>
        <v>503986</v>
      </c>
      <c r="DW433" s="1">
        <f t="shared" si="137"/>
        <v>35159</v>
      </c>
      <c r="DX433" s="1">
        <f t="shared" si="154"/>
        <v>1823690</v>
      </c>
      <c r="DY433" s="1"/>
      <c r="DZ433" s="1">
        <f t="shared" si="155"/>
        <v>91170</v>
      </c>
      <c r="EA433" s="1">
        <f t="shared" si="175"/>
        <v>108094</v>
      </c>
      <c r="EB433" s="1"/>
      <c r="EC433" s="1">
        <f t="shared" si="156"/>
        <v>2022954</v>
      </c>
      <c r="ED433" s="1">
        <f t="shared" si="152"/>
        <v>0</v>
      </c>
      <c r="EE433" s="1"/>
    </row>
    <row r="434" spans="1:135" ht="14.4" x14ac:dyDescent="0.3">
      <c r="A434" s="120">
        <v>45413</v>
      </c>
      <c r="B434" s="119">
        <v>0</v>
      </c>
      <c r="C434" s="119">
        <v>0</v>
      </c>
      <c r="D434" s="119">
        <v>0</v>
      </c>
      <c r="E434" s="119">
        <v>0</v>
      </c>
      <c r="F434" s="119">
        <v>3669</v>
      </c>
      <c r="G434" s="119">
        <v>20912</v>
      </c>
      <c r="H434" s="119">
        <v>60485</v>
      </c>
      <c r="I434" s="119">
        <v>3697</v>
      </c>
      <c r="J434" s="119">
        <v>11341</v>
      </c>
      <c r="K434" s="119">
        <v>2032</v>
      </c>
      <c r="L434" s="119">
        <v>36646</v>
      </c>
      <c r="M434" s="119">
        <v>1107</v>
      </c>
      <c r="N434" s="119">
        <v>1212</v>
      </c>
      <c r="O434" s="119">
        <v>1443</v>
      </c>
      <c r="P434" s="119">
        <v>11402</v>
      </c>
      <c r="Q434" s="119">
        <v>336</v>
      </c>
      <c r="R434" s="119">
        <v>4822</v>
      </c>
      <c r="S434" s="119">
        <v>16669</v>
      </c>
      <c r="T434" s="119">
        <v>28</v>
      </c>
      <c r="U434" s="119">
        <v>4218</v>
      </c>
      <c r="V434" s="119">
        <v>28</v>
      </c>
      <c r="W434" s="119">
        <v>27291</v>
      </c>
      <c r="X434" s="119">
        <v>543</v>
      </c>
      <c r="Y434" s="119">
        <v>4</v>
      </c>
      <c r="Z434" s="119">
        <v>1</v>
      </c>
      <c r="AA434" s="119">
        <v>1</v>
      </c>
      <c r="AB434" s="119">
        <v>67</v>
      </c>
      <c r="AC434" s="119">
        <v>28</v>
      </c>
      <c r="AD434" s="119">
        <v>24</v>
      </c>
      <c r="AE434" s="119">
        <v>14</v>
      </c>
      <c r="AF434" s="119">
        <v>58</v>
      </c>
      <c r="AG434" s="119">
        <v>81</v>
      </c>
      <c r="AH434" s="119">
        <v>2525</v>
      </c>
      <c r="AI434" s="119">
        <v>1</v>
      </c>
      <c r="AJ434" s="119">
        <v>10657</v>
      </c>
      <c r="AK434" s="119">
        <v>104237</v>
      </c>
      <c r="AL434" s="119">
        <v>1332</v>
      </c>
      <c r="AM434" s="119">
        <v>22939</v>
      </c>
      <c r="AN434" s="119">
        <v>7</v>
      </c>
      <c r="AO434" s="119">
        <v>8</v>
      </c>
      <c r="AP434" s="119">
        <v>12997</v>
      </c>
      <c r="AQ434" s="119">
        <v>0</v>
      </c>
      <c r="AR434" s="119">
        <v>239</v>
      </c>
      <c r="AS434" s="119">
        <v>63</v>
      </c>
      <c r="AT434" s="119">
        <v>12164</v>
      </c>
      <c r="AU434" s="119">
        <v>2344</v>
      </c>
      <c r="AV434" s="119">
        <v>3160</v>
      </c>
      <c r="AW434" s="119">
        <v>13372</v>
      </c>
      <c r="AX434" s="119">
        <v>3</v>
      </c>
      <c r="AY434" s="119">
        <v>0</v>
      </c>
      <c r="AZ434" s="119">
        <v>650</v>
      </c>
      <c r="BA434" s="119">
        <v>0</v>
      </c>
      <c r="BB434" s="119">
        <v>55</v>
      </c>
      <c r="BC434" s="119">
        <v>2442</v>
      </c>
      <c r="BD434" s="119">
        <v>0</v>
      </c>
      <c r="BE434" s="119">
        <v>0</v>
      </c>
      <c r="BF434" s="119">
        <v>9256</v>
      </c>
      <c r="BG434" s="119">
        <v>0</v>
      </c>
      <c r="BH434" s="119">
        <v>0</v>
      </c>
      <c r="BI434" s="119">
        <v>0</v>
      </c>
      <c r="BJ434" s="119">
        <v>2</v>
      </c>
      <c r="BK434" s="119">
        <v>5526</v>
      </c>
      <c r="BL434" s="119">
        <v>0</v>
      </c>
      <c r="BM434" s="119">
        <v>18</v>
      </c>
      <c r="BN434" s="119">
        <v>0</v>
      </c>
      <c r="BO434" s="119">
        <v>53567</v>
      </c>
      <c r="BP434" s="119">
        <v>99762</v>
      </c>
      <c r="BQ434" s="119">
        <v>3380</v>
      </c>
      <c r="BR434" s="119">
        <v>26</v>
      </c>
      <c r="BS434" s="119">
        <v>41412</v>
      </c>
      <c r="BT434" s="119">
        <v>2944</v>
      </c>
      <c r="BU434" s="119">
        <v>1</v>
      </c>
      <c r="BV434" s="119">
        <v>1</v>
      </c>
      <c r="BW434" s="119">
        <v>0</v>
      </c>
      <c r="BX434" s="119">
        <v>0</v>
      </c>
      <c r="BY434" s="119">
        <v>299</v>
      </c>
      <c r="BZ434" s="119">
        <v>0</v>
      </c>
      <c r="CA434" s="119">
        <v>31091</v>
      </c>
      <c r="CB434" s="119">
        <v>27780</v>
      </c>
      <c r="CC434" s="119">
        <v>133591</v>
      </c>
      <c r="CD434" s="119">
        <v>356229</v>
      </c>
      <c r="CE434" s="119">
        <v>50024</v>
      </c>
      <c r="CF434" s="119">
        <v>90203</v>
      </c>
      <c r="CG434" s="119">
        <v>0</v>
      </c>
      <c r="CH434" s="119">
        <v>118</v>
      </c>
      <c r="CI434" s="119">
        <v>0</v>
      </c>
      <c r="CJ434" s="119">
        <v>56</v>
      </c>
      <c r="CK434" s="119">
        <v>75321</v>
      </c>
      <c r="CL434" s="119">
        <v>60887</v>
      </c>
      <c r="CM434" s="119">
        <v>423711</v>
      </c>
      <c r="CN434" s="119">
        <v>75739</v>
      </c>
      <c r="CO434" s="119">
        <v>33</v>
      </c>
      <c r="CP434" s="119">
        <v>15772</v>
      </c>
      <c r="CQ434" s="119">
        <v>1795</v>
      </c>
      <c r="CR434" s="119">
        <v>49</v>
      </c>
      <c r="CS434" s="119">
        <v>4056</v>
      </c>
      <c r="CT434" s="119">
        <v>257</v>
      </c>
      <c r="CU434" s="119">
        <v>21048</v>
      </c>
      <c r="CV434" s="119">
        <v>1</v>
      </c>
      <c r="CW434" s="119">
        <v>14859</v>
      </c>
      <c r="CX434" s="119">
        <v>6497</v>
      </c>
      <c r="CY434" s="119">
        <v>0</v>
      </c>
      <c r="CZ434" s="119">
        <v>0</v>
      </c>
      <c r="DA434" s="119">
        <v>0</v>
      </c>
      <c r="DB434" s="119">
        <v>7</v>
      </c>
      <c r="DC434" s="119">
        <v>0</v>
      </c>
      <c r="DD434" s="119">
        <v>18</v>
      </c>
      <c r="DE434">
        <f t="shared" si="168"/>
        <v>2002665</v>
      </c>
      <c r="DG434" s="1">
        <f t="shared" si="157"/>
        <v>1601599</v>
      </c>
      <c r="DH434" s="1">
        <f t="shared" si="176"/>
        <v>293405</v>
      </c>
      <c r="DI434" s="1">
        <f t="shared" si="167"/>
        <v>1895004</v>
      </c>
      <c r="DJ434" s="1"/>
      <c r="DK434" s="1">
        <f t="shared" si="169"/>
        <v>87321</v>
      </c>
      <c r="DL434" s="1">
        <f t="shared" si="150"/>
        <v>138196</v>
      </c>
      <c r="DM434" s="1">
        <f t="shared" si="170"/>
        <v>16669</v>
      </c>
      <c r="DN434" s="1">
        <f t="shared" si="171"/>
        <v>49374</v>
      </c>
      <c r="DO434" s="1">
        <f t="shared" si="172"/>
        <v>577646</v>
      </c>
      <c r="DP434" s="1">
        <f t="shared" si="166"/>
        <v>143634</v>
      </c>
      <c r="DQ434" s="1">
        <f t="shared" si="153"/>
        <v>23200</v>
      </c>
      <c r="DR434" s="1">
        <f t="shared" si="173"/>
        <v>27899</v>
      </c>
      <c r="DS434" s="1">
        <f t="shared" si="174"/>
        <v>53568</v>
      </c>
      <c r="DT434" s="1">
        <f t="shared" si="138"/>
        <v>14782</v>
      </c>
      <c r="DU434" s="1">
        <f t="shared" si="136"/>
        <v>136208</v>
      </c>
      <c r="DV434" s="1">
        <f t="shared" si="139"/>
        <v>499483</v>
      </c>
      <c r="DW434" s="1">
        <f t="shared" si="137"/>
        <v>36821</v>
      </c>
      <c r="DX434" s="1">
        <f t="shared" si="154"/>
        <v>1804801</v>
      </c>
      <c r="DY434" s="1"/>
      <c r="DZ434" s="1">
        <f t="shared" si="155"/>
        <v>90203</v>
      </c>
      <c r="EA434" s="1">
        <f t="shared" si="175"/>
        <v>107661</v>
      </c>
      <c r="EB434" s="1"/>
      <c r="EC434" s="1">
        <f t="shared" si="156"/>
        <v>2002665</v>
      </c>
      <c r="ED434" s="1">
        <f t="shared" si="152"/>
        <v>0</v>
      </c>
      <c r="EE434" s="1"/>
    </row>
    <row r="435" spans="1:135" ht="14.4" x14ac:dyDescent="0.3">
      <c r="A435" s="72">
        <v>45444</v>
      </c>
      <c r="B435" s="121">
        <v>0</v>
      </c>
      <c r="C435" s="121">
        <v>0</v>
      </c>
      <c r="D435" s="121">
        <v>0</v>
      </c>
      <c r="E435" s="121">
        <v>0</v>
      </c>
      <c r="F435" s="121">
        <v>3844</v>
      </c>
      <c r="G435" s="121">
        <v>20471</v>
      </c>
      <c r="H435" s="121">
        <v>59787</v>
      </c>
      <c r="I435" s="121">
        <v>3521</v>
      </c>
      <c r="J435" s="121">
        <v>11018</v>
      </c>
      <c r="K435" s="121">
        <v>2053</v>
      </c>
      <c r="L435" s="121">
        <v>36599</v>
      </c>
      <c r="M435" s="121">
        <v>1122</v>
      </c>
      <c r="N435" s="121">
        <v>1185</v>
      </c>
      <c r="O435" s="121">
        <v>1451</v>
      </c>
      <c r="P435" s="121">
        <v>11510</v>
      </c>
      <c r="Q435" s="121">
        <v>334</v>
      </c>
      <c r="R435" s="121">
        <v>4898</v>
      </c>
      <c r="S435" s="121">
        <v>16954</v>
      </c>
      <c r="T435" s="121">
        <v>23</v>
      </c>
      <c r="U435" s="121">
        <v>4288</v>
      </c>
      <c r="V435" s="121">
        <v>31</v>
      </c>
      <c r="W435" s="121">
        <v>27531</v>
      </c>
      <c r="X435" s="121">
        <v>535</v>
      </c>
      <c r="Y435" s="121">
        <v>5</v>
      </c>
      <c r="Z435" s="121">
        <v>0</v>
      </c>
      <c r="AA435" s="121">
        <v>1</v>
      </c>
      <c r="AB435" s="121">
        <v>68</v>
      </c>
      <c r="AC435" s="121">
        <v>29</v>
      </c>
      <c r="AD435" s="121">
        <v>22</v>
      </c>
      <c r="AE435" s="121">
        <v>14</v>
      </c>
      <c r="AF435" s="121">
        <v>61</v>
      </c>
      <c r="AG435" s="121">
        <v>82</v>
      </c>
      <c r="AH435" s="121">
        <v>2585</v>
      </c>
      <c r="AI435" s="121">
        <v>1</v>
      </c>
      <c r="AJ435" s="121">
        <v>10648</v>
      </c>
      <c r="AK435" s="121">
        <v>103845</v>
      </c>
      <c r="AL435" s="121">
        <v>1344</v>
      </c>
      <c r="AM435" s="121">
        <v>23308</v>
      </c>
      <c r="AN435" s="121">
        <v>8</v>
      </c>
      <c r="AO435" s="121">
        <v>7</v>
      </c>
      <c r="AP435" s="121">
        <v>13270</v>
      </c>
      <c r="AQ435" s="121">
        <v>0</v>
      </c>
      <c r="AR435" s="121">
        <v>225</v>
      </c>
      <c r="AS435" s="121">
        <v>69</v>
      </c>
      <c r="AT435" s="121">
        <v>12291</v>
      </c>
      <c r="AU435" s="121">
        <v>2368</v>
      </c>
      <c r="AV435" s="121">
        <v>3206</v>
      </c>
      <c r="AW435" s="121">
        <v>13557</v>
      </c>
      <c r="AX435" s="121">
        <v>2</v>
      </c>
      <c r="AY435" s="121">
        <v>0</v>
      </c>
      <c r="AZ435" s="121">
        <v>613</v>
      </c>
      <c r="BA435" s="121">
        <v>0</v>
      </c>
      <c r="BB435" s="121">
        <v>65</v>
      </c>
      <c r="BC435" s="121">
        <v>2406</v>
      </c>
      <c r="BD435" s="121">
        <v>0</v>
      </c>
      <c r="BE435" s="121">
        <v>0</v>
      </c>
      <c r="BF435" s="121">
        <v>9210</v>
      </c>
      <c r="BG435" s="121">
        <v>0</v>
      </c>
      <c r="BH435" s="121">
        <v>0</v>
      </c>
      <c r="BI435" s="121">
        <v>0</v>
      </c>
      <c r="BJ435" s="121">
        <v>2</v>
      </c>
      <c r="BK435" s="121">
        <v>5471</v>
      </c>
      <c r="BL435" s="121">
        <v>0</v>
      </c>
      <c r="BM435" s="121">
        <v>18</v>
      </c>
      <c r="BN435" s="121">
        <v>0</v>
      </c>
      <c r="BO435" s="121">
        <v>53162</v>
      </c>
      <c r="BP435" s="121">
        <v>98912</v>
      </c>
      <c r="BQ435" s="121">
        <v>3317</v>
      </c>
      <c r="BR435" s="121">
        <v>24</v>
      </c>
      <c r="BS435" s="121">
        <v>40789</v>
      </c>
      <c r="BT435" s="121">
        <v>2926</v>
      </c>
      <c r="BU435" s="121">
        <v>0</v>
      </c>
      <c r="BV435" s="121">
        <v>1</v>
      </c>
      <c r="BW435" s="121">
        <v>0</v>
      </c>
      <c r="BX435" s="121">
        <v>0</v>
      </c>
      <c r="BY435" s="121">
        <v>299</v>
      </c>
      <c r="BZ435" s="121">
        <v>0</v>
      </c>
      <c r="CA435" s="121">
        <v>32356</v>
      </c>
      <c r="CB435" s="121">
        <v>28514</v>
      </c>
      <c r="CC435" s="121">
        <v>132718</v>
      </c>
      <c r="CD435" s="121">
        <v>354830</v>
      </c>
      <c r="CE435" s="121">
        <v>49620</v>
      </c>
      <c r="CF435" s="121">
        <v>92496</v>
      </c>
      <c r="CG435" s="121">
        <v>0</v>
      </c>
      <c r="CH435" s="121">
        <v>139</v>
      </c>
      <c r="CI435" s="121">
        <v>0</v>
      </c>
      <c r="CJ435" s="121">
        <v>49</v>
      </c>
      <c r="CK435" s="121">
        <v>74286</v>
      </c>
      <c r="CL435" s="121">
        <v>59819</v>
      </c>
      <c r="CM435" s="121">
        <v>418445</v>
      </c>
      <c r="CN435" s="121">
        <v>74076</v>
      </c>
      <c r="CO435" s="121">
        <v>25</v>
      </c>
      <c r="CP435" s="121">
        <v>16093</v>
      </c>
      <c r="CQ435" s="121">
        <v>1840</v>
      </c>
      <c r="CR435" s="121">
        <v>58</v>
      </c>
      <c r="CS435" s="121">
        <v>4147</v>
      </c>
      <c r="CT435" s="121">
        <v>247</v>
      </c>
      <c r="CU435" s="121">
        <v>21795</v>
      </c>
      <c r="CV435" s="121">
        <v>0</v>
      </c>
      <c r="CW435" s="121">
        <v>15233</v>
      </c>
      <c r="CX435" s="121">
        <v>6835</v>
      </c>
      <c r="CY435" s="121">
        <v>0</v>
      </c>
      <c r="CZ435" s="121">
        <v>0</v>
      </c>
      <c r="DA435" s="121">
        <v>0</v>
      </c>
      <c r="DB435" s="121">
        <v>3</v>
      </c>
      <c r="DC435" s="121">
        <v>0</v>
      </c>
      <c r="DD435" s="121">
        <v>8</v>
      </c>
      <c r="DE435">
        <f t="shared" si="168"/>
        <v>1995007</v>
      </c>
      <c r="DG435" s="1">
        <f t="shared" si="157"/>
        <v>1593868</v>
      </c>
      <c r="DH435" s="1">
        <f t="shared" si="176"/>
        <v>294866</v>
      </c>
      <c r="DI435" s="1">
        <f t="shared" si="167"/>
        <v>1888734</v>
      </c>
      <c r="DJ435" s="1"/>
      <c r="DK435" s="1">
        <f t="shared" si="169"/>
        <v>87787</v>
      </c>
      <c r="DL435" s="1">
        <f t="shared" si="150"/>
        <v>138024</v>
      </c>
      <c r="DM435" s="1">
        <f t="shared" si="170"/>
        <v>16954</v>
      </c>
      <c r="DN435" s="1">
        <f t="shared" si="171"/>
        <v>50203</v>
      </c>
      <c r="DO435" s="1">
        <f t="shared" si="172"/>
        <v>576144</v>
      </c>
      <c r="DP435" s="1">
        <f t="shared" si="166"/>
        <v>142125</v>
      </c>
      <c r="DQ435" s="1">
        <f t="shared" si="153"/>
        <v>23966</v>
      </c>
      <c r="DR435" s="1">
        <f t="shared" si="173"/>
        <v>28653</v>
      </c>
      <c r="DS435" s="1">
        <f t="shared" si="174"/>
        <v>53162</v>
      </c>
      <c r="DT435" s="1">
        <f t="shared" si="138"/>
        <v>14681</v>
      </c>
      <c r="DU435" s="1">
        <f t="shared" ref="DU435:DU437" si="177">SUM(CK435:CL435)</f>
        <v>134105</v>
      </c>
      <c r="DV435" s="1">
        <f t="shared" si="139"/>
        <v>492546</v>
      </c>
      <c r="DW435" s="1">
        <f t="shared" ref="DW435:DW437" si="178">SUM(CP435, CU435, CV435)</f>
        <v>37888</v>
      </c>
      <c r="DX435" s="1">
        <f t="shared" si="154"/>
        <v>1796238</v>
      </c>
      <c r="DY435" s="1"/>
      <c r="DZ435" s="1">
        <f t="shared" si="155"/>
        <v>92496</v>
      </c>
      <c r="EA435" s="1">
        <f t="shared" si="175"/>
        <v>106273</v>
      </c>
      <c r="EB435" s="1"/>
      <c r="EC435" s="1">
        <f t="shared" si="156"/>
        <v>1995007</v>
      </c>
      <c r="ED435" s="1">
        <f t="shared" si="152"/>
        <v>0</v>
      </c>
    </row>
    <row r="436" spans="1:135" x14ac:dyDescent="0.25">
      <c r="A436" s="10">
        <v>45474</v>
      </c>
      <c r="B436">
        <v>0</v>
      </c>
      <c r="C436">
        <v>0</v>
      </c>
      <c r="D436">
        <v>0</v>
      </c>
      <c r="E436">
        <v>0</v>
      </c>
      <c r="F436">
        <v>3966</v>
      </c>
      <c r="G436">
        <v>20096</v>
      </c>
      <c r="H436">
        <v>59162</v>
      </c>
      <c r="I436">
        <v>3340</v>
      </c>
      <c r="J436">
        <v>10668</v>
      </c>
      <c r="K436">
        <v>2072</v>
      </c>
      <c r="L436">
        <v>36589</v>
      </c>
      <c r="M436">
        <v>1160</v>
      </c>
      <c r="N436">
        <v>1164</v>
      </c>
      <c r="O436">
        <v>1451</v>
      </c>
      <c r="P436">
        <v>11573</v>
      </c>
      <c r="Q436">
        <v>334</v>
      </c>
      <c r="R436">
        <v>4872</v>
      </c>
      <c r="S436">
        <v>17166</v>
      </c>
      <c r="T436">
        <v>27</v>
      </c>
      <c r="U436">
        <v>4285</v>
      </c>
      <c r="V436">
        <v>28</v>
      </c>
      <c r="W436">
        <v>27322</v>
      </c>
      <c r="X436">
        <v>529</v>
      </c>
      <c r="Y436">
        <v>5</v>
      </c>
      <c r="Z436">
        <v>0</v>
      </c>
      <c r="AA436">
        <v>1</v>
      </c>
      <c r="AB436">
        <v>67</v>
      </c>
      <c r="AC436">
        <v>29</v>
      </c>
      <c r="AD436">
        <v>24</v>
      </c>
      <c r="AE436">
        <v>14</v>
      </c>
      <c r="AF436">
        <v>56</v>
      </c>
      <c r="AG436">
        <v>82</v>
      </c>
      <c r="AH436">
        <v>2564</v>
      </c>
      <c r="AI436">
        <v>1</v>
      </c>
      <c r="AJ436">
        <v>10405</v>
      </c>
      <c r="AK436">
        <v>103536</v>
      </c>
      <c r="AL436">
        <v>1314</v>
      </c>
      <c r="AM436">
        <v>23269</v>
      </c>
      <c r="AN436">
        <v>7</v>
      </c>
      <c r="AO436">
        <v>6</v>
      </c>
      <c r="AP436">
        <v>13189</v>
      </c>
      <c r="AQ436">
        <v>0</v>
      </c>
      <c r="AR436">
        <v>219</v>
      </c>
      <c r="AS436">
        <v>67</v>
      </c>
      <c r="AT436">
        <v>11989</v>
      </c>
      <c r="AU436">
        <v>2368</v>
      </c>
      <c r="AV436">
        <v>3166</v>
      </c>
      <c r="AW436">
        <v>13470</v>
      </c>
      <c r="AX436">
        <v>1</v>
      </c>
      <c r="AY436">
        <v>0</v>
      </c>
      <c r="AZ436">
        <v>608</v>
      </c>
      <c r="BA436">
        <v>0</v>
      </c>
      <c r="BB436">
        <v>66</v>
      </c>
      <c r="BC436">
        <v>2392</v>
      </c>
      <c r="BD436">
        <v>0</v>
      </c>
      <c r="BE436">
        <v>0</v>
      </c>
      <c r="BF436">
        <v>9132</v>
      </c>
      <c r="BG436">
        <v>0</v>
      </c>
      <c r="BH436">
        <v>0</v>
      </c>
      <c r="BI436">
        <v>0</v>
      </c>
      <c r="BJ436">
        <v>1</v>
      </c>
      <c r="BK436">
        <v>5415</v>
      </c>
      <c r="BL436">
        <v>0</v>
      </c>
      <c r="BM436">
        <v>23</v>
      </c>
      <c r="BN436">
        <v>0</v>
      </c>
      <c r="BO436">
        <v>52532</v>
      </c>
      <c r="BP436">
        <v>98238</v>
      </c>
      <c r="BQ436">
        <v>3268</v>
      </c>
      <c r="BR436">
        <v>24</v>
      </c>
      <c r="BS436">
        <v>40371</v>
      </c>
      <c r="BT436">
        <v>2853</v>
      </c>
      <c r="BU436">
        <v>0</v>
      </c>
      <c r="BV436">
        <v>1</v>
      </c>
      <c r="BW436">
        <v>0</v>
      </c>
      <c r="BX436">
        <v>0</v>
      </c>
      <c r="BY436">
        <v>265</v>
      </c>
      <c r="BZ436">
        <v>0</v>
      </c>
      <c r="CA436">
        <v>33008</v>
      </c>
      <c r="CB436">
        <v>28932</v>
      </c>
      <c r="CC436">
        <v>131994</v>
      </c>
      <c r="CD436">
        <v>354069</v>
      </c>
      <c r="CE436">
        <v>49313</v>
      </c>
      <c r="CF436">
        <v>93612</v>
      </c>
      <c r="CG436">
        <v>0</v>
      </c>
      <c r="CH436">
        <v>124</v>
      </c>
      <c r="CI436">
        <v>0</v>
      </c>
      <c r="CJ436">
        <v>46</v>
      </c>
      <c r="CK436">
        <v>73154</v>
      </c>
      <c r="CL436">
        <v>58869</v>
      </c>
      <c r="CM436">
        <v>415025</v>
      </c>
      <c r="CN436">
        <v>72672</v>
      </c>
      <c r="CO436">
        <v>23</v>
      </c>
      <c r="CP436">
        <v>16271</v>
      </c>
      <c r="CQ436">
        <v>1848</v>
      </c>
      <c r="CR436">
        <v>59</v>
      </c>
      <c r="CS436">
        <v>4166</v>
      </c>
      <c r="CT436">
        <v>262</v>
      </c>
      <c r="CU436">
        <v>22284</v>
      </c>
      <c r="CV436">
        <v>1</v>
      </c>
      <c r="CW436">
        <v>15353</v>
      </c>
      <c r="CX436">
        <v>7050</v>
      </c>
      <c r="CY436">
        <v>0</v>
      </c>
      <c r="CZ436">
        <v>0</v>
      </c>
      <c r="DA436">
        <v>0</v>
      </c>
      <c r="DB436">
        <v>3</v>
      </c>
      <c r="DC436">
        <v>0</v>
      </c>
      <c r="DD436">
        <v>8</v>
      </c>
      <c r="DE436">
        <f t="shared" si="168"/>
        <v>1984977</v>
      </c>
      <c r="DG436" s="1">
        <f t="shared" si="157"/>
        <v>1586316</v>
      </c>
      <c r="DH436" s="1">
        <f t="shared" si="176"/>
        <v>293765</v>
      </c>
      <c r="DI436" s="1">
        <f>SUM(DG436:DH436)</f>
        <v>1880081</v>
      </c>
      <c r="DJ436" s="1"/>
      <c r="DK436" s="1">
        <f t="shared" si="169"/>
        <v>87641</v>
      </c>
      <c r="DL436" s="1">
        <f t="shared" si="150"/>
        <v>137061</v>
      </c>
      <c r="DM436" s="1">
        <f t="shared" si="170"/>
        <v>17166</v>
      </c>
      <c r="DN436" s="1">
        <f t="shared" si="171"/>
        <v>49990</v>
      </c>
      <c r="DO436" s="1">
        <f t="shared" si="172"/>
        <v>574843</v>
      </c>
      <c r="DP436" s="1">
        <f t="shared" si="166"/>
        <v>141024</v>
      </c>
      <c r="DQ436" s="1">
        <f t="shared" si="153"/>
        <v>24310</v>
      </c>
      <c r="DR436" s="1">
        <f t="shared" si="173"/>
        <v>29056</v>
      </c>
      <c r="DS436" s="1">
        <f t="shared" si="174"/>
        <v>52532</v>
      </c>
      <c r="DT436" s="1">
        <f t="shared" si="138"/>
        <v>14547</v>
      </c>
      <c r="DU436" s="1">
        <f t="shared" si="177"/>
        <v>132023</v>
      </c>
      <c r="DV436" s="1">
        <f t="shared" si="139"/>
        <v>487720</v>
      </c>
      <c r="DW436" s="1">
        <f t="shared" si="178"/>
        <v>38556</v>
      </c>
      <c r="DX436" s="1">
        <f t="shared" si="154"/>
        <v>1786469</v>
      </c>
      <c r="DY436" s="1"/>
      <c r="DZ436" s="1">
        <f t="shared" si="155"/>
        <v>93612</v>
      </c>
      <c r="EA436" s="1">
        <f t="shared" si="175"/>
        <v>104896</v>
      </c>
      <c r="EB436" s="1"/>
      <c r="EC436" s="1">
        <f t="shared" si="156"/>
        <v>1984977</v>
      </c>
      <c r="ED436" s="1">
        <f t="shared" si="152"/>
        <v>0</v>
      </c>
    </row>
    <row r="437" spans="1:135" ht="14.4" x14ac:dyDescent="0.3">
      <c r="A437" s="147">
        <v>45505</v>
      </c>
      <c r="B437" s="146">
        <v>0</v>
      </c>
      <c r="C437" s="146">
        <v>0</v>
      </c>
      <c r="D437" s="146">
        <v>0</v>
      </c>
      <c r="E437" s="146">
        <v>0</v>
      </c>
      <c r="F437" s="146">
        <v>3973</v>
      </c>
      <c r="G437" s="146">
        <v>19798</v>
      </c>
      <c r="H437" s="146">
        <v>58191</v>
      </c>
      <c r="I437" s="146">
        <v>3218</v>
      </c>
      <c r="J437" s="146">
        <v>10134</v>
      </c>
      <c r="K437" s="146">
        <v>2076</v>
      </c>
      <c r="L437" s="146">
        <v>36539</v>
      </c>
      <c r="M437" s="146">
        <v>1174</v>
      </c>
      <c r="N437" s="146">
        <v>1151</v>
      </c>
      <c r="O437" s="146">
        <v>1454</v>
      </c>
      <c r="P437" s="146">
        <v>11566</v>
      </c>
      <c r="Q437" s="146">
        <v>339</v>
      </c>
      <c r="R437" s="146">
        <v>4913</v>
      </c>
      <c r="S437" s="146">
        <v>17205</v>
      </c>
      <c r="T437" s="146">
        <v>26</v>
      </c>
      <c r="U437" s="146">
        <v>4316</v>
      </c>
      <c r="V437" s="146">
        <v>29</v>
      </c>
      <c r="W437" s="146">
        <v>27734</v>
      </c>
      <c r="X437" s="146">
        <v>528</v>
      </c>
      <c r="Y437" s="146">
        <v>5</v>
      </c>
      <c r="Z437" s="146">
        <v>0</v>
      </c>
      <c r="AA437" s="146">
        <v>1</v>
      </c>
      <c r="AB437" s="146">
        <v>68</v>
      </c>
      <c r="AC437" s="146">
        <v>27</v>
      </c>
      <c r="AD437" s="146">
        <v>25</v>
      </c>
      <c r="AE437" s="146">
        <v>15</v>
      </c>
      <c r="AF437" s="146">
        <v>59</v>
      </c>
      <c r="AG437" s="146">
        <v>82</v>
      </c>
      <c r="AH437" s="146">
        <v>2555</v>
      </c>
      <c r="AI437" s="146">
        <v>1</v>
      </c>
      <c r="AJ437" s="146">
        <v>10375</v>
      </c>
      <c r="AK437" s="146">
        <v>103230</v>
      </c>
      <c r="AL437" s="146">
        <v>1319</v>
      </c>
      <c r="AM437" s="146">
        <v>23274</v>
      </c>
      <c r="AN437" s="146">
        <v>7</v>
      </c>
      <c r="AO437" s="146">
        <v>7</v>
      </c>
      <c r="AP437" s="146">
        <v>13225</v>
      </c>
      <c r="AQ437" s="146">
        <v>0</v>
      </c>
      <c r="AR437" s="146">
        <v>217</v>
      </c>
      <c r="AS437" s="146">
        <v>68</v>
      </c>
      <c r="AT437" s="146">
        <v>12124</v>
      </c>
      <c r="AU437" s="146">
        <v>2338</v>
      </c>
      <c r="AV437" s="146">
        <v>3141</v>
      </c>
      <c r="AW437" s="146">
        <v>13399</v>
      </c>
      <c r="AX437" s="146">
        <v>3</v>
      </c>
      <c r="AY437" s="146">
        <v>0</v>
      </c>
      <c r="AZ437" s="146">
        <v>585</v>
      </c>
      <c r="BA437" s="146">
        <v>0</v>
      </c>
      <c r="BB437" s="146">
        <v>65</v>
      </c>
      <c r="BC437" s="146">
        <v>2382</v>
      </c>
      <c r="BD437" s="146">
        <v>0</v>
      </c>
      <c r="BE437" s="146">
        <v>0</v>
      </c>
      <c r="BF437" s="146">
        <v>9088</v>
      </c>
      <c r="BG437" s="146">
        <v>0</v>
      </c>
      <c r="BH437" s="146">
        <v>0</v>
      </c>
      <c r="BI437" s="146">
        <v>0</v>
      </c>
      <c r="BJ437" s="146">
        <v>0</v>
      </c>
      <c r="BK437" s="146">
        <v>5371</v>
      </c>
      <c r="BL437" s="146">
        <v>0</v>
      </c>
      <c r="BM437" s="146">
        <v>31</v>
      </c>
      <c r="BN437" s="146">
        <v>0</v>
      </c>
      <c r="BO437" s="146">
        <v>52109</v>
      </c>
      <c r="BP437" s="146">
        <v>98207</v>
      </c>
      <c r="BQ437" s="146">
        <v>3175</v>
      </c>
      <c r="BR437" s="146">
        <v>23</v>
      </c>
      <c r="BS437" s="146">
        <v>40182</v>
      </c>
      <c r="BT437" s="146">
        <v>2769</v>
      </c>
      <c r="BU437" s="146">
        <v>0</v>
      </c>
      <c r="BV437" s="146">
        <v>1</v>
      </c>
      <c r="BW437" s="146">
        <v>0</v>
      </c>
      <c r="BX437" s="146">
        <v>0</v>
      </c>
      <c r="BY437" s="146">
        <v>250</v>
      </c>
      <c r="BZ437" s="146">
        <v>0</v>
      </c>
      <c r="CA437" s="146">
        <v>33771</v>
      </c>
      <c r="CB437" s="146">
        <v>28208</v>
      </c>
      <c r="CC437" s="146">
        <v>131835</v>
      </c>
      <c r="CD437" s="146">
        <v>352114</v>
      </c>
      <c r="CE437" s="146">
        <v>48985</v>
      </c>
      <c r="CF437" s="146">
        <v>94335</v>
      </c>
      <c r="CG437" s="146">
        <v>0</v>
      </c>
      <c r="CH437" s="146">
        <v>105</v>
      </c>
      <c r="CI437" s="146">
        <v>0</v>
      </c>
      <c r="CJ437" s="146">
        <v>44</v>
      </c>
      <c r="CK437" s="146">
        <v>72862</v>
      </c>
      <c r="CL437" s="146">
        <v>58552</v>
      </c>
      <c r="CM437" s="146">
        <v>416951</v>
      </c>
      <c r="CN437" s="146">
        <v>72497</v>
      </c>
      <c r="CO437" s="146">
        <v>28</v>
      </c>
      <c r="CP437" s="146">
        <v>16302</v>
      </c>
      <c r="CQ437" s="146">
        <v>1852</v>
      </c>
      <c r="CR437" s="146">
        <v>62</v>
      </c>
      <c r="CS437" s="146">
        <v>4229</v>
      </c>
      <c r="CT437" s="146">
        <v>279</v>
      </c>
      <c r="CU437" s="146">
        <v>23307</v>
      </c>
      <c r="CV437" s="146">
        <v>0</v>
      </c>
      <c r="CW437" s="146">
        <v>15845</v>
      </c>
      <c r="CX437" s="146">
        <v>7326</v>
      </c>
      <c r="CY437" s="146">
        <v>0</v>
      </c>
      <c r="CZ437" s="146">
        <v>0</v>
      </c>
      <c r="DA437" s="146">
        <v>0</v>
      </c>
      <c r="DB437" s="146">
        <v>3</v>
      </c>
      <c r="DC437" s="146">
        <v>8</v>
      </c>
      <c r="DD437" s="146">
        <v>0</v>
      </c>
      <c r="DE437">
        <f t="shared" si="168"/>
        <v>1983656</v>
      </c>
      <c r="DG437" s="1">
        <f t="shared" si="157"/>
        <v>1586658</v>
      </c>
      <c r="DH437" s="1">
        <f t="shared" si="176"/>
        <v>293949</v>
      </c>
      <c r="DI437" s="1">
        <f>SUM(DG437:DH437)</f>
        <v>1880607</v>
      </c>
      <c r="DK437" s="1">
        <f t="shared" si="169"/>
        <v>88090</v>
      </c>
      <c r="DL437" s="1">
        <f>SUM(X437:Y437,AA437:AE437,AG437:AL437,AN437,AR437:AV437,AZ437:BB437)</f>
        <v>136776</v>
      </c>
      <c r="DM437" s="1">
        <f t="shared" si="170"/>
        <v>17205</v>
      </c>
      <c r="DN437" s="1">
        <f t="shared" si="171"/>
        <v>49964</v>
      </c>
      <c r="DO437" s="1">
        <f t="shared" si="172"/>
        <v>572970</v>
      </c>
      <c r="DP437" s="1">
        <f t="shared" si="166"/>
        <v>140802</v>
      </c>
      <c r="DQ437" s="1">
        <f t="shared" si="153"/>
        <v>25085</v>
      </c>
      <c r="DR437" s="1">
        <f t="shared" si="173"/>
        <v>28313</v>
      </c>
      <c r="DS437" s="1">
        <f t="shared" si="174"/>
        <v>52109</v>
      </c>
      <c r="DT437" s="1">
        <f t="shared" si="138"/>
        <v>14459</v>
      </c>
      <c r="DU437" s="1">
        <f t="shared" si="177"/>
        <v>131414</v>
      </c>
      <c r="DV437" s="1">
        <f t="shared" si="139"/>
        <v>489476</v>
      </c>
      <c r="DW437" s="1">
        <f t="shared" si="178"/>
        <v>39609</v>
      </c>
      <c r="DX437" s="1">
        <f t="shared" si="154"/>
        <v>1786272</v>
      </c>
      <c r="DZ437" s="1">
        <f t="shared" si="155"/>
        <v>94335</v>
      </c>
      <c r="EA437" s="1">
        <f t="shared" si="175"/>
        <v>103049</v>
      </c>
      <c r="EB437" s="1"/>
      <c r="EC437" s="1">
        <f t="shared" si="156"/>
        <v>1983656</v>
      </c>
      <c r="ED437" s="1">
        <f t="shared" si="152"/>
        <v>0</v>
      </c>
    </row>
    <row r="438" spans="1:135" ht="14.4" x14ac:dyDescent="0.3">
      <c r="A438" s="168">
        <v>45536</v>
      </c>
      <c r="B438" s="167">
        <v>0</v>
      </c>
      <c r="C438" s="167">
        <v>0</v>
      </c>
      <c r="D438" s="167">
        <v>0</v>
      </c>
      <c r="E438" s="167">
        <v>0</v>
      </c>
      <c r="F438" s="167">
        <v>4090</v>
      </c>
      <c r="G438" s="167">
        <v>19680</v>
      </c>
      <c r="H438" s="167">
        <v>58029</v>
      </c>
      <c r="I438" s="167">
        <v>3148</v>
      </c>
      <c r="J438" s="167">
        <v>9727</v>
      </c>
      <c r="K438" s="167">
        <v>2093</v>
      </c>
      <c r="L438" s="167">
        <v>36599</v>
      </c>
      <c r="M438" s="167">
        <v>1178</v>
      </c>
      <c r="N438" s="167">
        <v>1164</v>
      </c>
      <c r="O438" s="167">
        <v>1426</v>
      </c>
      <c r="P438" s="167">
        <v>11686</v>
      </c>
      <c r="Q438" s="167">
        <v>339</v>
      </c>
      <c r="R438" s="167">
        <v>4939</v>
      </c>
      <c r="S438" s="167">
        <v>17337</v>
      </c>
      <c r="T438" s="167">
        <v>32</v>
      </c>
      <c r="U438" s="167">
        <v>4377</v>
      </c>
      <c r="V438" s="167">
        <v>33</v>
      </c>
      <c r="W438" s="167">
        <v>27882</v>
      </c>
      <c r="X438" s="167">
        <v>530</v>
      </c>
      <c r="Y438" s="167">
        <v>5</v>
      </c>
      <c r="Z438" s="167">
        <v>0</v>
      </c>
      <c r="AA438" s="167">
        <v>1</v>
      </c>
      <c r="AB438" s="167">
        <v>62</v>
      </c>
      <c r="AC438" s="167">
        <v>27</v>
      </c>
      <c r="AD438" s="167">
        <v>26</v>
      </c>
      <c r="AE438" s="167">
        <v>18</v>
      </c>
      <c r="AF438" s="167">
        <v>59</v>
      </c>
      <c r="AG438" s="167">
        <v>74</v>
      </c>
      <c r="AH438" s="167">
        <v>2613</v>
      </c>
      <c r="AI438" s="167">
        <v>1</v>
      </c>
      <c r="AJ438" s="167">
        <v>10238</v>
      </c>
      <c r="AK438" s="167">
        <v>102875</v>
      </c>
      <c r="AL438" s="167">
        <v>1325</v>
      </c>
      <c r="AM438" s="167">
        <v>23404</v>
      </c>
      <c r="AN438" s="167">
        <v>8</v>
      </c>
      <c r="AO438" s="167">
        <v>8</v>
      </c>
      <c r="AP438" s="167">
        <v>13227</v>
      </c>
      <c r="AQ438" s="167">
        <v>0</v>
      </c>
      <c r="AR438" s="167">
        <v>214</v>
      </c>
      <c r="AS438" s="167">
        <v>75</v>
      </c>
      <c r="AT438" s="167">
        <v>12266</v>
      </c>
      <c r="AU438" s="167">
        <v>2330</v>
      </c>
      <c r="AV438" s="167">
        <v>3150</v>
      </c>
      <c r="AW438" s="167">
        <v>13283</v>
      </c>
      <c r="AX438" s="167">
        <v>3</v>
      </c>
      <c r="AY438" s="167">
        <v>0</v>
      </c>
      <c r="AZ438" s="167">
        <v>567</v>
      </c>
      <c r="BA438" s="167">
        <v>0</v>
      </c>
      <c r="BB438" s="167">
        <v>63</v>
      </c>
      <c r="BC438" s="167">
        <v>2371</v>
      </c>
      <c r="BD438" s="167">
        <v>0</v>
      </c>
      <c r="BE438" s="167">
        <v>0</v>
      </c>
      <c r="BF438" s="167">
        <v>9067</v>
      </c>
      <c r="BG438" s="167">
        <v>0</v>
      </c>
      <c r="BH438" s="167">
        <v>0</v>
      </c>
      <c r="BI438" s="167">
        <v>0</v>
      </c>
      <c r="BJ438" s="167">
        <v>0</v>
      </c>
      <c r="BK438" s="167">
        <v>5350</v>
      </c>
      <c r="BL438" s="167">
        <v>0</v>
      </c>
      <c r="BM438" s="167">
        <v>31</v>
      </c>
      <c r="BN438" s="167">
        <v>0</v>
      </c>
      <c r="BO438" s="167">
        <v>52347</v>
      </c>
      <c r="BP438" s="167">
        <v>97749</v>
      </c>
      <c r="BQ438" s="167">
        <v>3023</v>
      </c>
      <c r="BR438" s="167">
        <v>23</v>
      </c>
      <c r="BS438" s="167">
        <v>39911</v>
      </c>
      <c r="BT438" s="167">
        <v>2582</v>
      </c>
      <c r="BU438" s="167">
        <v>0</v>
      </c>
      <c r="BV438" s="167">
        <v>1</v>
      </c>
      <c r="BW438" s="167">
        <v>1</v>
      </c>
      <c r="BX438" s="167">
        <v>0</v>
      </c>
      <c r="BY438" s="167">
        <v>238</v>
      </c>
      <c r="BZ438" s="167">
        <v>0</v>
      </c>
      <c r="CA438" s="167">
        <v>34316</v>
      </c>
      <c r="CB438" s="167">
        <v>28281</v>
      </c>
      <c r="CC438" s="167">
        <v>131266</v>
      </c>
      <c r="CD438" s="167">
        <v>351735</v>
      </c>
      <c r="CE438" s="167">
        <v>48894</v>
      </c>
      <c r="CF438" s="167">
        <v>95429</v>
      </c>
      <c r="CG438" s="167">
        <v>0</v>
      </c>
      <c r="CH438" s="167">
        <v>87</v>
      </c>
      <c r="CI438" s="167">
        <v>0</v>
      </c>
      <c r="CJ438" s="167">
        <v>48</v>
      </c>
      <c r="CK438" s="167">
        <v>72164</v>
      </c>
      <c r="CL438" s="167">
        <v>57974</v>
      </c>
      <c r="CM438" s="167">
        <v>416603</v>
      </c>
      <c r="CN438" s="167">
        <v>71964</v>
      </c>
      <c r="CO438" s="167">
        <v>26</v>
      </c>
      <c r="CP438" s="167">
        <v>17110</v>
      </c>
      <c r="CQ438" s="167">
        <v>1937</v>
      </c>
      <c r="CR438" s="167">
        <v>57</v>
      </c>
      <c r="CS438" s="167">
        <v>4206</v>
      </c>
      <c r="CT438" s="167">
        <v>300</v>
      </c>
      <c r="CU438" s="167">
        <v>24175</v>
      </c>
      <c r="CV438" s="167">
        <v>0</v>
      </c>
      <c r="CW438" s="167">
        <v>16228</v>
      </c>
      <c r="CX438" s="167">
        <v>7607</v>
      </c>
      <c r="CY438" s="167">
        <v>0</v>
      </c>
      <c r="CZ438" s="167">
        <v>0</v>
      </c>
      <c r="DA438" s="167">
        <v>0</v>
      </c>
      <c r="DB438" s="167">
        <v>3</v>
      </c>
      <c r="DC438" s="167">
        <v>0</v>
      </c>
      <c r="DD438" s="167">
        <v>8</v>
      </c>
      <c r="DE438">
        <f t="shared" si="168"/>
        <v>1983312</v>
      </c>
      <c r="DG438" s="1">
        <f t="shared" ref="DG438" si="179">SUM(AX438:AY438,BC438:CP438,CU438:CX438)</f>
        <v>1586604</v>
      </c>
      <c r="DH438" s="1">
        <f t="shared" si="176"/>
        <v>294271</v>
      </c>
      <c r="DI438" s="1">
        <f>SUM(DG438:DH438)</f>
        <v>1880875</v>
      </c>
      <c r="DK438" s="1">
        <f t="shared" ref="DK438" si="180">SUM(L438:M438,O438:R438,T438:W438)</f>
        <v>88491</v>
      </c>
      <c r="DL438" s="1">
        <f>SUM(X438:Y438,AA438:AE438,AG438:AL438,AN438,AR438:AV438,AZ438:BB438)</f>
        <v>136468</v>
      </c>
      <c r="DM438" s="1">
        <f t="shared" ref="DM438" si="181">S438</f>
        <v>17337</v>
      </c>
      <c r="DN438" s="1">
        <f t="shared" ref="DN438" si="182">AF438+AW438+AM438+AO438+AP438+AQ438</f>
        <v>49981</v>
      </c>
      <c r="DO438" s="1">
        <f t="shared" ref="DO438" si="183">SUM(AX438,BE438,BH438,BJ438,BN438,BQ438:BR438,BT438,BV438,BY438:CA438,CC438:CE438,CI438:CJ438)</f>
        <v>572129</v>
      </c>
      <c r="DP438" s="1">
        <f t="shared" ref="DP438" si="184">SUM(AY438,BC438:BD438,BG438,BM438,BP438,BS438)</f>
        <v>140062</v>
      </c>
      <c r="DQ438" s="1">
        <f t="shared" ref="DQ438" si="185">SUM(BX438,CQ438,CR438,CW438,CX438)</f>
        <v>25829</v>
      </c>
      <c r="DR438" s="1">
        <f t="shared" ref="DR438" si="186">CB438+CH438+Z438</f>
        <v>28368</v>
      </c>
      <c r="DS438" s="1">
        <f t="shared" ref="DS438" si="187">BO438+BU438</f>
        <v>52347</v>
      </c>
      <c r="DT438" s="1">
        <f t="shared" ref="DT438" si="188">BF438+BI438+BK438+BL438+BW438</f>
        <v>14418</v>
      </c>
      <c r="DU438" s="1">
        <f t="shared" ref="DU438" si="189">SUM(CK438:CL438)</f>
        <v>130138</v>
      </c>
      <c r="DV438" s="1">
        <f t="shared" ref="DV438" si="190">SUM(CM438:CO438)</f>
        <v>488593</v>
      </c>
      <c r="DW438" s="1">
        <f t="shared" ref="DW438" si="191">SUM(CP438, CU438, CV438)</f>
        <v>41285</v>
      </c>
      <c r="DX438" s="1">
        <f t="shared" ref="DX438" si="192">SUM(DK438:DW438)</f>
        <v>1785446</v>
      </c>
      <c r="DZ438" s="1">
        <f t="shared" ref="DZ438" si="193">CF438</f>
        <v>95429</v>
      </c>
      <c r="EA438" s="1">
        <f t="shared" ref="EA438" si="194">SUM(F438:K438,N438,CS438:CT438)</f>
        <v>102437</v>
      </c>
      <c r="EB438" s="1"/>
      <c r="EC438" s="1">
        <f t="shared" ref="EC438" si="195">DX438+EA438+DZ438</f>
        <v>1983312</v>
      </c>
      <c r="ED438" s="1">
        <f t="shared" ref="ED438" si="196">EC438-DE438</f>
        <v>0</v>
      </c>
    </row>
  </sheetData>
  <mergeCells count="2">
    <mergeCell ref="DG1:DI1"/>
    <mergeCell ref="DK1:DX1"/>
  </mergeCells>
  <phoneticPr fontId="2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3B23-6EFE-48F6-B2B4-B61B0D78BC09}">
  <sheetPr>
    <tabColor theme="0"/>
  </sheetPr>
  <dimension ref="A1:AA432"/>
  <sheetViews>
    <sheetView tabSelected="1" zoomScale="90" zoomScaleNormal="90" workbookViewId="0">
      <pane xSplit="2" ySplit="5" topLeftCell="C191" activePane="bottomRight" state="frozen"/>
      <selection activeCell="F136" sqref="F136"/>
      <selection pane="topRight" activeCell="F136" sqref="F136"/>
      <selection pane="bottomLeft" activeCell="F136" sqref="F136"/>
      <selection pane="bottomRight" activeCell="H219" sqref="H219"/>
    </sheetView>
  </sheetViews>
  <sheetFormatPr defaultColWidth="9.109375" defaultRowHeight="13.2" x14ac:dyDescent="0.25"/>
  <cols>
    <col min="1" max="1" width="10.33203125" style="29" customWidth="1"/>
    <col min="2" max="2" width="1.88671875" style="29" hidden="1" customWidth="1"/>
    <col min="3" max="3" width="24" style="28" customWidth="1"/>
    <col min="4" max="4" width="11.44140625" style="28" customWidth="1"/>
    <col min="5" max="5" width="19.6640625" style="28" customWidth="1"/>
    <col min="6" max="6" width="9.88671875" style="28" customWidth="1"/>
    <col min="7" max="7" width="18.33203125" style="28" customWidth="1"/>
    <col min="8" max="8" width="24.6640625" style="28" customWidth="1"/>
    <col min="9" max="9" width="10.6640625" style="28" customWidth="1"/>
    <col min="10" max="10" width="11.33203125" style="28" customWidth="1"/>
    <col min="11" max="11" width="15.5546875" style="28" customWidth="1"/>
    <col min="12" max="12" width="22.33203125" style="28" customWidth="1"/>
    <col min="13" max="13" width="10.6640625" style="28" customWidth="1"/>
    <col min="14" max="14" width="14.6640625" style="28" customWidth="1"/>
    <col min="15" max="15" width="13.33203125" style="28" customWidth="1"/>
    <col min="16" max="16" width="10.6640625" style="28" customWidth="1"/>
    <col min="17" max="17" width="21.109375" style="28" customWidth="1"/>
    <col min="18" max="18" width="12.6640625" style="28" customWidth="1"/>
    <col min="19" max="19" width="13.88671875" style="28" customWidth="1"/>
    <col min="20" max="20" width="17.88671875" style="28" customWidth="1"/>
    <col min="21" max="21" width="15.33203125" style="28" customWidth="1"/>
    <col min="22" max="22" width="17.5546875" style="28" customWidth="1"/>
    <col min="23" max="23" width="16" style="28" customWidth="1"/>
    <col min="24" max="24" width="11.33203125" style="28" customWidth="1"/>
    <col min="25" max="25" width="13.33203125" style="28" customWidth="1"/>
    <col min="26" max="26" width="0" style="28" hidden="1" customWidth="1"/>
    <col min="27" max="16384" width="9.109375" style="28"/>
  </cols>
  <sheetData>
    <row r="1" spans="1:25" s="42" customFormat="1" ht="17.399999999999999" x14ac:dyDescent="0.3">
      <c r="A1" s="43"/>
      <c r="B1" s="43"/>
      <c r="C1" s="170" t="s">
        <v>475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s="44" customFormat="1" ht="18.600000000000001" customHeight="1" x14ac:dyDescent="0.25">
      <c r="A2" s="45"/>
      <c r="B2" s="45"/>
      <c r="C2" s="194" t="s">
        <v>357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78"/>
      <c r="T2" s="171" t="s">
        <v>98</v>
      </c>
      <c r="U2" s="171"/>
      <c r="V2" s="171"/>
      <c r="W2" s="171"/>
      <c r="X2" s="171"/>
      <c r="Y2" s="172" t="s">
        <v>96</v>
      </c>
    </row>
    <row r="3" spans="1:25" s="42" customFormat="1" ht="12.75" customHeight="1" x14ac:dyDescent="0.25">
      <c r="A3" s="43"/>
      <c r="B3" s="43"/>
      <c r="C3" s="173" t="s">
        <v>116</v>
      </c>
      <c r="D3" s="174"/>
      <c r="E3" s="174"/>
      <c r="F3" s="174"/>
      <c r="G3" s="174"/>
      <c r="H3" s="175"/>
      <c r="I3" s="176" t="s">
        <v>101</v>
      </c>
      <c r="J3" s="177"/>
      <c r="K3" s="177"/>
      <c r="L3" s="177"/>
      <c r="M3" s="177"/>
      <c r="N3" s="178"/>
      <c r="O3" s="179" t="s">
        <v>154</v>
      </c>
      <c r="P3" s="180"/>
      <c r="Q3" s="180"/>
      <c r="R3" s="181"/>
      <c r="S3" s="182" t="s">
        <v>0</v>
      </c>
      <c r="T3" s="184" t="s">
        <v>97</v>
      </c>
      <c r="U3" s="185"/>
      <c r="V3" s="79" t="s">
        <v>95</v>
      </c>
      <c r="W3" s="80" t="s">
        <v>95</v>
      </c>
      <c r="X3" s="186" t="s">
        <v>0</v>
      </c>
      <c r="Y3" s="172"/>
    </row>
    <row r="4" spans="1:25" s="42" customFormat="1" ht="12.75" customHeight="1" x14ac:dyDescent="0.25">
      <c r="A4" s="43"/>
      <c r="B4" s="43"/>
      <c r="C4" s="188" t="s">
        <v>115</v>
      </c>
      <c r="D4" s="189"/>
      <c r="E4" s="189"/>
      <c r="F4" s="189"/>
      <c r="G4" s="189"/>
      <c r="H4" s="190" t="s">
        <v>103</v>
      </c>
      <c r="I4" s="192" t="s">
        <v>105</v>
      </c>
      <c r="J4" s="195" t="s">
        <v>88</v>
      </c>
      <c r="K4" s="195" t="s">
        <v>97</v>
      </c>
      <c r="L4" s="203" t="s">
        <v>359</v>
      </c>
      <c r="M4" s="195" t="s">
        <v>138</v>
      </c>
      <c r="N4" s="207" t="s">
        <v>0</v>
      </c>
      <c r="O4" s="209" t="s">
        <v>105</v>
      </c>
      <c r="P4" s="197" t="s">
        <v>155</v>
      </c>
      <c r="Q4" s="205" t="s">
        <v>477</v>
      </c>
      <c r="R4" s="199" t="s">
        <v>0</v>
      </c>
      <c r="S4" s="182"/>
      <c r="T4" s="201" t="s">
        <v>143</v>
      </c>
      <c r="U4" s="195" t="s">
        <v>144</v>
      </c>
      <c r="V4" s="201" t="s">
        <v>325</v>
      </c>
      <c r="W4" s="195" t="s">
        <v>221</v>
      </c>
      <c r="X4" s="186"/>
      <c r="Y4" s="172"/>
    </row>
    <row r="5" spans="1:25" s="40" customFormat="1" ht="51.75" customHeight="1" x14ac:dyDescent="0.25">
      <c r="A5" s="41"/>
      <c r="B5" s="41"/>
      <c r="C5" s="83" t="s">
        <v>366</v>
      </c>
      <c r="D5" s="84" t="s">
        <v>367</v>
      </c>
      <c r="E5" s="84" t="s">
        <v>113</v>
      </c>
      <c r="F5" s="84" t="s">
        <v>114</v>
      </c>
      <c r="G5" s="85" t="s">
        <v>0</v>
      </c>
      <c r="H5" s="191"/>
      <c r="I5" s="193"/>
      <c r="J5" s="196"/>
      <c r="K5" s="196"/>
      <c r="L5" s="204"/>
      <c r="M5" s="195"/>
      <c r="N5" s="208"/>
      <c r="O5" s="210"/>
      <c r="P5" s="198"/>
      <c r="Q5" s="206"/>
      <c r="R5" s="200"/>
      <c r="S5" s="183"/>
      <c r="T5" s="202"/>
      <c r="U5" s="195"/>
      <c r="V5" s="202"/>
      <c r="W5" s="195" t="s">
        <v>221</v>
      </c>
      <c r="X5" s="187"/>
      <c r="Y5" s="172"/>
    </row>
    <row r="6" spans="1:25" x14ac:dyDescent="0.25">
      <c r="A6" s="14">
        <v>39630</v>
      </c>
      <c r="B6" s="14"/>
      <c r="C6" s="15"/>
      <c r="D6" s="15"/>
      <c r="E6" s="15"/>
      <c r="F6" s="15"/>
      <c r="G6" s="152">
        <f>[5]Population!DQ251+[5]Population!DR251</f>
        <v>184652</v>
      </c>
      <c r="H6" s="59">
        <f>[5]Population!DS251+[5]Population!DT251</f>
        <v>44468</v>
      </c>
      <c r="I6" s="64">
        <f>Population!DP244</f>
        <v>62621</v>
      </c>
      <c r="J6" s="15">
        <f>Population!DR244</f>
        <v>16792</v>
      </c>
      <c r="K6" s="15">
        <f>Population!DO244+Population!DT244</f>
        <v>359112</v>
      </c>
      <c r="L6" s="15">
        <f>Population!DQ244</f>
        <v>0</v>
      </c>
      <c r="M6" s="15">
        <f>Population!DS244</f>
        <v>5804</v>
      </c>
      <c r="N6" s="68">
        <f>SUM(I6:M6)</f>
        <v>444329</v>
      </c>
      <c r="O6" s="63">
        <f>Population!DU244</f>
        <v>0</v>
      </c>
      <c r="P6" s="15">
        <f>Population!DV244</f>
        <v>0</v>
      </c>
      <c r="Q6" s="16">
        <v>0</v>
      </c>
      <c r="R6" s="88">
        <v>0</v>
      </c>
      <c r="S6" s="88">
        <f>G6+N6+R6+H6</f>
        <v>673449</v>
      </c>
      <c r="T6" s="17">
        <f>Population!DZ244</f>
        <v>36499</v>
      </c>
      <c r="U6" s="153">
        <f>Population!G244+Population!H244+Population!I244+Population!J244+Population!K244+Population!N244</f>
        <v>54123</v>
      </c>
      <c r="V6" s="15">
        <f>[5]Population!G251</f>
        <v>1128</v>
      </c>
      <c r="W6" s="15">
        <v>0</v>
      </c>
      <c r="X6" s="89">
        <f>SUM(T6:W6)</f>
        <v>91750</v>
      </c>
      <c r="Y6" s="65">
        <f>S6+X6</f>
        <v>765199</v>
      </c>
    </row>
    <row r="7" spans="1:25" x14ac:dyDescent="0.25">
      <c r="A7" s="14">
        <v>39661</v>
      </c>
      <c r="B7" s="14"/>
      <c r="C7" s="15"/>
      <c r="D7" s="15"/>
      <c r="E7" s="15"/>
      <c r="F7" s="15"/>
      <c r="G7" s="152">
        <f>[5]Population!DQ252+[5]Population!DR252</f>
        <v>184946</v>
      </c>
      <c r="H7" s="59">
        <f>[5]Population!DS252+[5]Population!DT252</f>
        <v>44818</v>
      </c>
      <c r="I7" s="64">
        <f>Population!DP245</f>
        <v>63443</v>
      </c>
      <c r="J7" s="15">
        <f>Population!DR245</f>
        <v>16825</v>
      </c>
      <c r="K7" s="15">
        <f>Population!DO245+Population!DT245</f>
        <v>360532</v>
      </c>
      <c r="L7" s="15">
        <f>Population!DQ245</f>
        <v>0</v>
      </c>
      <c r="M7" s="15">
        <f>Population!DS245</f>
        <v>5400</v>
      </c>
      <c r="N7" s="68">
        <f t="shared" ref="N7:N69" si="0">SUM(I7:M7)</f>
        <v>446200</v>
      </c>
      <c r="O7" s="63">
        <f>Population!DU245</f>
        <v>0</v>
      </c>
      <c r="P7" s="15">
        <f>Population!DV245</f>
        <v>0</v>
      </c>
      <c r="Q7" s="16">
        <v>0</v>
      </c>
      <c r="R7" s="88">
        <v>0</v>
      </c>
      <c r="S7" s="88">
        <f t="shared" ref="S7:S69" si="1">G7+N7+R7+H7</f>
        <v>675964</v>
      </c>
      <c r="T7" s="17">
        <f>Population!DZ245</f>
        <v>36792</v>
      </c>
      <c r="U7" s="153">
        <f>Population!G245+Population!H245+Population!I245+Population!J245+Population!K245+Population!N245</f>
        <v>55031</v>
      </c>
      <c r="V7" s="15">
        <f>[5]Population!G252</f>
        <v>1122</v>
      </c>
      <c r="W7" s="15">
        <v>0</v>
      </c>
      <c r="X7" s="89">
        <f t="shared" ref="X7:X69" si="2">SUM(T7:W7)</f>
        <v>92945</v>
      </c>
      <c r="Y7" s="65">
        <f t="shared" ref="Y7:Y69" si="3">S7+X7</f>
        <v>768909</v>
      </c>
    </row>
    <row r="8" spans="1:25" x14ac:dyDescent="0.25">
      <c r="A8" s="14">
        <v>39692</v>
      </c>
      <c r="B8" s="14"/>
      <c r="C8" s="15"/>
      <c r="D8" s="15"/>
      <c r="E8" s="15"/>
      <c r="F8" s="15"/>
      <c r="G8" s="152">
        <f>[5]Population!DQ253+[5]Population!DR253</f>
        <v>185334</v>
      </c>
      <c r="H8" s="59">
        <f>[5]Population!DS253+[5]Population!DT253</f>
        <v>45276</v>
      </c>
      <c r="I8" s="64">
        <f>Population!DP246</f>
        <v>63940</v>
      </c>
      <c r="J8" s="15">
        <f>Population!DR246</f>
        <v>16757</v>
      </c>
      <c r="K8" s="15">
        <f>Population!DO246+Population!DT246</f>
        <v>363048</v>
      </c>
      <c r="L8" s="15">
        <f>Population!DQ246</f>
        <v>0</v>
      </c>
      <c r="M8" s="15">
        <f>Population!DS246</f>
        <v>5037</v>
      </c>
      <c r="N8" s="68">
        <f t="shared" si="0"/>
        <v>448782</v>
      </c>
      <c r="O8" s="63">
        <f>Population!DU246</f>
        <v>0</v>
      </c>
      <c r="P8" s="15">
        <f>Population!DV246</f>
        <v>0</v>
      </c>
      <c r="Q8" s="16">
        <v>0</v>
      </c>
      <c r="R8" s="88">
        <v>0</v>
      </c>
      <c r="S8" s="88">
        <f t="shared" si="1"/>
        <v>679392</v>
      </c>
      <c r="T8" s="17">
        <f>Population!DZ246</f>
        <v>36952</v>
      </c>
      <c r="U8" s="153">
        <f>Population!G246+Population!H246+Population!I246+Population!J246+Population!K246+Population!N246</f>
        <v>55050</v>
      </c>
      <c r="V8" s="15">
        <f>[5]Population!G253</f>
        <v>1128</v>
      </c>
      <c r="W8" s="15">
        <v>0</v>
      </c>
      <c r="X8" s="89">
        <f t="shared" si="2"/>
        <v>93130</v>
      </c>
      <c r="Y8" s="65">
        <f t="shared" si="3"/>
        <v>772522</v>
      </c>
    </row>
    <row r="9" spans="1:25" x14ac:dyDescent="0.25">
      <c r="A9" s="14">
        <v>39722</v>
      </c>
      <c r="B9" s="14"/>
      <c r="C9" s="15"/>
      <c r="D9" s="15"/>
      <c r="E9" s="15"/>
      <c r="F9" s="15"/>
      <c r="G9" s="152">
        <f>[5]Population!DQ254+[5]Population!DR254</f>
        <v>185597</v>
      </c>
      <c r="H9" s="59">
        <f>[5]Population!DS254+[5]Population!DT254</f>
        <v>45659</v>
      </c>
      <c r="I9" s="64">
        <f>Population!DP247</f>
        <v>64903</v>
      </c>
      <c r="J9" s="15">
        <f>Population!DR247</f>
        <v>16994</v>
      </c>
      <c r="K9" s="15">
        <f>Population!DO247+Population!DT247</f>
        <v>367855</v>
      </c>
      <c r="L9" s="15">
        <f>Population!DQ247</f>
        <v>0</v>
      </c>
      <c r="M9" s="15">
        <f>Population!DS247</f>
        <v>4800</v>
      </c>
      <c r="N9" s="68">
        <f t="shared" si="0"/>
        <v>454552</v>
      </c>
      <c r="O9" s="63">
        <f>Population!DU247</f>
        <v>0</v>
      </c>
      <c r="P9" s="15">
        <f>Population!DV247</f>
        <v>0</v>
      </c>
      <c r="Q9" s="16">
        <v>0</v>
      </c>
      <c r="R9" s="88">
        <v>0</v>
      </c>
      <c r="S9" s="88">
        <f t="shared" si="1"/>
        <v>685808</v>
      </c>
      <c r="T9" s="17">
        <f>Population!DZ247</f>
        <v>37361</v>
      </c>
      <c r="U9" s="153">
        <f>Population!G247+Population!H247+Population!I247+Population!J247+Population!K247+Population!N247</f>
        <v>56080</v>
      </c>
      <c r="V9" s="15">
        <f>[5]Population!G254</f>
        <v>1119</v>
      </c>
      <c r="W9" s="15">
        <v>0</v>
      </c>
      <c r="X9" s="89">
        <f t="shared" si="2"/>
        <v>94560</v>
      </c>
      <c r="Y9" s="65">
        <f t="shared" si="3"/>
        <v>780368</v>
      </c>
    </row>
    <row r="10" spans="1:25" x14ac:dyDescent="0.25">
      <c r="A10" s="14">
        <v>39753</v>
      </c>
      <c r="B10" s="14"/>
      <c r="C10" s="15"/>
      <c r="D10" s="15"/>
      <c r="E10" s="15"/>
      <c r="F10" s="15"/>
      <c r="G10" s="152">
        <f>[5]Population!DQ255+[5]Population!DR255</f>
        <v>185798</v>
      </c>
      <c r="H10" s="59">
        <f>[5]Population!DS255+[5]Population!DT255</f>
        <v>45904</v>
      </c>
      <c r="I10" s="64">
        <f>Population!DP248</f>
        <v>66315</v>
      </c>
      <c r="J10" s="15">
        <f>Population!DR248</f>
        <v>16528</v>
      </c>
      <c r="K10" s="15">
        <f>Population!DO248+Population!DT248</f>
        <v>370399</v>
      </c>
      <c r="L10" s="15">
        <f>Population!DQ248</f>
        <v>0</v>
      </c>
      <c r="M10" s="15">
        <f>Population!DS248</f>
        <v>4638</v>
      </c>
      <c r="N10" s="68">
        <f t="shared" si="0"/>
        <v>457880</v>
      </c>
      <c r="O10" s="63">
        <f>Population!DU248</f>
        <v>0</v>
      </c>
      <c r="P10" s="15">
        <f>Population!DV248</f>
        <v>0</v>
      </c>
      <c r="Q10" s="16">
        <v>0</v>
      </c>
      <c r="R10" s="88">
        <v>0</v>
      </c>
      <c r="S10" s="88">
        <f t="shared" si="1"/>
        <v>689582</v>
      </c>
      <c r="T10" s="17">
        <f>Population!DZ248</f>
        <v>38083</v>
      </c>
      <c r="U10" s="153">
        <f>Population!G248+Population!H248+Population!I248+Population!J248+Population!K248+Population!N248</f>
        <v>56911</v>
      </c>
      <c r="V10" s="15">
        <f>[5]Population!G255</f>
        <v>1152</v>
      </c>
      <c r="W10" s="15">
        <v>0</v>
      </c>
      <c r="X10" s="89">
        <f t="shared" si="2"/>
        <v>96146</v>
      </c>
      <c r="Y10" s="65">
        <f t="shared" si="3"/>
        <v>785728</v>
      </c>
    </row>
    <row r="11" spans="1:25" x14ac:dyDescent="0.25">
      <c r="A11" s="14">
        <v>39783</v>
      </c>
      <c r="B11" s="14"/>
      <c r="C11" s="15"/>
      <c r="D11" s="15"/>
      <c r="E11" s="15"/>
      <c r="F11" s="15"/>
      <c r="G11" s="152">
        <f>[5]Population!DQ256+[5]Population!DR256</f>
        <v>186396</v>
      </c>
      <c r="H11" s="59">
        <f>[5]Population!DS256+[5]Population!DT256</f>
        <v>46257</v>
      </c>
      <c r="I11" s="64">
        <f>Population!DP249</f>
        <v>67001</v>
      </c>
      <c r="J11" s="15">
        <f>Population!DR249</f>
        <v>16249</v>
      </c>
      <c r="K11" s="15">
        <f>Population!DO249+Population!DT249</f>
        <v>373911</v>
      </c>
      <c r="L11" s="15">
        <f>Population!DQ249</f>
        <v>0</v>
      </c>
      <c r="M11" s="15">
        <f>Population!DS249</f>
        <v>4291</v>
      </c>
      <c r="N11" s="68">
        <f t="shared" si="0"/>
        <v>461452</v>
      </c>
      <c r="O11" s="63">
        <f>Population!DU249</f>
        <v>0</v>
      </c>
      <c r="P11" s="15">
        <f>Population!DV249</f>
        <v>0</v>
      </c>
      <c r="Q11" s="16">
        <v>0</v>
      </c>
      <c r="R11" s="88">
        <v>0</v>
      </c>
      <c r="S11" s="88">
        <f t="shared" si="1"/>
        <v>694105</v>
      </c>
      <c r="T11" s="17">
        <f>Population!DZ249</f>
        <v>38511</v>
      </c>
      <c r="U11" s="153">
        <f>Population!G249+Population!H249+Population!I249+Population!J249+Population!K249+Population!N249</f>
        <v>56831</v>
      </c>
      <c r="V11" s="15">
        <f>[5]Population!G256</f>
        <v>1201</v>
      </c>
      <c r="W11" s="15">
        <v>0</v>
      </c>
      <c r="X11" s="89">
        <f t="shared" si="2"/>
        <v>96543</v>
      </c>
      <c r="Y11" s="65">
        <f t="shared" si="3"/>
        <v>790648</v>
      </c>
    </row>
    <row r="12" spans="1:25" x14ac:dyDescent="0.25">
      <c r="A12" s="14">
        <v>39814</v>
      </c>
      <c r="B12" s="14"/>
      <c r="C12" s="15"/>
      <c r="D12" s="15"/>
      <c r="E12" s="15"/>
      <c r="F12" s="15"/>
      <c r="G12" s="152">
        <f>[5]Population!DQ257+[5]Population!DR257</f>
        <v>186843</v>
      </c>
      <c r="H12" s="59">
        <f>[5]Population!DS257+[5]Population!DT257</f>
        <v>46640</v>
      </c>
      <c r="I12" s="64">
        <f>Population!DP250</f>
        <v>67322</v>
      </c>
      <c r="J12" s="15">
        <f>Population!DR250</f>
        <v>16187</v>
      </c>
      <c r="K12" s="15">
        <f>Population!DO250+Population!DT250</f>
        <v>378178</v>
      </c>
      <c r="L12" s="15">
        <f>Population!DQ250</f>
        <v>0</v>
      </c>
      <c r="M12" s="15">
        <f>Population!DS250</f>
        <v>4026</v>
      </c>
      <c r="N12" s="68">
        <f t="shared" si="0"/>
        <v>465713</v>
      </c>
      <c r="O12" s="63">
        <f>Population!DU250</f>
        <v>0</v>
      </c>
      <c r="P12" s="15">
        <f>Population!DV250</f>
        <v>0</v>
      </c>
      <c r="Q12" s="16">
        <v>0</v>
      </c>
      <c r="R12" s="88">
        <v>0</v>
      </c>
      <c r="S12" s="88">
        <f t="shared" si="1"/>
        <v>699196</v>
      </c>
      <c r="T12" s="17">
        <f>Population!DZ250</f>
        <v>38809</v>
      </c>
      <c r="U12" s="153">
        <f>Population!G250+Population!H250+Population!I250+Population!J250+Population!K250+Population!N250</f>
        <v>57205</v>
      </c>
      <c r="V12" s="15">
        <f>[5]Population!G257</f>
        <v>1169</v>
      </c>
      <c r="W12" s="15">
        <v>0</v>
      </c>
      <c r="X12" s="89">
        <f t="shared" si="2"/>
        <v>97183</v>
      </c>
      <c r="Y12" s="65">
        <f t="shared" si="3"/>
        <v>796379</v>
      </c>
    </row>
    <row r="13" spans="1:25" x14ac:dyDescent="0.25">
      <c r="A13" s="14">
        <v>39845</v>
      </c>
      <c r="B13" s="14"/>
      <c r="C13" s="15"/>
      <c r="D13" s="15"/>
      <c r="E13" s="15"/>
      <c r="F13" s="15"/>
      <c r="G13" s="152">
        <f>[5]Population!DQ258+[5]Population!DR258</f>
        <v>186753</v>
      </c>
      <c r="H13" s="59">
        <f>[5]Population!DS258+[5]Population!DT258</f>
        <v>39424</v>
      </c>
      <c r="I13" s="64">
        <f>Population!DP251</f>
        <v>67786</v>
      </c>
      <c r="J13" s="15">
        <f>Population!DR251</f>
        <v>16016</v>
      </c>
      <c r="K13" s="15">
        <f>Population!DO251+Population!DT251</f>
        <v>382685</v>
      </c>
      <c r="L13" s="15">
        <f>Population!DQ251</f>
        <v>0</v>
      </c>
      <c r="M13" s="15">
        <f>Population!DS251</f>
        <v>3821</v>
      </c>
      <c r="N13" s="68">
        <f t="shared" si="0"/>
        <v>470308</v>
      </c>
      <c r="O13" s="63">
        <f>Population!DU251</f>
        <v>0</v>
      </c>
      <c r="P13" s="15">
        <f>Population!DV251</f>
        <v>0</v>
      </c>
      <c r="Q13" s="16">
        <v>0</v>
      </c>
      <c r="R13" s="88">
        <v>0</v>
      </c>
      <c r="S13" s="88">
        <f t="shared" si="1"/>
        <v>696485</v>
      </c>
      <c r="T13" s="17">
        <f>Population!DZ251</f>
        <v>39039</v>
      </c>
      <c r="U13" s="153">
        <f>Population!G251+Population!H251+Population!I251+Population!J251+Population!K251+Population!N251</f>
        <v>57005</v>
      </c>
      <c r="V13" s="15">
        <f>[5]Population!G258</f>
        <v>1165</v>
      </c>
      <c r="W13" s="15">
        <v>0</v>
      </c>
      <c r="X13" s="89">
        <f t="shared" si="2"/>
        <v>97209</v>
      </c>
      <c r="Y13" s="65">
        <f t="shared" si="3"/>
        <v>793694</v>
      </c>
    </row>
    <row r="14" spans="1:25" x14ac:dyDescent="0.25">
      <c r="A14" s="14">
        <v>39873</v>
      </c>
      <c r="B14" s="14"/>
      <c r="C14" s="15"/>
      <c r="D14" s="15"/>
      <c r="E14" s="15"/>
      <c r="F14" s="15"/>
      <c r="G14" s="152">
        <f>[5]Population!DQ259+[5]Population!DR259</f>
        <v>187213</v>
      </c>
      <c r="H14" s="59">
        <f>[5]Population!DS259+[5]Population!DT259</f>
        <v>42298</v>
      </c>
      <c r="I14" s="64">
        <f>Population!DP252</f>
        <v>68269</v>
      </c>
      <c r="J14" s="15">
        <f>Population!DR252</f>
        <v>16332</v>
      </c>
      <c r="K14" s="15">
        <f>Population!DO252+Population!DT252</f>
        <v>389448</v>
      </c>
      <c r="L14" s="15">
        <f>Population!DQ252</f>
        <v>0</v>
      </c>
      <c r="M14" s="15">
        <f>Population!DS252</f>
        <v>3774</v>
      </c>
      <c r="N14" s="68">
        <f t="shared" si="0"/>
        <v>477823</v>
      </c>
      <c r="O14" s="63">
        <f>Population!DU252</f>
        <v>0</v>
      </c>
      <c r="P14" s="15">
        <f>Population!DV252</f>
        <v>0</v>
      </c>
      <c r="Q14" s="16">
        <v>0</v>
      </c>
      <c r="R14" s="88">
        <v>0</v>
      </c>
      <c r="S14" s="88">
        <f t="shared" si="1"/>
        <v>707334</v>
      </c>
      <c r="T14" s="17">
        <f>Population!DZ252</f>
        <v>38731</v>
      </c>
      <c r="U14" s="153">
        <f>Population!G252+Population!H252+Population!I252+Population!J252+Population!K252+Population!N252</f>
        <v>56918</v>
      </c>
      <c r="V14" s="15">
        <f>[5]Population!G259</f>
        <v>1161</v>
      </c>
      <c r="W14" s="15">
        <v>0</v>
      </c>
      <c r="X14" s="89">
        <f t="shared" si="2"/>
        <v>96810</v>
      </c>
      <c r="Y14" s="65">
        <f t="shared" si="3"/>
        <v>804144</v>
      </c>
    </row>
    <row r="15" spans="1:25" x14ac:dyDescent="0.25">
      <c r="A15" s="14">
        <v>39904</v>
      </c>
      <c r="B15" s="14"/>
      <c r="C15" s="15"/>
      <c r="D15" s="15"/>
      <c r="E15" s="15"/>
      <c r="F15" s="15"/>
      <c r="G15" s="152">
        <f>[5]Population!DQ260+[5]Population!DR260</f>
        <v>187358</v>
      </c>
      <c r="H15" s="59">
        <f>[5]Population!DS260+[5]Population!DT260</f>
        <v>44541</v>
      </c>
      <c r="I15" s="64">
        <f>Population!DP253</f>
        <v>69264</v>
      </c>
      <c r="J15" s="15">
        <f>Population!DR253</f>
        <v>14034</v>
      </c>
      <c r="K15" s="15">
        <f>Population!DO253+Population!DT253</f>
        <v>395737</v>
      </c>
      <c r="L15" s="15">
        <f>Population!DQ253</f>
        <v>0</v>
      </c>
      <c r="M15" s="15">
        <f>Population!DS253</f>
        <v>3758</v>
      </c>
      <c r="N15" s="68">
        <f t="shared" si="0"/>
        <v>482793</v>
      </c>
      <c r="O15" s="63">
        <f>Population!DU253</f>
        <v>0</v>
      </c>
      <c r="P15" s="15">
        <f>Population!DV253</f>
        <v>0</v>
      </c>
      <c r="Q15" s="16">
        <v>0</v>
      </c>
      <c r="R15" s="88">
        <v>0</v>
      </c>
      <c r="S15" s="88">
        <f t="shared" si="1"/>
        <v>714692</v>
      </c>
      <c r="T15" s="17">
        <f>Population!DZ253</f>
        <v>38781</v>
      </c>
      <c r="U15" s="153">
        <f>Population!G253+Population!H253+Population!I253+Population!J253+Population!K253+Population!N253</f>
        <v>57569</v>
      </c>
      <c r="V15" s="15">
        <f>[5]Population!G260</f>
        <v>1127</v>
      </c>
      <c r="W15" s="15">
        <v>0</v>
      </c>
      <c r="X15" s="89">
        <f t="shared" si="2"/>
        <v>97477</v>
      </c>
      <c r="Y15" s="65">
        <f t="shared" si="3"/>
        <v>812169</v>
      </c>
    </row>
    <row r="16" spans="1:25" x14ac:dyDescent="0.25">
      <c r="A16" s="14">
        <v>39934</v>
      </c>
      <c r="B16" s="14"/>
      <c r="C16" s="15"/>
      <c r="D16" s="15"/>
      <c r="E16" s="15"/>
      <c r="F16" s="15"/>
      <c r="G16" s="152">
        <f>[5]Population!DQ261+[5]Population!DR261</f>
        <v>187577</v>
      </c>
      <c r="H16" s="59">
        <f>[5]Population!DS261+[5]Population!DT261</f>
        <v>45616</v>
      </c>
      <c r="I16" s="64">
        <f>Population!DP254</f>
        <v>70686</v>
      </c>
      <c r="J16" s="15">
        <f>Population!DR254</f>
        <v>14154</v>
      </c>
      <c r="K16" s="15">
        <f>Population!DO254+Population!DT254</f>
        <v>399947</v>
      </c>
      <c r="L16" s="15">
        <f>Population!DQ254</f>
        <v>0</v>
      </c>
      <c r="M16" s="15">
        <f>Population!DS254</f>
        <v>3798</v>
      </c>
      <c r="N16" s="68">
        <f t="shared" si="0"/>
        <v>488585</v>
      </c>
      <c r="O16" s="63">
        <f>Population!DU254</f>
        <v>0</v>
      </c>
      <c r="P16" s="15">
        <f>Population!DV254</f>
        <v>0</v>
      </c>
      <c r="Q16" s="16">
        <v>0</v>
      </c>
      <c r="R16" s="88">
        <v>0</v>
      </c>
      <c r="S16" s="88">
        <f t="shared" si="1"/>
        <v>721778</v>
      </c>
      <c r="T16" s="17">
        <f>Population!DZ254</f>
        <v>38787</v>
      </c>
      <c r="U16" s="153">
        <f>Population!G254+Population!H254+Population!I254+Population!J254+Population!K254+Population!N254</f>
        <v>57154</v>
      </c>
      <c r="V16" s="15">
        <f>[5]Population!G261</f>
        <v>1118</v>
      </c>
      <c r="W16" s="15">
        <v>0</v>
      </c>
      <c r="X16" s="89">
        <f t="shared" si="2"/>
        <v>97059</v>
      </c>
      <c r="Y16" s="65">
        <f t="shared" si="3"/>
        <v>818837</v>
      </c>
    </row>
    <row r="17" spans="1:25" x14ac:dyDescent="0.25">
      <c r="A17" s="14">
        <v>39965</v>
      </c>
      <c r="B17" s="14"/>
      <c r="C17" s="15"/>
      <c r="D17" s="15"/>
      <c r="E17" s="15"/>
      <c r="F17" s="15"/>
      <c r="G17" s="152">
        <f>[5]Population!DQ262+[5]Population!DR262</f>
        <v>188381</v>
      </c>
      <c r="H17" s="59">
        <f>[5]Population!DS262+[5]Population!DT262</f>
        <v>46258</v>
      </c>
      <c r="I17" s="64">
        <f>Population!DP255</f>
        <v>71027</v>
      </c>
      <c r="J17" s="15">
        <f>Population!DR255</f>
        <v>14471</v>
      </c>
      <c r="K17" s="15">
        <f>Population!DO255+Population!DT255</f>
        <v>404891</v>
      </c>
      <c r="L17" s="15">
        <f>Population!DQ255</f>
        <v>0</v>
      </c>
      <c r="M17" s="15">
        <f>Population!DS255</f>
        <v>3949</v>
      </c>
      <c r="N17" s="68">
        <f t="shared" si="0"/>
        <v>494338</v>
      </c>
      <c r="O17" s="63">
        <f>Population!DU255</f>
        <v>0</v>
      </c>
      <c r="P17" s="15">
        <f>Population!DV255</f>
        <v>0</v>
      </c>
      <c r="Q17" s="16">
        <v>0</v>
      </c>
      <c r="R17" s="88">
        <v>0</v>
      </c>
      <c r="S17" s="88">
        <f t="shared" si="1"/>
        <v>728977</v>
      </c>
      <c r="T17" s="17">
        <f>Population!DZ255</f>
        <v>39119</v>
      </c>
      <c r="U17" s="153">
        <f>Population!G255+Population!H255+Population!I255+Population!J255+Population!K255+Population!N255</f>
        <v>57089</v>
      </c>
      <c r="V17" s="15">
        <f>[5]Population!G262</f>
        <v>1124</v>
      </c>
      <c r="W17" s="15">
        <v>0</v>
      </c>
      <c r="X17" s="89">
        <f t="shared" si="2"/>
        <v>97332</v>
      </c>
      <c r="Y17" s="65">
        <f t="shared" si="3"/>
        <v>826309</v>
      </c>
    </row>
    <row r="18" spans="1:25" x14ac:dyDescent="0.25">
      <c r="A18" s="14"/>
      <c r="B18" s="14"/>
      <c r="C18" s="15"/>
      <c r="D18" s="15"/>
      <c r="E18" s="15"/>
      <c r="F18" s="15"/>
      <c r="G18" s="152"/>
      <c r="H18" s="59"/>
      <c r="I18" s="64"/>
      <c r="J18" s="15"/>
      <c r="K18" s="15"/>
      <c r="L18" s="15"/>
      <c r="M18" s="15"/>
      <c r="N18" s="68"/>
      <c r="O18" s="63"/>
      <c r="P18" s="15"/>
      <c r="Q18" s="16"/>
      <c r="R18" s="88"/>
      <c r="S18" s="88"/>
      <c r="T18" s="17"/>
      <c r="U18" s="153"/>
      <c r="V18" s="15"/>
      <c r="W18" s="15"/>
      <c r="X18" s="89"/>
      <c r="Y18" s="65"/>
    </row>
    <row r="19" spans="1:25" x14ac:dyDescent="0.25">
      <c r="A19" s="14">
        <v>39995</v>
      </c>
      <c r="B19" s="14"/>
      <c r="C19" s="15"/>
      <c r="D19" s="15"/>
      <c r="E19" s="15"/>
      <c r="F19" s="15"/>
      <c r="G19" s="152">
        <f>[5]Population!DQ263+[5]Population!DR263</f>
        <v>188739</v>
      </c>
      <c r="H19" s="59">
        <f>[5]Population!DS263+[5]Population!DT263</f>
        <v>46724</v>
      </c>
      <c r="I19" s="64">
        <f>Population!DP256</f>
        <v>71971</v>
      </c>
      <c r="J19" s="15">
        <f>Population!DR256</f>
        <v>14764</v>
      </c>
      <c r="K19" s="15">
        <f>Population!DO256+Population!DT256</f>
        <v>409632</v>
      </c>
      <c r="L19" s="15">
        <f>Population!DQ256</f>
        <v>0</v>
      </c>
      <c r="M19" s="15">
        <f>Population!DS256</f>
        <v>4055</v>
      </c>
      <c r="N19" s="68">
        <f t="shared" si="0"/>
        <v>500422</v>
      </c>
      <c r="O19" s="63">
        <f>Population!DU256</f>
        <v>0</v>
      </c>
      <c r="P19" s="15">
        <f>Population!DV256</f>
        <v>0</v>
      </c>
      <c r="Q19" s="16">
        <v>0</v>
      </c>
      <c r="R19" s="88">
        <v>0</v>
      </c>
      <c r="S19" s="88">
        <f t="shared" si="1"/>
        <v>735885</v>
      </c>
      <c r="T19" s="17">
        <f>Population!DZ256</f>
        <v>39566</v>
      </c>
      <c r="U19" s="153">
        <f>Population!G256+Population!H256+Population!I256+Population!J256+Population!K256+Population!N256</f>
        <v>56953</v>
      </c>
      <c r="V19" s="15">
        <f>[5]Population!G263</f>
        <v>1094</v>
      </c>
      <c r="W19" s="15">
        <v>0</v>
      </c>
      <c r="X19" s="89">
        <f t="shared" si="2"/>
        <v>97613</v>
      </c>
      <c r="Y19" s="65">
        <f t="shared" si="3"/>
        <v>833498</v>
      </c>
    </row>
    <row r="20" spans="1:25" x14ac:dyDescent="0.25">
      <c r="A20" s="14">
        <v>40026</v>
      </c>
      <c r="B20" s="14"/>
      <c r="C20" s="15"/>
      <c r="D20" s="15"/>
      <c r="E20" s="15"/>
      <c r="F20" s="15"/>
      <c r="G20" s="152">
        <f>[5]Population!DQ264+[5]Population!DR264</f>
        <v>188940</v>
      </c>
      <c r="H20" s="59">
        <f>[5]Population!DS264+[5]Population!DT264</f>
        <v>47274</v>
      </c>
      <c r="I20" s="64">
        <f>Population!DP257</f>
        <v>73301</v>
      </c>
      <c r="J20" s="15">
        <f>Population!DR257</f>
        <v>14779</v>
      </c>
      <c r="K20" s="15">
        <f>Population!DO257+Population!DT257</f>
        <v>411809</v>
      </c>
      <c r="L20" s="15">
        <f>Population!DQ257</f>
        <v>0</v>
      </c>
      <c r="M20" s="15">
        <f>Population!DS257</f>
        <v>4145</v>
      </c>
      <c r="N20" s="68">
        <f t="shared" si="0"/>
        <v>504034</v>
      </c>
      <c r="O20" s="63">
        <f>Population!DU257</f>
        <v>0</v>
      </c>
      <c r="P20" s="15">
        <f>Population!DV257</f>
        <v>0</v>
      </c>
      <c r="Q20" s="16">
        <v>0</v>
      </c>
      <c r="R20" s="88">
        <v>0</v>
      </c>
      <c r="S20" s="88">
        <f t="shared" si="1"/>
        <v>740248</v>
      </c>
      <c r="T20" s="17">
        <f>Population!DZ257</f>
        <v>40269</v>
      </c>
      <c r="U20" s="153">
        <f>Population!G257+Population!H257+Population!I257+Population!J257+Population!K257+Population!N257</f>
        <v>56533</v>
      </c>
      <c r="V20" s="15">
        <f>[5]Population!G264</f>
        <v>1130</v>
      </c>
      <c r="W20" s="15">
        <v>0</v>
      </c>
      <c r="X20" s="89">
        <f t="shared" si="2"/>
        <v>97932</v>
      </c>
      <c r="Y20" s="65">
        <f t="shared" si="3"/>
        <v>838180</v>
      </c>
    </row>
    <row r="21" spans="1:25" x14ac:dyDescent="0.25">
      <c r="A21" s="14">
        <v>40057</v>
      </c>
      <c r="B21" s="14"/>
      <c r="C21" s="15"/>
      <c r="D21" s="15"/>
      <c r="E21" s="15"/>
      <c r="F21" s="15"/>
      <c r="G21" s="152">
        <f>[5]Population!DQ265+[5]Population!DR265</f>
        <v>189027</v>
      </c>
      <c r="H21" s="59">
        <f>[5]Population!DS265+[5]Population!DT265</f>
        <v>47732</v>
      </c>
      <c r="I21" s="64">
        <f>Population!DP258</f>
        <v>74328</v>
      </c>
      <c r="J21" s="15">
        <f>Population!DR258</f>
        <v>14680</v>
      </c>
      <c r="K21" s="15">
        <f>Population!DO258+Population!DT258</f>
        <v>417213</v>
      </c>
      <c r="L21" s="15">
        <f>Population!DQ258</f>
        <v>0</v>
      </c>
      <c r="M21" s="15">
        <f>Population!DS258</f>
        <v>4268</v>
      </c>
      <c r="N21" s="68">
        <f t="shared" si="0"/>
        <v>510489</v>
      </c>
      <c r="O21" s="63">
        <f>Population!DU258</f>
        <v>0</v>
      </c>
      <c r="P21" s="15">
        <f>Population!DV258</f>
        <v>0</v>
      </c>
      <c r="Q21" s="16">
        <v>0</v>
      </c>
      <c r="R21" s="88">
        <v>0</v>
      </c>
      <c r="S21" s="88">
        <f t="shared" si="1"/>
        <v>747248</v>
      </c>
      <c r="T21" s="17">
        <f>Population!DZ258</f>
        <v>40829</v>
      </c>
      <c r="U21" s="153">
        <f>Population!G258+Population!H258+Population!I258+Population!J258+Population!K258+Population!N258</f>
        <v>56291</v>
      </c>
      <c r="V21" s="15">
        <f>[5]Population!G265</f>
        <v>1149</v>
      </c>
      <c r="W21" s="15">
        <v>0</v>
      </c>
      <c r="X21" s="89">
        <f t="shared" si="2"/>
        <v>98269</v>
      </c>
      <c r="Y21" s="65">
        <f t="shared" si="3"/>
        <v>845517</v>
      </c>
    </row>
    <row r="22" spans="1:25" x14ac:dyDescent="0.25">
      <c r="A22" s="14">
        <v>40087</v>
      </c>
      <c r="B22" s="14"/>
      <c r="C22" s="15"/>
      <c r="D22" s="15"/>
      <c r="E22" s="15"/>
      <c r="F22" s="15"/>
      <c r="G22" s="152">
        <f>[5]Population!DQ266+[5]Population!DR266</f>
        <v>189495</v>
      </c>
      <c r="H22" s="59">
        <f>[5]Population!DS266+[5]Population!DT266</f>
        <v>47701</v>
      </c>
      <c r="I22" s="64">
        <f>Population!DP259</f>
        <v>75754</v>
      </c>
      <c r="J22" s="15">
        <f>Population!DR259</f>
        <v>14804</v>
      </c>
      <c r="K22" s="15">
        <f>Population!DO259+Population!DT259</f>
        <v>423789</v>
      </c>
      <c r="L22" s="15">
        <f>Population!DQ259</f>
        <v>0</v>
      </c>
      <c r="M22" s="15">
        <f>Population!DS259</f>
        <v>4371</v>
      </c>
      <c r="N22" s="68">
        <f t="shared" si="0"/>
        <v>518718</v>
      </c>
      <c r="O22" s="63">
        <f>Population!DU259</f>
        <v>0</v>
      </c>
      <c r="P22" s="15">
        <f>Population!DV259</f>
        <v>0</v>
      </c>
      <c r="Q22" s="16">
        <v>0</v>
      </c>
      <c r="R22" s="88">
        <v>0</v>
      </c>
      <c r="S22" s="88">
        <f t="shared" si="1"/>
        <v>755914</v>
      </c>
      <c r="T22" s="17">
        <f>Population!DZ259</f>
        <v>41951</v>
      </c>
      <c r="U22" s="153">
        <f>Population!G259+Population!H259+Population!I259+Population!J259+Population!K259+Population!N259</f>
        <v>56271</v>
      </c>
      <c r="V22" s="15">
        <f>[5]Population!G266</f>
        <v>1157</v>
      </c>
      <c r="W22" s="15">
        <v>0</v>
      </c>
      <c r="X22" s="89">
        <f t="shared" si="2"/>
        <v>99379</v>
      </c>
      <c r="Y22" s="65">
        <f t="shared" si="3"/>
        <v>855293</v>
      </c>
    </row>
    <row r="23" spans="1:25" x14ac:dyDescent="0.25">
      <c r="A23" s="14">
        <v>40118</v>
      </c>
      <c r="B23" s="14"/>
      <c r="C23" s="15"/>
      <c r="D23" s="15"/>
      <c r="E23" s="15"/>
      <c r="F23" s="15"/>
      <c r="G23" s="152">
        <f>[5]Population!DQ267+[5]Population!DR267</f>
        <v>190413</v>
      </c>
      <c r="H23" s="59">
        <f>[5]Population!DS267+[5]Population!DT267</f>
        <v>48861</v>
      </c>
      <c r="I23" s="64">
        <f>Population!DP260</f>
        <v>77109</v>
      </c>
      <c r="J23" s="15">
        <f>Population!DR260</f>
        <v>14351</v>
      </c>
      <c r="K23" s="15">
        <f>Population!DO260+Population!DT260</f>
        <v>426918</v>
      </c>
      <c r="L23" s="15">
        <f>Population!DQ260</f>
        <v>0</v>
      </c>
      <c r="M23" s="15">
        <f>Population!DS260</f>
        <v>4480</v>
      </c>
      <c r="N23" s="68">
        <f t="shared" si="0"/>
        <v>522858</v>
      </c>
      <c r="O23" s="63">
        <f>Population!DU260</f>
        <v>0</v>
      </c>
      <c r="P23" s="15">
        <f>Population!DV260</f>
        <v>0</v>
      </c>
      <c r="Q23" s="16">
        <v>0</v>
      </c>
      <c r="R23" s="88">
        <v>0</v>
      </c>
      <c r="S23" s="88">
        <f t="shared" si="1"/>
        <v>762132</v>
      </c>
      <c r="T23" s="17">
        <f>Population!DZ260</f>
        <v>43135</v>
      </c>
      <c r="U23" s="153">
        <f>Population!G260+Population!H260+Population!I260+Population!J260+Population!K260+Population!N260</f>
        <v>56570</v>
      </c>
      <c r="V23" s="15">
        <f>[5]Population!G267</f>
        <v>1195</v>
      </c>
      <c r="W23" s="15">
        <v>0</v>
      </c>
      <c r="X23" s="89">
        <f t="shared" si="2"/>
        <v>100900</v>
      </c>
      <c r="Y23" s="65">
        <f t="shared" si="3"/>
        <v>863032</v>
      </c>
    </row>
    <row r="24" spans="1:25" x14ac:dyDescent="0.25">
      <c r="A24" s="14">
        <v>40148</v>
      </c>
      <c r="B24" s="14"/>
      <c r="C24" s="15"/>
      <c r="D24" s="15"/>
      <c r="E24" s="15"/>
      <c r="F24" s="15"/>
      <c r="G24" s="152">
        <f>[5]Population!DQ268+[5]Population!DR268</f>
        <v>191214</v>
      </c>
      <c r="H24" s="59">
        <f>[5]Population!DS268+[5]Population!DT268</f>
        <v>49284</v>
      </c>
      <c r="I24" s="64">
        <f>Population!DP261</f>
        <v>77288</v>
      </c>
      <c r="J24" s="15">
        <f>Population!DR261</f>
        <v>14298</v>
      </c>
      <c r="K24" s="15">
        <f>Population!DO261+Population!DT261</f>
        <v>430361</v>
      </c>
      <c r="L24" s="15">
        <f>Population!DQ261</f>
        <v>0</v>
      </c>
      <c r="M24" s="15">
        <f>Population!DS261</f>
        <v>4602</v>
      </c>
      <c r="N24" s="68">
        <f t="shared" si="0"/>
        <v>526549</v>
      </c>
      <c r="O24" s="63">
        <f>Population!DU261</f>
        <v>0</v>
      </c>
      <c r="P24" s="15">
        <f>Population!DV261</f>
        <v>0</v>
      </c>
      <c r="Q24" s="16">
        <v>0</v>
      </c>
      <c r="R24" s="88">
        <v>0</v>
      </c>
      <c r="S24" s="88">
        <f t="shared" si="1"/>
        <v>767047</v>
      </c>
      <c r="T24" s="17">
        <f>Population!DZ261</f>
        <v>44098</v>
      </c>
      <c r="U24" s="153">
        <f>Population!G261+Population!H261+Population!I261+Population!J261+Population!K261+Population!N261</f>
        <v>56402</v>
      </c>
      <c r="V24" s="15">
        <f>[5]Population!G268</f>
        <v>1193</v>
      </c>
      <c r="W24" s="15">
        <v>0</v>
      </c>
      <c r="X24" s="89">
        <f t="shared" si="2"/>
        <v>101693</v>
      </c>
      <c r="Y24" s="65">
        <f t="shared" si="3"/>
        <v>868740</v>
      </c>
    </row>
    <row r="25" spans="1:25" x14ac:dyDescent="0.25">
      <c r="A25" s="14">
        <v>40179</v>
      </c>
      <c r="B25" s="14"/>
      <c r="C25" s="15"/>
      <c r="D25" s="15"/>
      <c r="E25" s="15"/>
      <c r="F25" s="15"/>
      <c r="G25" s="152">
        <f>[5]Population!DQ269+[5]Population!DR269</f>
        <v>191411</v>
      </c>
      <c r="H25" s="59">
        <f>[5]Population!DS269+[5]Population!DT269</f>
        <v>49597</v>
      </c>
      <c r="I25" s="64">
        <f>Population!DP262</f>
        <v>78185</v>
      </c>
      <c r="J25" s="15">
        <f>Population!DR262</f>
        <v>15385</v>
      </c>
      <c r="K25" s="15">
        <f>Population!DO262+Population!DT262</f>
        <v>435204</v>
      </c>
      <c r="L25" s="15">
        <f>Population!DQ262</f>
        <v>0</v>
      </c>
      <c r="M25" s="15">
        <f>Population!DS262</f>
        <v>4718</v>
      </c>
      <c r="N25" s="68">
        <f t="shared" si="0"/>
        <v>533492</v>
      </c>
      <c r="O25" s="63">
        <f>Population!DU262</f>
        <v>0</v>
      </c>
      <c r="P25" s="15">
        <f>Population!DV262</f>
        <v>0</v>
      </c>
      <c r="Q25" s="16">
        <v>0</v>
      </c>
      <c r="R25" s="88">
        <v>0</v>
      </c>
      <c r="S25" s="88">
        <f t="shared" si="1"/>
        <v>774500</v>
      </c>
      <c r="T25" s="17">
        <f>Population!DZ262</f>
        <v>44723</v>
      </c>
      <c r="U25" s="153">
        <f>Population!G262+Population!H262+Population!I262+Population!J262+Population!K262+Population!N262</f>
        <v>56131</v>
      </c>
      <c r="V25" s="15">
        <f>[5]Population!G269</f>
        <v>1165</v>
      </c>
      <c r="W25" s="15">
        <v>0</v>
      </c>
      <c r="X25" s="89">
        <f t="shared" si="2"/>
        <v>102019</v>
      </c>
      <c r="Y25" s="65">
        <f t="shared" si="3"/>
        <v>876519</v>
      </c>
    </row>
    <row r="26" spans="1:25" x14ac:dyDescent="0.25">
      <c r="A26" s="14">
        <v>40210</v>
      </c>
      <c r="B26" s="14"/>
      <c r="C26" s="15"/>
      <c r="D26" s="15"/>
      <c r="E26" s="15"/>
      <c r="F26" s="15"/>
      <c r="G26" s="152">
        <f>[5]Population!DQ270+[5]Population!DR270</f>
        <v>191864</v>
      </c>
      <c r="H26" s="59">
        <f>[5]Population!DS270+[5]Population!DT270</f>
        <v>41796</v>
      </c>
      <c r="I26" s="64">
        <f>Population!DP263</f>
        <v>79634</v>
      </c>
      <c r="J26" s="15">
        <f>Population!DR263</f>
        <v>15892</v>
      </c>
      <c r="K26" s="15">
        <f>Population!DO263+Population!DT263</f>
        <v>435866</v>
      </c>
      <c r="L26" s="15">
        <f>Population!DQ263</f>
        <v>0</v>
      </c>
      <c r="M26" s="15">
        <f>Population!DS263</f>
        <v>4741</v>
      </c>
      <c r="N26" s="68">
        <f t="shared" si="0"/>
        <v>536133</v>
      </c>
      <c r="O26" s="63">
        <f>Population!DU263</f>
        <v>0</v>
      </c>
      <c r="P26" s="15">
        <f>Population!DV263</f>
        <v>0</v>
      </c>
      <c r="Q26" s="16">
        <v>0</v>
      </c>
      <c r="R26" s="88">
        <v>0</v>
      </c>
      <c r="S26" s="88">
        <f t="shared" si="1"/>
        <v>769793</v>
      </c>
      <c r="T26" s="17">
        <f>Population!DZ263</f>
        <v>44913</v>
      </c>
      <c r="U26" s="153">
        <f>Population!G263+Population!H263+Population!I263+Population!J263+Population!K263+Population!N263</f>
        <v>54944</v>
      </c>
      <c r="V26" s="15">
        <f>[5]Population!G270</f>
        <v>1165</v>
      </c>
      <c r="W26" s="15">
        <v>0</v>
      </c>
      <c r="X26" s="89">
        <f t="shared" si="2"/>
        <v>101022</v>
      </c>
      <c r="Y26" s="65">
        <f t="shared" si="3"/>
        <v>870815</v>
      </c>
    </row>
    <row r="27" spans="1:25" x14ac:dyDescent="0.25">
      <c r="A27" s="14">
        <v>40238</v>
      </c>
      <c r="B27" s="14"/>
      <c r="C27" s="15"/>
      <c r="D27" s="15"/>
      <c r="E27" s="15"/>
      <c r="F27" s="15"/>
      <c r="G27" s="152">
        <f>[5]Population!DQ271+[5]Population!DR271</f>
        <v>192248</v>
      </c>
      <c r="H27" s="59">
        <f>[5]Population!DS271+[5]Population!DT271</f>
        <v>47857</v>
      </c>
      <c r="I27" s="64">
        <f>Population!DP264</f>
        <v>79494</v>
      </c>
      <c r="J27" s="15">
        <f>Population!DR264</f>
        <v>15880</v>
      </c>
      <c r="K27" s="15">
        <f>Population!DO264+Population!DT264</f>
        <v>440219</v>
      </c>
      <c r="L27" s="15">
        <f>Population!DQ264</f>
        <v>0</v>
      </c>
      <c r="M27" s="15">
        <f>Population!DS264</f>
        <v>4947</v>
      </c>
      <c r="N27" s="68">
        <f t="shared" si="0"/>
        <v>540540</v>
      </c>
      <c r="O27" s="63">
        <f>Population!DU264</f>
        <v>0</v>
      </c>
      <c r="P27" s="15">
        <f>Population!DV264</f>
        <v>0</v>
      </c>
      <c r="Q27" s="16">
        <v>0</v>
      </c>
      <c r="R27" s="88">
        <v>0</v>
      </c>
      <c r="S27" s="88">
        <f t="shared" si="1"/>
        <v>780645</v>
      </c>
      <c r="T27" s="17">
        <f>Population!DZ264</f>
        <v>44823</v>
      </c>
      <c r="U27" s="153">
        <f>Population!G264+Population!H264+Population!I264+Population!J264+Population!K264+Population!N264</f>
        <v>54301</v>
      </c>
      <c r="V27" s="15">
        <f>[5]Population!G271</f>
        <v>1189</v>
      </c>
      <c r="W27" s="15">
        <v>0</v>
      </c>
      <c r="X27" s="89">
        <f t="shared" si="2"/>
        <v>100313</v>
      </c>
      <c r="Y27" s="65">
        <f t="shared" si="3"/>
        <v>880958</v>
      </c>
    </row>
    <row r="28" spans="1:25" x14ac:dyDescent="0.25">
      <c r="A28" s="14">
        <v>40269</v>
      </c>
      <c r="B28" s="14"/>
      <c r="C28" s="15"/>
      <c r="D28" s="15"/>
      <c r="E28" s="15"/>
      <c r="F28" s="15"/>
      <c r="G28" s="152">
        <f>[5]Population!DQ272+[5]Population!DR272</f>
        <v>192123</v>
      </c>
      <c r="H28" s="59">
        <f>[5]Population!DS272+[5]Population!DT272</f>
        <v>48688</v>
      </c>
      <c r="I28" s="64">
        <f>Population!DP265</f>
        <v>80833</v>
      </c>
      <c r="J28" s="15">
        <f>Population!DR265</f>
        <v>15819</v>
      </c>
      <c r="K28" s="15">
        <f>Population!DO265+Population!DT265</f>
        <v>443132</v>
      </c>
      <c r="L28" s="15">
        <f>Population!DQ265</f>
        <v>0</v>
      </c>
      <c r="M28" s="15">
        <f>Population!DS265</f>
        <v>5106</v>
      </c>
      <c r="N28" s="68">
        <f t="shared" si="0"/>
        <v>544890</v>
      </c>
      <c r="O28" s="63">
        <f>Population!DU265</f>
        <v>0</v>
      </c>
      <c r="P28" s="15">
        <f>Population!DV265</f>
        <v>0</v>
      </c>
      <c r="Q28" s="16">
        <v>0</v>
      </c>
      <c r="R28" s="88">
        <v>0</v>
      </c>
      <c r="S28" s="88">
        <f t="shared" si="1"/>
        <v>785701</v>
      </c>
      <c r="T28" s="17">
        <f>Population!DZ265</f>
        <v>44854</v>
      </c>
      <c r="U28" s="153">
        <f>Population!G265+Population!H265+Population!I265+Population!J265+Population!K265+Population!N265</f>
        <v>53798</v>
      </c>
      <c r="V28" s="15">
        <f>[5]Population!G272</f>
        <v>1149</v>
      </c>
      <c r="W28" s="15">
        <v>0</v>
      </c>
      <c r="X28" s="89">
        <f t="shared" si="2"/>
        <v>99801</v>
      </c>
      <c r="Y28" s="65">
        <f t="shared" si="3"/>
        <v>885502</v>
      </c>
    </row>
    <row r="29" spans="1:25" x14ac:dyDescent="0.25">
      <c r="A29" s="14">
        <v>40299</v>
      </c>
      <c r="B29" s="14"/>
      <c r="C29" s="15"/>
      <c r="D29" s="15"/>
      <c r="E29" s="15"/>
      <c r="F29" s="15"/>
      <c r="G29" s="152">
        <f>[5]Population!DQ273+[5]Population!DR273</f>
        <v>192682</v>
      </c>
      <c r="H29" s="59">
        <f>[5]Population!DS273+[5]Population!DT273</f>
        <v>49513</v>
      </c>
      <c r="I29" s="64">
        <f>Population!DP266</f>
        <v>81004</v>
      </c>
      <c r="J29" s="15">
        <f>Population!DR266</f>
        <v>15550</v>
      </c>
      <c r="K29" s="15">
        <f>Population!DO266+Population!DT266</f>
        <v>444030</v>
      </c>
      <c r="L29" s="15">
        <f>Population!DQ266</f>
        <v>0</v>
      </c>
      <c r="M29" s="15">
        <f>Population!DS266</f>
        <v>5276</v>
      </c>
      <c r="N29" s="68">
        <f t="shared" si="0"/>
        <v>545860</v>
      </c>
      <c r="O29" s="63">
        <f>Population!DU266</f>
        <v>0</v>
      </c>
      <c r="P29" s="15">
        <f>Population!DV266</f>
        <v>0</v>
      </c>
      <c r="Q29" s="16">
        <v>0</v>
      </c>
      <c r="R29" s="88">
        <v>0</v>
      </c>
      <c r="S29" s="88">
        <f t="shared" si="1"/>
        <v>788055</v>
      </c>
      <c r="T29" s="17">
        <f>Population!DZ266</f>
        <v>44943</v>
      </c>
      <c r="U29" s="153">
        <f>Population!G266+Population!H266+Population!I266+Population!J266+Population!K266+Population!N266</f>
        <v>53751</v>
      </c>
      <c r="V29" s="15">
        <f>[5]Population!G273</f>
        <v>1170</v>
      </c>
      <c r="W29" s="15">
        <v>0</v>
      </c>
      <c r="X29" s="89">
        <f t="shared" si="2"/>
        <v>99864</v>
      </c>
      <c r="Y29" s="65">
        <f t="shared" si="3"/>
        <v>887919</v>
      </c>
    </row>
    <row r="30" spans="1:25" x14ac:dyDescent="0.25">
      <c r="A30" s="14">
        <v>40330</v>
      </c>
      <c r="B30" s="14"/>
      <c r="C30" s="15"/>
      <c r="D30" s="15"/>
      <c r="E30" s="15"/>
      <c r="F30" s="15"/>
      <c r="G30" s="152">
        <f>[5]Population!DQ274+[5]Population!DR274</f>
        <v>193535</v>
      </c>
      <c r="H30" s="59">
        <f>[5]Population!DS274+[5]Population!DT274</f>
        <v>50251</v>
      </c>
      <c r="I30" s="64">
        <f>Population!DP267</f>
        <v>81283</v>
      </c>
      <c r="J30" s="15">
        <f>Population!DR267</f>
        <v>15228</v>
      </c>
      <c r="K30" s="15">
        <f>Population!DO267+Population!DT267</f>
        <v>442226</v>
      </c>
      <c r="L30" s="15">
        <f>Population!DQ267</f>
        <v>0</v>
      </c>
      <c r="M30" s="15">
        <f>Population!DS267</f>
        <v>5370</v>
      </c>
      <c r="N30" s="68">
        <f t="shared" si="0"/>
        <v>544107</v>
      </c>
      <c r="O30" s="63">
        <f>Population!DU267</f>
        <v>0</v>
      </c>
      <c r="P30" s="15">
        <f>Population!DV267</f>
        <v>0</v>
      </c>
      <c r="Q30" s="16">
        <v>0</v>
      </c>
      <c r="R30" s="88">
        <v>0</v>
      </c>
      <c r="S30" s="88">
        <f t="shared" si="1"/>
        <v>787893</v>
      </c>
      <c r="T30" s="17">
        <f>Population!DZ267</f>
        <v>45107</v>
      </c>
      <c r="U30" s="153">
        <f>Population!G267+Population!H267+Population!I267+Population!J267+Population!K267+Population!N267</f>
        <v>53870</v>
      </c>
      <c r="V30" s="15">
        <f>[5]Population!G274</f>
        <v>1204</v>
      </c>
      <c r="W30" s="15">
        <v>0</v>
      </c>
      <c r="X30" s="89">
        <f t="shared" si="2"/>
        <v>100181</v>
      </c>
      <c r="Y30" s="65">
        <f t="shared" si="3"/>
        <v>888074</v>
      </c>
    </row>
    <row r="31" spans="1:25" x14ac:dyDescent="0.25">
      <c r="A31" s="14"/>
      <c r="B31" s="14"/>
      <c r="C31" s="15"/>
      <c r="D31" s="15"/>
      <c r="E31" s="15"/>
      <c r="F31" s="15"/>
      <c r="G31" s="15"/>
      <c r="H31" s="59"/>
      <c r="I31" s="64"/>
      <c r="J31" s="15"/>
      <c r="K31" s="15"/>
      <c r="L31" s="15"/>
      <c r="M31" s="15"/>
      <c r="N31" s="68"/>
      <c r="O31" s="63"/>
      <c r="P31" s="15"/>
      <c r="Q31" s="16"/>
      <c r="R31" s="88"/>
      <c r="S31" s="88"/>
      <c r="T31" s="17"/>
      <c r="U31" s="153"/>
      <c r="V31" s="15"/>
      <c r="W31" s="15"/>
      <c r="X31" s="89"/>
      <c r="Y31" s="65"/>
    </row>
    <row r="32" spans="1:25" x14ac:dyDescent="0.25">
      <c r="A32" s="14">
        <v>40360</v>
      </c>
      <c r="B32" s="14"/>
      <c r="C32" s="15"/>
      <c r="D32" s="15"/>
      <c r="E32" s="15"/>
      <c r="F32" s="15"/>
      <c r="G32" s="152">
        <f>[5]Population!DQ275+[5]Population!DR275</f>
        <v>194144</v>
      </c>
      <c r="H32" s="59">
        <f>[5]Population!DS275+[5]Population!DT275</f>
        <v>50710</v>
      </c>
      <c r="I32" s="64">
        <f>Population!DP268</f>
        <v>80537</v>
      </c>
      <c r="J32" s="15">
        <f>Population!DR268</f>
        <v>15300</v>
      </c>
      <c r="K32" s="15">
        <f>Population!DO268+Population!DT268</f>
        <v>445897</v>
      </c>
      <c r="L32" s="15">
        <f>Population!DQ268</f>
        <v>0</v>
      </c>
      <c r="M32" s="15">
        <f>Population!DS268</f>
        <v>5522</v>
      </c>
      <c r="N32" s="68">
        <f t="shared" si="0"/>
        <v>547256</v>
      </c>
      <c r="O32" s="63">
        <f>Population!DU268</f>
        <v>0</v>
      </c>
      <c r="P32" s="15">
        <f>Population!DV268</f>
        <v>0</v>
      </c>
      <c r="Q32" s="16">
        <v>0</v>
      </c>
      <c r="R32" s="88">
        <v>0</v>
      </c>
      <c r="S32" s="88">
        <f t="shared" si="1"/>
        <v>792110</v>
      </c>
      <c r="T32" s="17">
        <f>Population!DZ268</f>
        <v>45021</v>
      </c>
      <c r="U32" s="153">
        <f>Population!G268+Population!H268+Population!I268+Population!J268+Population!K268+Population!N268</f>
        <v>53910</v>
      </c>
      <c r="V32" s="15">
        <f>[5]Population!G275</f>
        <v>1231</v>
      </c>
      <c r="W32" s="15">
        <v>0</v>
      </c>
      <c r="X32" s="89">
        <f t="shared" si="2"/>
        <v>100162</v>
      </c>
      <c r="Y32" s="65">
        <f t="shared" si="3"/>
        <v>892272</v>
      </c>
    </row>
    <row r="33" spans="1:25" x14ac:dyDescent="0.25">
      <c r="A33" s="14">
        <v>40391</v>
      </c>
      <c r="B33" s="14"/>
      <c r="C33" s="15"/>
      <c r="D33" s="15"/>
      <c r="E33" s="15"/>
      <c r="F33" s="15"/>
      <c r="G33" s="152">
        <f>[5]Population!DQ276+[5]Population!DR276</f>
        <v>194075</v>
      </c>
      <c r="H33" s="59">
        <f>[5]Population!DS276+[5]Population!DT276</f>
        <v>51173</v>
      </c>
      <c r="I33" s="64">
        <f>Population!DP269</f>
        <v>82542</v>
      </c>
      <c r="J33" s="15">
        <f>Population!DR269</f>
        <v>14577</v>
      </c>
      <c r="K33" s="15">
        <f>Population!DO269+Population!DT269</f>
        <v>447265</v>
      </c>
      <c r="L33" s="15">
        <f>Population!DQ269</f>
        <v>0</v>
      </c>
      <c r="M33" s="15">
        <f>Population!DS269</f>
        <v>5649</v>
      </c>
      <c r="N33" s="68">
        <f t="shared" si="0"/>
        <v>550033</v>
      </c>
      <c r="O33" s="63">
        <f>Population!DU269</f>
        <v>0</v>
      </c>
      <c r="P33" s="15">
        <f>Population!DV269</f>
        <v>0</v>
      </c>
      <c r="Q33" s="16">
        <v>0</v>
      </c>
      <c r="R33" s="88">
        <v>0</v>
      </c>
      <c r="S33" s="88">
        <f t="shared" si="1"/>
        <v>795281</v>
      </c>
      <c r="T33" s="17">
        <f>Population!DZ269</f>
        <v>45310</v>
      </c>
      <c r="U33" s="153">
        <f>Population!G269+Population!H269+Population!I269+Population!J269+Population!K269+Population!N269</f>
        <v>54114</v>
      </c>
      <c r="V33" s="15">
        <f>[5]Population!G276</f>
        <v>1196</v>
      </c>
      <c r="W33" s="15">
        <v>0</v>
      </c>
      <c r="X33" s="89">
        <f t="shared" si="2"/>
        <v>100620</v>
      </c>
      <c r="Y33" s="65">
        <f t="shared" si="3"/>
        <v>895901</v>
      </c>
    </row>
    <row r="34" spans="1:25" x14ac:dyDescent="0.25">
      <c r="A34" s="14">
        <v>40422</v>
      </c>
      <c r="B34" s="14"/>
      <c r="C34" s="15"/>
      <c r="D34" s="15"/>
      <c r="E34" s="15"/>
      <c r="F34" s="15"/>
      <c r="G34" s="152">
        <f>[5]Population!DQ277+[5]Population!DR277</f>
        <v>195067</v>
      </c>
      <c r="H34" s="59">
        <f>[5]Population!DS277+[5]Population!DT277</f>
        <v>51794</v>
      </c>
      <c r="I34" s="64">
        <f>Population!DP270</f>
        <v>83264</v>
      </c>
      <c r="J34" s="15">
        <f>Population!DR270</f>
        <v>14596</v>
      </c>
      <c r="K34" s="15">
        <f>Population!DO270+Population!DT270</f>
        <v>449007</v>
      </c>
      <c r="L34" s="15">
        <f>Population!DQ270</f>
        <v>0</v>
      </c>
      <c r="M34" s="15">
        <f>Population!DS270</f>
        <v>5790</v>
      </c>
      <c r="N34" s="68">
        <f t="shared" si="0"/>
        <v>552657</v>
      </c>
      <c r="O34" s="63">
        <f>Population!DU270</f>
        <v>0</v>
      </c>
      <c r="P34" s="15">
        <f>Population!DV270</f>
        <v>0</v>
      </c>
      <c r="Q34" s="16">
        <v>0</v>
      </c>
      <c r="R34" s="88">
        <v>0</v>
      </c>
      <c r="S34" s="88">
        <f t="shared" si="1"/>
        <v>799518</v>
      </c>
      <c r="T34" s="17">
        <f>Population!DZ270</f>
        <v>45451</v>
      </c>
      <c r="U34" s="153">
        <f>Population!G270+Population!H270+Population!I270+Population!J270+Population!K270+Population!N270</f>
        <v>54912</v>
      </c>
      <c r="V34" s="15">
        <f>[5]Population!G277</f>
        <v>1196</v>
      </c>
      <c r="W34" s="15">
        <v>0</v>
      </c>
      <c r="X34" s="89">
        <f t="shared" si="2"/>
        <v>101559</v>
      </c>
      <c r="Y34" s="65">
        <f t="shared" si="3"/>
        <v>901077</v>
      </c>
    </row>
    <row r="35" spans="1:25" x14ac:dyDescent="0.25">
      <c r="A35" s="14">
        <v>40452</v>
      </c>
      <c r="B35" s="14"/>
      <c r="C35" s="18"/>
      <c r="D35" s="18"/>
      <c r="E35" s="18"/>
      <c r="F35" s="18"/>
      <c r="G35" s="154">
        <f>[5]Population!DQ278+[5]Population!DR278</f>
        <v>195523</v>
      </c>
      <c r="H35" s="59">
        <f>[5]Population!DS278+[5]Population!DT278</f>
        <v>52213</v>
      </c>
      <c r="I35" s="64">
        <f>Population!DP271</f>
        <v>84146</v>
      </c>
      <c r="J35" s="15">
        <f>Population!DR271</f>
        <v>14405</v>
      </c>
      <c r="K35" s="15">
        <f>Population!DO271+Population!DT271</f>
        <v>450986</v>
      </c>
      <c r="L35" s="15">
        <f>Population!DQ271</f>
        <v>0</v>
      </c>
      <c r="M35" s="15">
        <f>Population!DS271</f>
        <v>5850</v>
      </c>
      <c r="N35" s="68">
        <f t="shared" si="0"/>
        <v>555387</v>
      </c>
      <c r="O35" s="63">
        <f>Population!DU271</f>
        <v>0</v>
      </c>
      <c r="P35" s="15">
        <f>Population!DV271</f>
        <v>0</v>
      </c>
      <c r="Q35" s="16">
        <v>0</v>
      </c>
      <c r="R35" s="88">
        <v>0</v>
      </c>
      <c r="S35" s="88">
        <f t="shared" si="1"/>
        <v>803123</v>
      </c>
      <c r="T35" s="17">
        <f>Population!DZ271</f>
        <v>46291</v>
      </c>
      <c r="U35" s="153">
        <f>Population!G271+Population!H271+Population!I271+Population!J271+Population!K271+Population!N271</f>
        <v>55225</v>
      </c>
      <c r="V35" s="18">
        <f>[5]Population!G278</f>
        <v>1257</v>
      </c>
      <c r="W35" s="15">
        <v>0</v>
      </c>
      <c r="X35" s="89">
        <f t="shared" si="2"/>
        <v>102773</v>
      </c>
      <c r="Y35" s="65">
        <f t="shared" si="3"/>
        <v>905896</v>
      </c>
    </row>
    <row r="36" spans="1:25" x14ac:dyDescent="0.25">
      <c r="A36" s="14">
        <v>40483</v>
      </c>
      <c r="B36" s="14"/>
      <c r="C36" s="15"/>
      <c r="D36" s="15"/>
      <c r="E36" s="15"/>
      <c r="F36" s="15"/>
      <c r="G36" s="152">
        <f>[5]Population!DQ279+[5]Population!DR279</f>
        <v>196519</v>
      </c>
      <c r="H36" s="59">
        <f>[5]Population!DS279+[5]Population!DT279</f>
        <v>52615</v>
      </c>
      <c r="I36" s="64">
        <f>Population!DP272</f>
        <v>84666</v>
      </c>
      <c r="J36" s="15">
        <f>Population!DR272</f>
        <v>14150</v>
      </c>
      <c r="K36" s="15">
        <f>Population!DO272+Population!DT272</f>
        <v>452303</v>
      </c>
      <c r="L36" s="15">
        <f>Population!DQ272</f>
        <v>0</v>
      </c>
      <c r="M36" s="15">
        <f>Population!DS272</f>
        <v>5984</v>
      </c>
      <c r="N36" s="68">
        <f t="shared" si="0"/>
        <v>557103</v>
      </c>
      <c r="O36" s="63">
        <f>Population!DU272</f>
        <v>0</v>
      </c>
      <c r="P36" s="15">
        <f>Population!DV272</f>
        <v>0</v>
      </c>
      <c r="Q36" s="16">
        <v>0</v>
      </c>
      <c r="R36" s="88">
        <v>0</v>
      </c>
      <c r="S36" s="88">
        <f t="shared" si="1"/>
        <v>806237</v>
      </c>
      <c r="T36" s="17">
        <f>Population!DZ272</f>
        <v>47070</v>
      </c>
      <c r="U36" s="153">
        <f>Population!G272+Population!H272+Population!I272+Population!J272+Population!K272+Population!N272</f>
        <v>56432</v>
      </c>
      <c r="V36" s="15">
        <f>[5]Population!G279</f>
        <v>1264</v>
      </c>
      <c r="W36" s="15">
        <v>0</v>
      </c>
      <c r="X36" s="89">
        <f t="shared" si="2"/>
        <v>104766</v>
      </c>
      <c r="Y36" s="65">
        <f t="shared" si="3"/>
        <v>911003</v>
      </c>
    </row>
    <row r="37" spans="1:25" x14ac:dyDescent="0.25">
      <c r="A37" s="14">
        <v>40513</v>
      </c>
      <c r="B37" s="14"/>
      <c r="C37" s="15"/>
      <c r="D37" s="15"/>
      <c r="E37" s="15"/>
      <c r="F37" s="15"/>
      <c r="G37" s="152">
        <f>[5]Population!DQ280+[5]Population!DR280</f>
        <v>196935</v>
      </c>
      <c r="H37" s="59">
        <f>[5]Population!DS280+[5]Population!DT280</f>
        <v>53113</v>
      </c>
      <c r="I37" s="64">
        <f>Population!DP273</f>
        <v>84664</v>
      </c>
      <c r="J37" s="15">
        <f>Population!DR273</f>
        <v>13932</v>
      </c>
      <c r="K37" s="15">
        <f>Population!DO273+Population!DT273</f>
        <v>449801</v>
      </c>
      <c r="L37" s="15">
        <f>Population!DQ273</f>
        <v>0</v>
      </c>
      <c r="M37" s="15">
        <f>Population!DS273</f>
        <v>6066</v>
      </c>
      <c r="N37" s="68">
        <f t="shared" si="0"/>
        <v>554463</v>
      </c>
      <c r="O37" s="63">
        <f>Population!DU273</f>
        <v>0</v>
      </c>
      <c r="P37" s="15">
        <f>Population!DV273</f>
        <v>0</v>
      </c>
      <c r="Q37" s="16">
        <v>0</v>
      </c>
      <c r="R37" s="88">
        <v>0</v>
      </c>
      <c r="S37" s="88">
        <f t="shared" si="1"/>
        <v>804511</v>
      </c>
      <c r="T37" s="17">
        <f>Population!DZ273</f>
        <v>47391</v>
      </c>
      <c r="U37" s="153">
        <f>Population!G273+Population!H273+Population!I273+Population!J273+Population!K273+Population!N273</f>
        <v>57308</v>
      </c>
      <c r="V37" s="15">
        <f>[5]Population!G280</f>
        <v>1289</v>
      </c>
      <c r="W37" s="15">
        <v>0</v>
      </c>
      <c r="X37" s="89">
        <f t="shared" si="2"/>
        <v>105988</v>
      </c>
      <c r="Y37" s="65">
        <f t="shared" si="3"/>
        <v>910499</v>
      </c>
    </row>
    <row r="38" spans="1:25" x14ac:dyDescent="0.25">
      <c r="A38" s="14">
        <v>40544</v>
      </c>
      <c r="B38" s="14"/>
      <c r="C38" s="15"/>
      <c r="D38" s="15"/>
      <c r="E38" s="15"/>
      <c r="F38" s="15"/>
      <c r="G38" s="152">
        <f>[5]Population!DQ281+[5]Population!DR281</f>
        <v>197530</v>
      </c>
      <c r="H38" s="59">
        <f>[5]Population!DS281+[5]Population!DT281</f>
        <v>53573</v>
      </c>
      <c r="I38" s="64">
        <f>Population!DP274</f>
        <v>84169</v>
      </c>
      <c r="J38" s="15">
        <f>Population!DR274</f>
        <v>14071</v>
      </c>
      <c r="K38" s="15">
        <f>Population!DO274+Population!DT274</f>
        <v>452073</v>
      </c>
      <c r="L38" s="15">
        <f>Population!DQ274</f>
        <v>0</v>
      </c>
      <c r="M38" s="15">
        <f>Population!DS274</f>
        <v>6151</v>
      </c>
      <c r="N38" s="68">
        <f t="shared" si="0"/>
        <v>556464</v>
      </c>
      <c r="O38" s="63">
        <f>Population!DU274</f>
        <v>0</v>
      </c>
      <c r="P38" s="15">
        <f>Population!DV274</f>
        <v>0</v>
      </c>
      <c r="Q38" s="16">
        <v>0</v>
      </c>
      <c r="R38" s="88">
        <v>0</v>
      </c>
      <c r="S38" s="88">
        <f t="shared" si="1"/>
        <v>807567</v>
      </c>
      <c r="T38" s="17">
        <f>Population!DZ274</f>
        <v>47391</v>
      </c>
      <c r="U38" s="153">
        <f>Population!G274+Population!H274+Population!I274+Population!J274+Population!K274+Population!N274</f>
        <v>57554</v>
      </c>
      <c r="V38" s="15">
        <f>[5]Population!G281</f>
        <v>1292</v>
      </c>
      <c r="W38" s="15">
        <v>0</v>
      </c>
      <c r="X38" s="89">
        <f t="shared" si="2"/>
        <v>106237</v>
      </c>
      <c r="Y38" s="65">
        <f t="shared" si="3"/>
        <v>913804</v>
      </c>
    </row>
    <row r="39" spans="1:25" x14ac:dyDescent="0.25">
      <c r="A39" s="14">
        <v>40575</v>
      </c>
      <c r="B39" s="14"/>
      <c r="C39" s="15"/>
      <c r="D39" s="15"/>
      <c r="E39" s="15"/>
      <c r="F39" s="15"/>
      <c r="G39" s="152">
        <f>[5]Population!DQ282+[5]Population!DR282</f>
        <v>197663</v>
      </c>
      <c r="H39" s="59">
        <f>[5]Population!DS282+[5]Population!DT282</f>
        <v>44326</v>
      </c>
      <c r="I39" s="64">
        <f>Population!DP275</f>
        <v>85054</v>
      </c>
      <c r="J39" s="15">
        <f>Population!DR275</f>
        <v>14074</v>
      </c>
      <c r="K39" s="15">
        <f>Population!DO275+Population!DT275</f>
        <v>450265</v>
      </c>
      <c r="L39" s="15">
        <f>Population!DQ275</f>
        <v>0</v>
      </c>
      <c r="M39" s="15">
        <f>Population!DS275</f>
        <v>6307</v>
      </c>
      <c r="N39" s="68">
        <f t="shared" si="0"/>
        <v>555700</v>
      </c>
      <c r="O39" s="63">
        <f>Population!DU275</f>
        <v>0</v>
      </c>
      <c r="P39" s="15">
        <f>Population!DV275</f>
        <v>0</v>
      </c>
      <c r="Q39" s="16">
        <v>0</v>
      </c>
      <c r="R39" s="88">
        <v>0</v>
      </c>
      <c r="S39" s="88">
        <f t="shared" si="1"/>
        <v>797689</v>
      </c>
      <c r="T39" s="17">
        <f>Population!DZ275</f>
        <v>47306</v>
      </c>
      <c r="U39" s="153">
        <f>Population!G275+Population!H275+Population!I275+Population!J275+Population!K275+Population!N275</f>
        <v>57994</v>
      </c>
      <c r="V39" s="15">
        <f>[5]Population!G282</f>
        <v>1267</v>
      </c>
      <c r="W39" s="15">
        <v>0</v>
      </c>
      <c r="X39" s="89">
        <f t="shared" si="2"/>
        <v>106567</v>
      </c>
      <c r="Y39" s="65">
        <f t="shared" si="3"/>
        <v>904256</v>
      </c>
    </row>
    <row r="40" spans="1:25" x14ac:dyDescent="0.25">
      <c r="A40" s="14">
        <v>40603</v>
      </c>
      <c r="B40" s="14"/>
      <c r="C40" s="15"/>
      <c r="D40" s="15"/>
      <c r="E40" s="15"/>
      <c r="F40" s="15"/>
      <c r="G40" s="152">
        <f>[5]Population!DQ283+[5]Population!DR283</f>
        <v>198188</v>
      </c>
      <c r="H40" s="59">
        <f>[5]Population!DS283+[5]Population!DT283</f>
        <v>51178</v>
      </c>
      <c r="I40" s="64">
        <f>Population!DP276</f>
        <v>84315</v>
      </c>
      <c r="J40" s="15">
        <f>Population!DR276</f>
        <v>14697</v>
      </c>
      <c r="K40" s="15">
        <f>Population!DO276+Population!DT276</f>
        <v>453983</v>
      </c>
      <c r="L40" s="15">
        <f>Population!DQ276</f>
        <v>0</v>
      </c>
      <c r="M40" s="15">
        <f>Population!DS276</f>
        <v>6906</v>
      </c>
      <c r="N40" s="68">
        <f t="shared" si="0"/>
        <v>559901</v>
      </c>
      <c r="O40" s="63">
        <f>Population!DU276</f>
        <v>0</v>
      </c>
      <c r="P40" s="15">
        <f>Population!DV276</f>
        <v>0</v>
      </c>
      <c r="Q40" s="16">
        <v>0</v>
      </c>
      <c r="R40" s="88">
        <v>0</v>
      </c>
      <c r="S40" s="88">
        <f t="shared" si="1"/>
        <v>809267</v>
      </c>
      <c r="T40" s="17">
        <f>Population!DZ276</f>
        <v>46520</v>
      </c>
      <c r="U40" s="153">
        <f>Population!G276+Population!H276+Population!I276+Population!J276+Population!K276+Population!N276</f>
        <v>58282</v>
      </c>
      <c r="V40" s="15">
        <f>[5]Population!G283</f>
        <v>1249</v>
      </c>
      <c r="W40" s="15">
        <v>0</v>
      </c>
      <c r="X40" s="89">
        <f t="shared" si="2"/>
        <v>106051</v>
      </c>
      <c r="Y40" s="65">
        <f t="shared" si="3"/>
        <v>915318</v>
      </c>
    </row>
    <row r="41" spans="1:25" x14ac:dyDescent="0.25">
      <c r="A41" s="14">
        <v>40634</v>
      </c>
      <c r="B41" s="14"/>
      <c r="C41" s="15"/>
      <c r="D41" s="15"/>
      <c r="E41" s="15"/>
      <c r="F41" s="15"/>
      <c r="G41" s="152">
        <f>[5]Population!DQ284+[5]Population!DR284</f>
        <v>197882</v>
      </c>
      <c r="H41" s="59">
        <f>[5]Population!DS284+[5]Population!DT284</f>
        <v>52845</v>
      </c>
      <c r="I41" s="64">
        <f>Population!DP277</f>
        <v>84926</v>
      </c>
      <c r="J41" s="15">
        <f>Population!DR277</f>
        <v>14465</v>
      </c>
      <c r="K41" s="15">
        <f>Population!DO277+Population!DT277</f>
        <v>453938</v>
      </c>
      <c r="L41" s="15">
        <f>Population!DQ277</f>
        <v>0</v>
      </c>
      <c r="M41" s="15">
        <f>Population!DS277</f>
        <v>6633</v>
      </c>
      <c r="N41" s="68">
        <f t="shared" si="0"/>
        <v>559962</v>
      </c>
      <c r="O41" s="63">
        <f>Population!DU277</f>
        <v>0</v>
      </c>
      <c r="P41" s="15">
        <f>Population!DV277</f>
        <v>0</v>
      </c>
      <c r="Q41" s="16">
        <v>0</v>
      </c>
      <c r="R41" s="88">
        <v>0</v>
      </c>
      <c r="S41" s="88">
        <f t="shared" si="1"/>
        <v>810689</v>
      </c>
      <c r="T41" s="17">
        <f>Population!DZ277</f>
        <v>46329</v>
      </c>
      <c r="U41" s="153">
        <f>Population!G277+Population!H277+Population!I277+Population!J277+Population!K277+Population!N277</f>
        <v>60153</v>
      </c>
      <c r="V41" s="15">
        <f>[5]Population!G284</f>
        <v>1259</v>
      </c>
      <c r="W41" s="15">
        <v>0</v>
      </c>
      <c r="X41" s="89">
        <f t="shared" si="2"/>
        <v>107741</v>
      </c>
      <c r="Y41" s="65">
        <f t="shared" si="3"/>
        <v>918430</v>
      </c>
    </row>
    <row r="42" spans="1:25" x14ac:dyDescent="0.25">
      <c r="A42" s="14">
        <v>40664</v>
      </c>
      <c r="B42" s="14"/>
      <c r="C42" s="15"/>
      <c r="D42" s="15"/>
      <c r="E42" s="15"/>
      <c r="F42" s="15"/>
      <c r="G42" s="152">
        <f>[5]Population!DQ285+[5]Population!DR285</f>
        <v>198803</v>
      </c>
      <c r="H42" s="59">
        <f>[5]Population!DS285+[5]Population!DT285</f>
        <v>54220</v>
      </c>
      <c r="I42" s="64">
        <f>Population!DP278</f>
        <v>85276</v>
      </c>
      <c r="J42" s="15">
        <f>Population!DR278</f>
        <v>14829</v>
      </c>
      <c r="K42" s="15">
        <f>Population!DO278+Population!DT278</f>
        <v>454570</v>
      </c>
      <c r="L42" s="15">
        <f>Population!DQ278</f>
        <v>0</v>
      </c>
      <c r="M42" s="15">
        <f>Population!DS278</f>
        <v>7221</v>
      </c>
      <c r="N42" s="68">
        <f t="shared" si="0"/>
        <v>561896</v>
      </c>
      <c r="O42" s="63">
        <f>Population!DU278</f>
        <v>0</v>
      </c>
      <c r="P42" s="15">
        <f>Population!DV278</f>
        <v>0</v>
      </c>
      <c r="Q42" s="16">
        <v>0</v>
      </c>
      <c r="R42" s="88">
        <v>0</v>
      </c>
      <c r="S42" s="88">
        <f t="shared" si="1"/>
        <v>814919</v>
      </c>
      <c r="T42" s="17">
        <f>Population!DZ278</f>
        <v>46567</v>
      </c>
      <c r="U42" s="153">
        <f>Population!G278+Population!H278+Population!I278+Population!J278+Population!K278+Population!N278</f>
        <v>59384</v>
      </c>
      <c r="V42" s="15">
        <f>[5]Population!G285</f>
        <v>1240</v>
      </c>
      <c r="W42" s="15">
        <v>0</v>
      </c>
      <c r="X42" s="89">
        <f t="shared" si="2"/>
        <v>107191</v>
      </c>
      <c r="Y42" s="65">
        <f t="shared" si="3"/>
        <v>922110</v>
      </c>
    </row>
    <row r="43" spans="1:25" x14ac:dyDescent="0.25">
      <c r="A43" s="14">
        <v>40695</v>
      </c>
      <c r="B43" s="14"/>
      <c r="C43" s="15"/>
      <c r="D43" s="15"/>
      <c r="E43" s="15"/>
      <c r="F43" s="15"/>
      <c r="G43" s="152">
        <f>[5]Population!DQ286+[5]Population!DR286</f>
        <v>198485</v>
      </c>
      <c r="H43" s="59">
        <f>[5]Population!DS286+[5]Population!DT286</f>
        <v>53859</v>
      </c>
      <c r="I43" s="64">
        <f>Population!DP279</f>
        <v>85063</v>
      </c>
      <c r="J43" s="15">
        <f>Population!DR279</f>
        <v>15110</v>
      </c>
      <c r="K43" s="15">
        <f>Population!DO279+Population!DT279</f>
        <v>455823</v>
      </c>
      <c r="L43" s="15">
        <f>Population!DQ279</f>
        <v>0</v>
      </c>
      <c r="M43" s="15">
        <f>Population!DS279</f>
        <v>7685</v>
      </c>
      <c r="N43" s="68">
        <f t="shared" si="0"/>
        <v>563681</v>
      </c>
      <c r="O43" s="63">
        <f>Population!DU279</f>
        <v>0</v>
      </c>
      <c r="P43" s="15">
        <f>Population!DV279</f>
        <v>0</v>
      </c>
      <c r="Q43" s="16">
        <v>0</v>
      </c>
      <c r="R43" s="88">
        <v>0</v>
      </c>
      <c r="S43" s="88">
        <f t="shared" si="1"/>
        <v>816025</v>
      </c>
      <c r="T43" s="17">
        <f>Population!DZ279</f>
        <v>46590</v>
      </c>
      <c r="U43" s="153">
        <f>Population!G279+Population!H279+Population!I279+Population!J279+Population!K279+Population!N279</f>
        <v>60580</v>
      </c>
      <c r="V43" s="15">
        <f>[5]Population!G286</f>
        <v>1257</v>
      </c>
      <c r="W43" s="15">
        <v>0</v>
      </c>
      <c r="X43" s="89">
        <f t="shared" si="2"/>
        <v>108427</v>
      </c>
      <c r="Y43" s="65">
        <f t="shared" si="3"/>
        <v>924452</v>
      </c>
    </row>
    <row r="44" spans="1:25" x14ac:dyDescent="0.25">
      <c r="A44" s="14"/>
      <c r="B44" s="14"/>
      <c r="C44" s="15"/>
      <c r="D44" s="15"/>
      <c r="E44" s="15"/>
      <c r="F44" s="15"/>
      <c r="G44" s="152"/>
      <c r="H44" s="59"/>
      <c r="I44" s="64"/>
      <c r="J44" s="15"/>
      <c r="K44" s="15"/>
      <c r="L44" s="15"/>
      <c r="M44" s="15"/>
      <c r="N44" s="68"/>
      <c r="O44" s="63"/>
      <c r="P44" s="15"/>
      <c r="Q44" s="16"/>
      <c r="R44" s="88"/>
      <c r="S44" s="88"/>
      <c r="T44" s="17"/>
      <c r="U44" s="153"/>
      <c r="V44" s="15"/>
      <c r="W44" s="15"/>
      <c r="X44" s="89"/>
      <c r="Y44" s="65"/>
    </row>
    <row r="45" spans="1:25" x14ac:dyDescent="0.25">
      <c r="A45" s="14">
        <v>40725</v>
      </c>
      <c r="B45" s="14"/>
      <c r="C45" s="15"/>
      <c r="D45" s="15"/>
      <c r="E45" s="15"/>
      <c r="F45" s="15"/>
      <c r="G45" s="152">
        <f>[5]Population!DQ287+[5]Population!DR287</f>
        <v>199150</v>
      </c>
      <c r="H45" s="59">
        <f>[5]Population!DS287+[5]Population!DT287</f>
        <v>54793</v>
      </c>
      <c r="I45" s="64">
        <f>Population!DP280</f>
        <v>85167</v>
      </c>
      <c r="J45" s="15">
        <f>Population!DR280</f>
        <v>15042</v>
      </c>
      <c r="K45" s="15">
        <f>Population!DO280+Population!DT280</f>
        <v>455660</v>
      </c>
      <c r="L45" s="15">
        <f>Population!DQ280</f>
        <v>0</v>
      </c>
      <c r="M45" s="15">
        <f>Population!DS280</f>
        <v>7976</v>
      </c>
      <c r="N45" s="68">
        <f t="shared" si="0"/>
        <v>563845</v>
      </c>
      <c r="O45" s="63">
        <f>Population!DU280</f>
        <v>0</v>
      </c>
      <c r="P45" s="15">
        <f>Population!DV280</f>
        <v>0</v>
      </c>
      <c r="Q45" s="16">
        <v>0</v>
      </c>
      <c r="R45" s="88">
        <v>0</v>
      </c>
      <c r="S45" s="88">
        <f t="shared" si="1"/>
        <v>817788</v>
      </c>
      <c r="T45" s="17">
        <f>Population!DZ280</f>
        <v>46472</v>
      </c>
      <c r="U45" s="153">
        <f>Population!G280+Population!H280+Population!I280+Population!J280+Population!K280+Population!N280</f>
        <v>60985</v>
      </c>
      <c r="V45" s="15">
        <f>[5]Population!G287</f>
        <v>1247</v>
      </c>
      <c r="W45" s="15">
        <v>0</v>
      </c>
      <c r="X45" s="89">
        <f t="shared" si="2"/>
        <v>108704</v>
      </c>
      <c r="Y45" s="65">
        <f t="shared" si="3"/>
        <v>926492</v>
      </c>
    </row>
    <row r="46" spans="1:25" x14ac:dyDescent="0.25">
      <c r="A46" s="14">
        <v>40756</v>
      </c>
      <c r="B46" s="14"/>
      <c r="C46" s="15"/>
      <c r="D46" s="15"/>
      <c r="E46" s="15"/>
      <c r="F46" s="15"/>
      <c r="G46" s="152">
        <f>[5]Population!DQ288+[5]Population!DR288</f>
        <v>199108</v>
      </c>
      <c r="H46" s="59">
        <f>[5]Population!DS288+[5]Population!DT288</f>
        <v>55223</v>
      </c>
      <c r="I46" s="64">
        <f>Population!DP281</f>
        <v>85316</v>
      </c>
      <c r="J46" s="15">
        <f>Population!DR281</f>
        <v>14991</v>
      </c>
      <c r="K46" s="15">
        <f>Population!DO281+Population!DT281</f>
        <v>456850</v>
      </c>
      <c r="L46" s="15">
        <f>Population!DQ281</f>
        <v>0</v>
      </c>
      <c r="M46" s="15">
        <f>Population!DS281</f>
        <v>8296</v>
      </c>
      <c r="N46" s="68">
        <f t="shared" si="0"/>
        <v>565453</v>
      </c>
      <c r="O46" s="63">
        <f>Population!DU281</f>
        <v>0</v>
      </c>
      <c r="P46" s="15">
        <f>Population!DV281</f>
        <v>0</v>
      </c>
      <c r="Q46" s="16">
        <v>0</v>
      </c>
      <c r="R46" s="88">
        <v>0</v>
      </c>
      <c r="S46" s="88">
        <f t="shared" si="1"/>
        <v>819784</v>
      </c>
      <c r="T46" s="17">
        <f>Population!DZ281</f>
        <v>46401</v>
      </c>
      <c r="U46" s="153">
        <f>Population!G281+Population!H281+Population!I281+Population!J281+Population!K281+Population!N281</f>
        <v>61167</v>
      </c>
      <c r="V46" s="15">
        <f>[5]Population!G288</f>
        <v>1248</v>
      </c>
      <c r="W46" s="15">
        <v>0</v>
      </c>
      <c r="X46" s="89">
        <f t="shared" si="2"/>
        <v>108816</v>
      </c>
      <c r="Y46" s="65">
        <f t="shared" si="3"/>
        <v>928600</v>
      </c>
    </row>
    <row r="47" spans="1:25" x14ac:dyDescent="0.25">
      <c r="A47" s="14">
        <v>40787</v>
      </c>
      <c r="B47" s="14"/>
      <c r="C47" s="15"/>
      <c r="D47" s="15"/>
      <c r="E47" s="15"/>
      <c r="F47" s="15"/>
      <c r="G47" s="152">
        <f>[5]Population!DQ289+[5]Population!DR289</f>
        <v>199757</v>
      </c>
      <c r="H47" s="59">
        <f>[5]Population!DS289+[5]Population!DT289</f>
        <v>55667</v>
      </c>
      <c r="I47" s="64">
        <f>Population!DP282</f>
        <v>85766</v>
      </c>
      <c r="J47" s="15">
        <f>Population!DR282</f>
        <v>14651</v>
      </c>
      <c r="K47" s="15">
        <f>Population!DO282+Population!DT282</f>
        <v>457426</v>
      </c>
      <c r="L47" s="15">
        <f>Population!DQ282</f>
        <v>0</v>
      </c>
      <c r="M47" s="15">
        <f>Population!DS282</f>
        <v>8590</v>
      </c>
      <c r="N47" s="68">
        <f t="shared" si="0"/>
        <v>566433</v>
      </c>
      <c r="O47" s="63">
        <f>Population!DU282</f>
        <v>0</v>
      </c>
      <c r="P47" s="15">
        <f>Population!DV282</f>
        <v>0</v>
      </c>
      <c r="Q47" s="16">
        <v>0</v>
      </c>
      <c r="R47" s="88">
        <v>0</v>
      </c>
      <c r="S47" s="88">
        <f t="shared" si="1"/>
        <v>821857</v>
      </c>
      <c r="T47" s="17">
        <f>Population!DZ282</f>
        <v>46810</v>
      </c>
      <c r="U47" s="153">
        <f>Population!G282+Population!H282+Population!I282+Population!J282+Population!K282+Population!N282</f>
        <v>60774</v>
      </c>
      <c r="V47" s="15">
        <f>[5]Population!G289</f>
        <v>1228</v>
      </c>
      <c r="W47" s="15">
        <v>0</v>
      </c>
      <c r="X47" s="89">
        <f t="shared" si="2"/>
        <v>108812</v>
      </c>
      <c r="Y47" s="65">
        <f t="shared" si="3"/>
        <v>930669</v>
      </c>
    </row>
    <row r="48" spans="1:25" x14ac:dyDescent="0.25">
      <c r="A48" s="14">
        <v>40817</v>
      </c>
      <c r="B48" s="14"/>
      <c r="C48" s="15"/>
      <c r="D48" s="15"/>
      <c r="E48" s="15"/>
      <c r="F48" s="15"/>
      <c r="G48" s="152">
        <f>[5]Population!DQ290+[5]Population!DR290</f>
        <v>200452</v>
      </c>
      <c r="H48" s="59">
        <f>[5]Population!DS290+[5]Population!DT290</f>
        <v>56164</v>
      </c>
      <c r="I48" s="64">
        <f>Population!DP283</f>
        <v>86150</v>
      </c>
      <c r="J48" s="15">
        <f>Population!DR283</f>
        <v>14378</v>
      </c>
      <c r="K48" s="15">
        <f>Population!DO283+Population!DT283</f>
        <v>459454</v>
      </c>
      <c r="L48" s="15">
        <f>Population!DQ283</f>
        <v>0</v>
      </c>
      <c r="M48" s="15">
        <f>Population!DS283</f>
        <v>9850</v>
      </c>
      <c r="N48" s="68">
        <f t="shared" si="0"/>
        <v>569832</v>
      </c>
      <c r="O48" s="63">
        <f>Population!DU283</f>
        <v>0</v>
      </c>
      <c r="P48" s="15">
        <f>Population!DV283</f>
        <v>0</v>
      </c>
      <c r="Q48" s="16">
        <v>0</v>
      </c>
      <c r="R48" s="88">
        <v>0</v>
      </c>
      <c r="S48" s="88">
        <f t="shared" si="1"/>
        <v>826448</v>
      </c>
      <c r="T48" s="17">
        <f>Population!DZ283</f>
        <v>46943</v>
      </c>
      <c r="U48" s="153">
        <f>Population!G283+Population!H283+Population!I283+Population!J283+Population!K283+Population!N283</f>
        <v>60266</v>
      </c>
      <c r="V48" s="15">
        <f>[5]Population!G290</f>
        <v>1254</v>
      </c>
      <c r="W48" s="15">
        <v>0</v>
      </c>
      <c r="X48" s="89">
        <f t="shared" si="2"/>
        <v>108463</v>
      </c>
      <c r="Y48" s="65">
        <f t="shared" si="3"/>
        <v>934911</v>
      </c>
    </row>
    <row r="49" spans="1:25" x14ac:dyDescent="0.25">
      <c r="A49" s="14">
        <v>40848</v>
      </c>
      <c r="B49" s="14"/>
      <c r="C49" s="15"/>
      <c r="D49" s="15"/>
      <c r="E49" s="15"/>
      <c r="F49" s="15"/>
      <c r="G49" s="152">
        <f>[5]Population!DQ291+[5]Population!DR291</f>
        <v>200843</v>
      </c>
      <c r="H49" s="59">
        <f>[5]Population!DS291+[5]Population!DT291</f>
        <v>56528</v>
      </c>
      <c r="I49" s="64">
        <f>Population!DP284</f>
        <v>86846</v>
      </c>
      <c r="J49" s="15">
        <f>Population!DR284</f>
        <v>14054</v>
      </c>
      <c r="K49" s="15">
        <f>Population!DO284+Population!DT284</f>
        <v>460566</v>
      </c>
      <c r="L49" s="15">
        <f>Population!DQ284</f>
        <v>0</v>
      </c>
      <c r="M49" s="15">
        <f>Population!DS284</f>
        <v>12522</v>
      </c>
      <c r="N49" s="68">
        <f t="shared" si="0"/>
        <v>573988</v>
      </c>
      <c r="O49" s="63">
        <f>Population!DU284</f>
        <v>0</v>
      </c>
      <c r="P49" s="15">
        <f>Population!DV284</f>
        <v>0</v>
      </c>
      <c r="Q49" s="16">
        <v>0</v>
      </c>
      <c r="R49" s="88">
        <v>0</v>
      </c>
      <c r="S49" s="88">
        <f t="shared" si="1"/>
        <v>831359</v>
      </c>
      <c r="T49" s="17">
        <f>Population!DZ284</f>
        <v>47637</v>
      </c>
      <c r="U49" s="153">
        <f>Population!G284+Population!H284+Population!I284+Population!J284+Population!K284+Population!N284</f>
        <v>60877</v>
      </c>
      <c r="V49" s="15">
        <f>[5]Population!G291</f>
        <v>1250</v>
      </c>
      <c r="W49" s="15">
        <v>0</v>
      </c>
      <c r="X49" s="89">
        <f t="shared" si="2"/>
        <v>109764</v>
      </c>
      <c r="Y49" s="65">
        <f t="shared" si="3"/>
        <v>941123</v>
      </c>
    </row>
    <row r="50" spans="1:25" x14ac:dyDescent="0.25">
      <c r="A50" s="14">
        <v>40878</v>
      </c>
      <c r="B50" s="14"/>
      <c r="C50" s="15"/>
      <c r="D50" s="15"/>
      <c r="E50" s="15"/>
      <c r="F50" s="15"/>
      <c r="G50" s="152">
        <f>[5]Population!DQ292+[5]Population!DR292</f>
        <v>201180</v>
      </c>
      <c r="H50" s="59">
        <f>[5]Population!DS292+[5]Population!DT292</f>
        <v>56944</v>
      </c>
      <c r="I50" s="64">
        <f>Population!DP285</f>
        <v>87017</v>
      </c>
      <c r="J50" s="15">
        <f>Population!DR285</f>
        <v>13948</v>
      </c>
      <c r="K50" s="15">
        <f>Population!DO285+Population!DT285</f>
        <v>460816</v>
      </c>
      <c r="L50" s="15">
        <f>Population!DQ285</f>
        <v>0</v>
      </c>
      <c r="M50" s="15">
        <f>Population!DS285</f>
        <v>14856</v>
      </c>
      <c r="N50" s="68">
        <f t="shared" si="0"/>
        <v>576637</v>
      </c>
      <c r="O50" s="63">
        <f>Population!DU285</f>
        <v>0</v>
      </c>
      <c r="P50" s="15">
        <f>Population!DV285</f>
        <v>0</v>
      </c>
      <c r="Q50" s="16">
        <v>0</v>
      </c>
      <c r="R50" s="88">
        <v>0</v>
      </c>
      <c r="S50" s="88">
        <f t="shared" si="1"/>
        <v>834761</v>
      </c>
      <c r="T50" s="17">
        <f>Population!DZ285</f>
        <v>48239</v>
      </c>
      <c r="U50" s="153">
        <f>Population!G285+Population!H285+Population!I285+Population!J285+Population!K285+Population!N285</f>
        <v>61827</v>
      </c>
      <c r="V50" s="15">
        <f>[5]Population!G292</f>
        <v>1250</v>
      </c>
      <c r="W50" s="15">
        <v>0</v>
      </c>
      <c r="X50" s="89">
        <f t="shared" si="2"/>
        <v>111316</v>
      </c>
      <c r="Y50" s="65">
        <f t="shared" si="3"/>
        <v>946077</v>
      </c>
    </row>
    <row r="51" spans="1:25" x14ac:dyDescent="0.25">
      <c r="A51" s="14">
        <v>40909</v>
      </c>
      <c r="B51" s="14"/>
      <c r="C51" s="15"/>
      <c r="D51" s="15"/>
      <c r="E51" s="15"/>
      <c r="F51" s="15"/>
      <c r="G51" s="152">
        <f>[5]Population!DQ293+[5]Population!DR293</f>
        <v>201691</v>
      </c>
      <c r="H51" s="59">
        <f>[5]Population!DS293+[5]Population!DT293</f>
        <v>57437</v>
      </c>
      <c r="I51" s="64">
        <f>Population!DP286</f>
        <v>87138</v>
      </c>
      <c r="J51" s="15">
        <f>Population!DR286</f>
        <v>14239</v>
      </c>
      <c r="K51" s="15">
        <f>Population!DO286+Population!DT286</f>
        <v>464358</v>
      </c>
      <c r="L51" s="15">
        <f>Population!DQ286</f>
        <v>0</v>
      </c>
      <c r="M51" s="15">
        <f>Population!DS286</f>
        <v>16918</v>
      </c>
      <c r="N51" s="68">
        <f t="shared" si="0"/>
        <v>582653</v>
      </c>
      <c r="O51" s="63">
        <f>Population!DU286</f>
        <v>0</v>
      </c>
      <c r="P51" s="15">
        <f>Population!DV286</f>
        <v>0</v>
      </c>
      <c r="Q51" s="16">
        <v>0</v>
      </c>
      <c r="R51" s="88">
        <v>0</v>
      </c>
      <c r="S51" s="88">
        <f t="shared" si="1"/>
        <v>841781</v>
      </c>
      <c r="T51" s="17">
        <f>Population!DZ286</f>
        <v>48436</v>
      </c>
      <c r="U51" s="153">
        <f>Population!G286+Population!H286+Population!I286+Population!J286+Population!K286+Population!N286</f>
        <v>62902</v>
      </c>
      <c r="V51" s="15">
        <f>[5]Population!G293</f>
        <v>1274</v>
      </c>
      <c r="W51" s="15">
        <v>0</v>
      </c>
      <c r="X51" s="89">
        <f t="shared" si="2"/>
        <v>112612</v>
      </c>
      <c r="Y51" s="65">
        <f t="shared" si="3"/>
        <v>954393</v>
      </c>
    </row>
    <row r="52" spans="1:25" x14ac:dyDescent="0.25">
      <c r="A52" s="14">
        <v>40940</v>
      </c>
      <c r="B52" s="14"/>
      <c r="C52" s="15"/>
      <c r="D52" s="15"/>
      <c r="E52" s="15"/>
      <c r="F52" s="15"/>
      <c r="G52" s="152">
        <f>[5]Population!DQ294+[5]Population!DR294</f>
        <v>201558</v>
      </c>
      <c r="H52" s="59">
        <f>[5]Population!DS294+[5]Population!DT294</f>
        <v>47185</v>
      </c>
      <c r="I52" s="64">
        <f>Population!DP287</f>
        <v>88520</v>
      </c>
      <c r="J52" s="15">
        <f>Population!DR287</f>
        <v>14334</v>
      </c>
      <c r="K52" s="15">
        <f>Population!DO287+Population!DT287</f>
        <v>463062</v>
      </c>
      <c r="L52" s="15">
        <f>Population!DQ287</f>
        <v>0</v>
      </c>
      <c r="M52" s="15">
        <f>Population!DS287</f>
        <v>18949</v>
      </c>
      <c r="N52" s="68">
        <f t="shared" si="0"/>
        <v>584865</v>
      </c>
      <c r="O52" s="63">
        <f>Population!DU287</f>
        <v>0</v>
      </c>
      <c r="P52" s="15">
        <f>Population!DV287</f>
        <v>0</v>
      </c>
      <c r="Q52" s="16">
        <v>0</v>
      </c>
      <c r="R52" s="88">
        <v>0</v>
      </c>
      <c r="S52" s="88">
        <f t="shared" si="1"/>
        <v>833608</v>
      </c>
      <c r="T52" s="17">
        <f>Population!DZ287</f>
        <v>48746</v>
      </c>
      <c r="U52" s="153">
        <f>Population!G287+Population!H287+Population!I287+Population!J287+Population!K287+Population!N287</f>
        <v>63671</v>
      </c>
      <c r="V52" s="15">
        <f>[5]Population!G294</f>
        <v>1329</v>
      </c>
      <c r="W52" s="15">
        <v>0</v>
      </c>
      <c r="X52" s="89">
        <f t="shared" si="2"/>
        <v>113746</v>
      </c>
      <c r="Y52" s="65">
        <f t="shared" si="3"/>
        <v>947354</v>
      </c>
    </row>
    <row r="53" spans="1:25" x14ac:dyDescent="0.25">
      <c r="A53" s="14">
        <v>40969</v>
      </c>
      <c r="B53" s="14"/>
      <c r="C53" s="15"/>
      <c r="D53" s="15"/>
      <c r="E53" s="15"/>
      <c r="F53" s="15"/>
      <c r="G53" s="152">
        <f>[5]Population!DQ295+[5]Population!DR295</f>
        <v>202166</v>
      </c>
      <c r="H53" s="59">
        <f>[5]Population!DS295+[5]Population!DT295</f>
        <v>55357</v>
      </c>
      <c r="I53" s="64">
        <f>Population!DP288</f>
        <v>87932</v>
      </c>
      <c r="J53" s="15">
        <f>Population!DR288</f>
        <v>14558</v>
      </c>
      <c r="K53" s="15">
        <f>Population!DO288+Population!DT288</f>
        <v>465133</v>
      </c>
      <c r="L53" s="15">
        <f>Population!DQ288</f>
        <v>0</v>
      </c>
      <c r="M53" s="15">
        <f>Population!DS288</f>
        <v>21258</v>
      </c>
      <c r="N53" s="68">
        <f t="shared" si="0"/>
        <v>588881</v>
      </c>
      <c r="O53" s="63">
        <f>Population!DU288</f>
        <v>0</v>
      </c>
      <c r="P53" s="15">
        <f>Population!DV288</f>
        <v>0</v>
      </c>
      <c r="Q53" s="16">
        <v>0</v>
      </c>
      <c r="R53" s="88">
        <v>0</v>
      </c>
      <c r="S53" s="88">
        <f t="shared" si="1"/>
        <v>846404</v>
      </c>
      <c r="T53" s="17">
        <f>Population!DZ288</f>
        <v>48456</v>
      </c>
      <c r="U53" s="153">
        <f>Population!G288+Population!H288+Population!I288+Population!J288+Population!K288+Population!N288</f>
        <v>63294</v>
      </c>
      <c r="V53" s="15">
        <f>[5]Population!G295</f>
        <v>1380</v>
      </c>
      <c r="W53" s="15">
        <v>0</v>
      </c>
      <c r="X53" s="89">
        <f t="shared" si="2"/>
        <v>113130</v>
      </c>
      <c r="Y53" s="65">
        <f t="shared" si="3"/>
        <v>959534</v>
      </c>
    </row>
    <row r="54" spans="1:25" x14ac:dyDescent="0.25">
      <c r="A54" s="14">
        <v>41000</v>
      </c>
      <c r="B54" s="14"/>
      <c r="C54" s="15"/>
      <c r="D54" s="15"/>
      <c r="E54" s="15"/>
      <c r="F54" s="15"/>
      <c r="G54" s="152">
        <f>[5]Population!DQ296+[5]Population!DR296</f>
        <v>202277</v>
      </c>
      <c r="H54" s="59">
        <f>[5]Population!DS296+[5]Population!DT296</f>
        <v>56761</v>
      </c>
      <c r="I54" s="64">
        <f>Population!DP289</f>
        <v>88663</v>
      </c>
      <c r="J54" s="15">
        <f>Population!DR289</f>
        <v>14646</v>
      </c>
      <c r="K54" s="15">
        <f>Population!DO289+Population!DT289</f>
        <v>466536</v>
      </c>
      <c r="L54" s="15">
        <f>Population!DQ289</f>
        <v>0</v>
      </c>
      <c r="M54" s="15">
        <f>Population!DS289</f>
        <v>23294</v>
      </c>
      <c r="N54" s="68">
        <f t="shared" si="0"/>
        <v>593139</v>
      </c>
      <c r="O54" s="63">
        <f>Population!DU289</f>
        <v>0</v>
      </c>
      <c r="P54" s="15">
        <f>Population!DV289</f>
        <v>0</v>
      </c>
      <c r="Q54" s="16">
        <v>0</v>
      </c>
      <c r="R54" s="88">
        <v>0</v>
      </c>
      <c r="S54" s="88">
        <f t="shared" si="1"/>
        <v>852177</v>
      </c>
      <c r="T54" s="17">
        <f>Population!DZ289</f>
        <v>48326</v>
      </c>
      <c r="U54" s="153">
        <f>Population!G289+Population!H289+Population!I289+Population!J289+Population!K289+Population!N289</f>
        <v>63814</v>
      </c>
      <c r="V54" s="15">
        <f>[5]Population!G296</f>
        <v>1398</v>
      </c>
      <c r="W54" s="15">
        <v>0</v>
      </c>
      <c r="X54" s="89">
        <f t="shared" si="2"/>
        <v>113538</v>
      </c>
      <c r="Y54" s="65">
        <f t="shared" si="3"/>
        <v>965715</v>
      </c>
    </row>
    <row r="55" spans="1:25" x14ac:dyDescent="0.25">
      <c r="A55" s="14">
        <v>41030</v>
      </c>
      <c r="B55" s="14"/>
      <c r="C55" s="15"/>
      <c r="D55" s="15"/>
      <c r="E55" s="15"/>
      <c r="F55" s="15"/>
      <c r="G55" s="152">
        <f>[5]Population!DQ297+[5]Population!DR297</f>
        <v>202575</v>
      </c>
      <c r="H55" s="59">
        <f>[5]Population!DS297+[5]Population!DT297</f>
        <v>57491</v>
      </c>
      <c r="I55" s="64">
        <f>Population!DP290</f>
        <v>88739</v>
      </c>
      <c r="J55" s="15">
        <f>Population!DR290</f>
        <v>14832</v>
      </c>
      <c r="K55" s="15">
        <f>Population!DO290+Population!DT290</f>
        <v>467809</v>
      </c>
      <c r="L55" s="15">
        <f>Population!DQ290</f>
        <v>0</v>
      </c>
      <c r="M55" s="15">
        <f>Population!DS290</f>
        <v>25418</v>
      </c>
      <c r="N55" s="68">
        <f t="shared" si="0"/>
        <v>596798</v>
      </c>
      <c r="O55" s="63">
        <f>Population!DU290</f>
        <v>0</v>
      </c>
      <c r="P55" s="15">
        <f>Population!DV290</f>
        <v>0</v>
      </c>
      <c r="Q55" s="16">
        <v>0</v>
      </c>
      <c r="R55" s="88">
        <v>0</v>
      </c>
      <c r="S55" s="88">
        <f t="shared" si="1"/>
        <v>856864</v>
      </c>
      <c r="T55" s="17">
        <f>Population!DZ290</f>
        <v>48521</v>
      </c>
      <c r="U55" s="153">
        <f>Population!G290+Population!H290+Population!I290+Population!J290+Population!K290+Population!N290</f>
        <v>64059</v>
      </c>
      <c r="V55" s="15">
        <f>[5]Population!G297</f>
        <v>1436</v>
      </c>
      <c r="W55" s="15">
        <v>0</v>
      </c>
      <c r="X55" s="89">
        <f t="shared" si="2"/>
        <v>114016</v>
      </c>
      <c r="Y55" s="65">
        <f t="shared" si="3"/>
        <v>970880</v>
      </c>
    </row>
    <row r="56" spans="1:25" x14ac:dyDescent="0.25">
      <c r="A56" s="14">
        <v>41061</v>
      </c>
      <c r="B56" s="14"/>
      <c r="C56" s="15"/>
      <c r="D56" s="15"/>
      <c r="E56" s="15"/>
      <c r="F56" s="15"/>
      <c r="G56" s="152">
        <f>[5]Population!DQ298+[5]Population!DR298</f>
        <v>202794</v>
      </c>
      <c r="H56" s="59">
        <f>[5]Population!DS298+[5]Population!DT298</f>
        <v>58132</v>
      </c>
      <c r="I56" s="64">
        <f>Population!DP291</f>
        <v>89001</v>
      </c>
      <c r="J56" s="15">
        <f>Population!DR291</f>
        <v>15038</v>
      </c>
      <c r="K56" s="15">
        <f>Population!DO291+Population!DT291</f>
        <v>468839</v>
      </c>
      <c r="L56" s="15">
        <f>Population!DQ291</f>
        <v>0</v>
      </c>
      <c r="M56" s="15">
        <f>Population!DS291</f>
        <v>27257</v>
      </c>
      <c r="N56" s="68">
        <f t="shared" si="0"/>
        <v>600135</v>
      </c>
      <c r="O56" s="63">
        <f>Population!DU291</f>
        <v>0</v>
      </c>
      <c r="P56" s="15">
        <f>Population!DV291</f>
        <v>0</v>
      </c>
      <c r="Q56" s="16">
        <v>0</v>
      </c>
      <c r="R56" s="88">
        <v>0</v>
      </c>
      <c r="S56" s="88">
        <f t="shared" si="1"/>
        <v>861061</v>
      </c>
      <c r="T56" s="17">
        <f>Population!DZ291</f>
        <v>48723</v>
      </c>
      <c r="U56" s="153">
        <f>Population!G291+Population!H291+Population!I291+Population!J291+Population!K291+Population!N291</f>
        <v>64436</v>
      </c>
      <c r="V56" s="15">
        <f>[5]Population!G298</f>
        <v>1471</v>
      </c>
      <c r="W56" s="15">
        <v>0</v>
      </c>
      <c r="X56" s="89">
        <f t="shared" si="2"/>
        <v>114630</v>
      </c>
      <c r="Y56" s="65">
        <f t="shared" si="3"/>
        <v>975691</v>
      </c>
    </row>
    <row r="57" spans="1:25" x14ac:dyDescent="0.25">
      <c r="A57" s="14"/>
      <c r="B57" s="14"/>
      <c r="C57" s="15"/>
      <c r="D57" s="15"/>
      <c r="E57" s="15"/>
      <c r="F57" s="15"/>
      <c r="G57" s="152"/>
      <c r="H57" s="59"/>
      <c r="I57" s="64"/>
      <c r="J57" s="15"/>
      <c r="K57" s="15"/>
      <c r="L57" s="15"/>
      <c r="M57" s="15"/>
      <c r="N57" s="68"/>
      <c r="O57" s="63"/>
      <c r="P57" s="15"/>
      <c r="Q57" s="16"/>
      <c r="R57" s="88"/>
      <c r="S57" s="88"/>
      <c r="T57" s="17"/>
      <c r="U57" s="153"/>
      <c r="V57" s="15"/>
      <c r="W57" s="15"/>
      <c r="X57" s="89"/>
      <c r="Y57" s="65"/>
    </row>
    <row r="58" spans="1:25" x14ac:dyDescent="0.25">
      <c r="A58" s="14">
        <v>41091</v>
      </c>
      <c r="B58" s="14"/>
      <c r="C58" s="15">
        <f t="shared" ref="C58:C69" si="4">G58-D58-E58-F58</f>
        <v>146708</v>
      </c>
      <c r="D58" s="15">
        <f>20478+1288</f>
        <v>21766</v>
      </c>
      <c r="E58" s="15">
        <v>33395</v>
      </c>
      <c r="F58" s="15">
        <v>718</v>
      </c>
      <c r="G58" s="152">
        <f>[5]Population!DQ299+[5]Population!DR299</f>
        <v>202587</v>
      </c>
      <c r="H58" s="59">
        <f>[5]Population!DS299+[5]Population!DT299</f>
        <v>58494</v>
      </c>
      <c r="I58" s="64">
        <f>Population!DP292</f>
        <v>89469</v>
      </c>
      <c r="J58" s="15">
        <f>Population!DR292</f>
        <v>15160</v>
      </c>
      <c r="K58" s="15">
        <f>Population!DO292+Population!DT292</f>
        <v>469453</v>
      </c>
      <c r="L58" s="15">
        <f>Population!DQ292</f>
        <v>0</v>
      </c>
      <c r="M58" s="15">
        <f>Population!DS292</f>
        <v>28946</v>
      </c>
      <c r="N58" s="68">
        <f t="shared" si="0"/>
        <v>603028</v>
      </c>
      <c r="O58" s="63">
        <f>Population!DU292</f>
        <v>0</v>
      </c>
      <c r="P58" s="15">
        <f>Population!DV292</f>
        <v>0</v>
      </c>
      <c r="Q58" s="16">
        <v>0</v>
      </c>
      <c r="R58" s="88">
        <v>0</v>
      </c>
      <c r="S58" s="88">
        <f t="shared" si="1"/>
        <v>864109</v>
      </c>
      <c r="T58" s="17">
        <f>Population!DZ292</f>
        <v>49140</v>
      </c>
      <c r="U58" s="153">
        <f>Population!G292+Population!H292+Population!I292+Population!J292+Population!K292+Population!N292</f>
        <v>64149</v>
      </c>
      <c r="V58" s="15">
        <f>[5]Population!G299</f>
        <v>1477</v>
      </c>
      <c r="W58" s="15">
        <v>0</v>
      </c>
      <c r="X58" s="89">
        <f t="shared" si="2"/>
        <v>114766</v>
      </c>
      <c r="Y58" s="65">
        <f t="shared" si="3"/>
        <v>978875</v>
      </c>
    </row>
    <row r="59" spans="1:25" x14ac:dyDescent="0.25">
      <c r="A59" s="14">
        <v>41122</v>
      </c>
      <c r="B59" s="14"/>
      <c r="C59" s="15">
        <f t="shared" si="4"/>
        <v>146357</v>
      </c>
      <c r="D59" s="15">
        <f>20434+1288</f>
        <v>21722</v>
      </c>
      <c r="E59" s="15">
        <v>33676</v>
      </c>
      <c r="F59" s="15">
        <v>722</v>
      </c>
      <c r="G59" s="152">
        <f>[5]Population!DQ300+[5]Population!DR300</f>
        <v>202477</v>
      </c>
      <c r="H59" s="59">
        <f>[5]Population!DS300+[5]Population!DT300</f>
        <v>58895</v>
      </c>
      <c r="I59" s="64">
        <f>Population!DP293</f>
        <v>89853</v>
      </c>
      <c r="J59" s="15">
        <f>Population!DR293</f>
        <v>15554</v>
      </c>
      <c r="K59" s="15">
        <f>Population!DO293+Population!DT293</f>
        <v>470931</v>
      </c>
      <c r="L59" s="15">
        <f>Population!DQ293</f>
        <v>0</v>
      </c>
      <c r="M59" s="15">
        <f>Population!DS293</f>
        <v>30690</v>
      </c>
      <c r="N59" s="68">
        <f t="shared" si="0"/>
        <v>607028</v>
      </c>
      <c r="O59" s="63">
        <f>Population!DU293</f>
        <v>0</v>
      </c>
      <c r="P59" s="15">
        <f>Population!DV293</f>
        <v>0</v>
      </c>
      <c r="Q59" s="16">
        <v>0</v>
      </c>
      <c r="R59" s="88">
        <v>0</v>
      </c>
      <c r="S59" s="88">
        <f t="shared" si="1"/>
        <v>868400</v>
      </c>
      <c r="T59" s="17">
        <f>Population!DZ293</f>
        <v>48930</v>
      </c>
      <c r="U59" s="153">
        <f>Population!G293+Population!H293+Population!I293+Population!J293+Population!K293+Population!N293</f>
        <v>63697</v>
      </c>
      <c r="V59" s="15">
        <f>[5]Population!G300</f>
        <v>1483</v>
      </c>
      <c r="W59" s="15">
        <v>0</v>
      </c>
      <c r="X59" s="89">
        <f t="shared" si="2"/>
        <v>114110</v>
      </c>
      <c r="Y59" s="65">
        <f t="shared" si="3"/>
        <v>982510</v>
      </c>
    </row>
    <row r="60" spans="1:25" x14ac:dyDescent="0.25">
      <c r="A60" s="14">
        <v>41153</v>
      </c>
      <c r="B60" s="14"/>
      <c r="C60" s="15">
        <f t="shared" si="4"/>
        <v>146459</v>
      </c>
      <c r="D60" s="15">
        <f>20447+1266</f>
        <v>21713</v>
      </c>
      <c r="E60" s="15">
        <v>33992</v>
      </c>
      <c r="F60" s="15">
        <v>742</v>
      </c>
      <c r="G60" s="152">
        <f>[5]Population!DQ301+[5]Population!DR301</f>
        <v>202906</v>
      </c>
      <c r="H60" s="59">
        <f>[5]Population!DS301+[5]Population!DT301</f>
        <v>59253</v>
      </c>
      <c r="I60" s="64">
        <f>Population!DP294</f>
        <v>90770</v>
      </c>
      <c r="J60" s="15">
        <f>Population!DR294</f>
        <v>15377</v>
      </c>
      <c r="K60" s="15">
        <f>Population!DO294+Population!DT294</f>
        <v>471967</v>
      </c>
      <c r="L60" s="15">
        <f>Population!DQ294</f>
        <v>0</v>
      </c>
      <c r="M60" s="15">
        <f>Population!DS294</f>
        <v>31779</v>
      </c>
      <c r="N60" s="68">
        <f t="shared" si="0"/>
        <v>609893</v>
      </c>
      <c r="O60" s="63">
        <f>Population!DU294</f>
        <v>0</v>
      </c>
      <c r="P60" s="15">
        <f>Population!DV294</f>
        <v>0</v>
      </c>
      <c r="Q60" s="16">
        <v>0</v>
      </c>
      <c r="R60" s="88">
        <v>0</v>
      </c>
      <c r="S60" s="88">
        <f t="shared" si="1"/>
        <v>872052</v>
      </c>
      <c r="T60" s="17">
        <f>Population!DZ294</f>
        <v>49323</v>
      </c>
      <c r="U60" s="153">
        <f>Population!G294+Population!H294+Population!I294+Population!J294+Population!K294+Population!N294</f>
        <v>62774</v>
      </c>
      <c r="V60" s="15">
        <f>[5]Population!G301</f>
        <v>1478</v>
      </c>
      <c r="W60" s="15">
        <v>0</v>
      </c>
      <c r="X60" s="89">
        <f t="shared" si="2"/>
        <v>113575</v>
      </c>
      <c r="Y60" s="65">
        <f t="shared" si="3"/>
        <v>985627</v>
      </c>
    </row>
    <row r="61" spans="1:25" x14ac:dyDescent="0.25">
      <c r="A61" s="14">
        <v>41183</v>
      </c>
      <c r="B61" s="14"/>
      <c r="C61" s="15">
        <f t="shared" si="4"/>
        <v>146539</v>
      </c>
      <c r="D61" s="15">
        <f>20439+1243</f>
        <v>21682</v>
      </c>
      <c r="E61" s="15">
        <v>34293</v>
      </c>
      <c r="F61" s="15">
        <v>757</v>
      </c>
      <c r="G61" s="152">
        <f>[5]Population!DQ302+[5]Population!DR302</f>
        <v>203271</v>
      </c>
      <c r="H61" s="59">
        <f>[5]Population!DS302+[5]Population!DT302</f>
        <v>59780</v>
      </c>
      <c r="I61" s="64">
        <f>Population!DP295</f>
        <v>91403</v>
      </c>
      <c r="J61" s="15">
        <f>Population!DR295</f>
        <v>15338</v>
      </c>
      <c r="K61" s="15">
        <f>Population!DO295+Population!DT295</f>
        <v>474444</v>
      </c>
      <c r="L61" s="15">
        <f>Population!DQ295</f>
        <v>0</v>
      </c>
      <c r="M61" s="15">
        <f>Population!DS295</f>
        <v>33070</v>
      </c>
      <c r="N61" s="68">
        <f t="shared" si="0"/>
        <v>614255</v>
      </c>
      <c r="O61" s="63">
        <f>Population!DU295</f>
        <v>0</v>
      </c>
      <c r="P61" s="15">
        <f>Population!DV295</f>
        <v>0</v>
      </c>
      <c r="Q61" s="16">
        <v>0</v>
      </c>
      <c r="R61" s="88">
        <v>0</v>
      </c>
      <c r="S61" s="88">
        <f t="shared" si="1"/>
        <v>877306</v>
      </c>
      <c r="T61" s="17">
        <f>Population!DZ295</f>
        <v>49705</v>
      </c>
      <c r="U61" s="153">
        <f>Population!G295+Population!H295+Population!I295+Population!J295+Population!K295+Population!N295</f>
        <v>62601</v>
      </c>
      <c r="V61" s="15">
        <f>[5]Population!G302</f>
        <v>1492</v>
      </c>
      <c r="W61" s="15">
        <v>0</v>
      </c>
      <c r="X61" s="89">
        <f t="shared" si="2"/>
        <v>113798</v>
      </c>
      <c r="Y61" s="65">
        <f t="shared" si="3"/>
        <v>991104</v>
      </c>
    </row>
    <row r="62" spans="1:25" x14ac:dyDescent="0.25">
      <c r="A62" s="14">
        <v>41214</v>
      </c>
      <c r="B62" s="14"/>
      <c r="C62" s="15">
        <f t="shared" si="4"/>
        <v>146588</v>
      </c>
      <c r="D62" s="15">
        <f>20321+1223</f>
        <v>21544</v>
      </c>
      <c r="E62" s="15">
        <v>34566</v>
      </c>
      <c r="F62" s="15">
        <v>767</v>
      </c>
      <c r="G62" s="152">
        <f>[5]Population!DQ303+[5]Population!DR303</f>
        <v>203465</v>
      </c>
      <c r="H62" s="59">
        <f>[5]Population!DS303+[5]Population!DT303</f>
        <v>60077</v>
      </c>
      <c r="I62" s="64">
        <f>Population!DP296</f>
        <v>91988</v>
      </c>
      <c r="J62" s="15">
        <f>Population!DR296</f>
        <v>15048</v>
      </c>
      <c r="K62" s="15">
        <f>Population!DO296+Population!DT296</f>
        <v>475013</v>
      </c>
      <c r="L62" s="15">
        <f>Population!DQ296</f>
        <v>0</v>
      </c>
      <c r="M62" s="15">
        <f>Population!DS296</f>
        <v>34005</v>
      </c>
      <c r="N62" s="68">
        <f t="shared" si="0"/>
        <v>616054</v>
      </c>
      <c r="O62" s="63">
        <f>Population!DU296</f>
        <v>0</v>
      </c>
      <c r="P62" s="15">
        <f>Population!DV296</f>
        <v>0</v>
      </c>
      <c r="Q62" s="16">
        <v>0</v>
      </c>
      <c r="R62" s="88">
        <v>0</v>
      </c>
      <c r="S62" s="88">
        <f t="shared" si="1"/>
        <v>879596</v>
      </c>
      <c r="T62" s="17">
        <f>Population!DZ296</f>
        <v>50180</v>
      </c>
      <c r="U62" s="153">
        <f>Population!G296+Population!H296+Population!I296+Population!J296+Population!K296+Population!N296</f>
        <v>63420</v>
      </c>
      <c r="V62" s="15">
        <f>[5]Population!G303</f>
        <v>1488</v>
      </c>
      <c r="W62" s="15">
        <v>0</v>
      </c>
      <c r="X62" s="89">
        <f t="shared" si="2"/>
        <v>115088</v>
      </c>
      <c r="Y62" s="65">
        <f t="shared" si="3"/>
        <v>994684</v>
      </c>
    </row>
    <row r="63" spans="1:25" x14ac:dyDescent="0.25">
      <c r="A63" s="14">
        <v>41244</v>
      </c>
      <c r="B63" s="14"/>
      <c r="C63" s="15">
        <f t="shared" si="4"/>
        <v>146806</v>
      </c>
      <c r="D63" s="15">
        <f>20336+1230</f>
        <v>21566</v>
      </c>
      <c r="E63" s="15">
        <v>34885</v>
      </c>
      <c r="F63" s="15">
        <v>793</v>
      </c>
      <c r="G63" s="152">
        <f>[5]Population!DQ304+[5]Population!DR304</f>
        <v>204050</v>
      </c>
      <c r="H63" s="59">
        <f>[5]Population!DS304+[5]Population!DT304</f>
        <v>60517</v>
      </c>
      <c r="I63" s="64">
        <f>Population!DP297</f>
        <v>91895</v>
      </c>
      <c r="J63" s="15">
        <f>Population!DR297</f>
        <v>14659</v>
      </c>
      <c r="K63" s="15">
        <f>Population!DO297+Population!DT297</f>
        <v>472825</v>
      </c>
      <c r="L63" s="15">
        <f>Population!DQ297</f>
        <v>0</v>
      </c>
      <c r="M63" s="15">
        <f>Population!DS297</f>
        <v>34407</v>
      </c>
      <c r="N63" s="68">
        <f t="shared" si="0"/>
        <v>613786</v>
      </c>
      <c r="O63" s="63">
        <f>Population!DU297</f>
        <v>0</v>
      </c>
      <c r="P63" s="15">
        <f>Population!DV297</f>
        <v>0</v>
      </c>
      <c r="Q63" s="16">
        <v>0</v>
      </c>
      <c r="R63" s="88">
        <v>0</v>
      </c>
      <c r="S63" s="88">
        <f t="shared" si="1"/>
        <v>878353</v>
      </c>
      <c r="T63" s="17">
        <f>Population!DZ297</f>
        <v>50694</v>
      </c>
      <c r="U63" s="153">
        <f>Population!G297+Population!H297+Population!I297+Population!J297+Population!K297+Population!N297</f>
        <v>63923</v>
      </c>
      <c r="V63" s="15">
        <f>[5]Population!G304</f>
        <v>1501</v>
      </c>
      <c r="W63" s="15">
        <v>0</v>
      </c>
      <c r="X63" s="89">
        <f t="shared" si="2"/>
        <v>116118</v>
      </c>
      <c r="Y63" s="65">
        <f t="shared" si="3"/>
        <v>994471</v>
      </c>
    </row>
    <row r="64" spans="1:25" x14ac:dyDescent="0.25">
      <c r="A64" s="14">
        <v>41275</v>
      </c>
      <c r="B64" s="14"/>
      <c r="C64" s="15">
        <f t="shared" si="4"/>
        <v>146987</v>
      </c>
      <c r="D64" s="15">
        <f>20151+1223</f>
        <v>21374</v>
      </c>
      <c r="E64" s="15">
        <v>34893</v>
      </c>
      <c r="F64" s="15">
        <v>780</v>
      </c>
      <c r="G64" s="152">
        <f>[5]Population!DQ305+[5]Population!DR305</f>
        <v>204034</v>
      </c>
      <c r="H64" s="59">
        <f>[5]Population!DS305+[5]Population!DT305</f>
        <v>60954</v>
      </c>
      <c r="I64" s="64">
        <f>Population!DP298</f>
        <v>91447</v>
      </c>
      <c r="J64" s="15">
        <f>Population!DR298</f>
        <v>14934</v>
      </c>
      <c r="K64" s="15">
        <f>Population!DO298+Population!DT298</f>
        <v>475827</v>
      </c>
      <c r="L64" s="15">
        <f>Population!DQ298</f>
        <v>0</v>
      </c>
      <c r="M64" s="15">
        <f>Population!DS298</f>
        <v>35335</v>
      </c>
      <c r="N64" s="68">
        <f t="shared" si="0"/>
        <v>617543</v>
      </c>
      <c r="O64" s="63">
        <f>Population!DU298</f>
        <v>0</v>
      </c>
      <c r="P64" s="15">
        <f>Population!DV298</f>
        <v>0</v>
      </c>
      <c r="Q64" s="16">
        <v>0</v>
      </c>
      <c r="R64" s="88">
        <v>0</v>
      </c>
      <c r="S64" s="88">
        <f t="shared" si="1"/>
        <v>882531</v>
      </c>
      <c r="T64" s="17">
        <f>Population!DZ298</f>
        <v>50809</v>
      </c>
      <c r="U64" s="153">
        <f>Population!G298+Population!H298+Population!I298+Population!J298+Population!K298+Population!N298</f>
        <v>63749</v>
      </c>
      <c r="V64" s="15">
        <f>[5]Population!G305</f>
        <v>1471</v>
      </c>
      <c r="W64" s="15">
        <v>0</v>
      </c>
      <c r="X64" s="89">
        <f t="shared" si="2"/>
        <v>116029</v>
      </c>
      <c r="Y64" s="65">
        <f t="shared" si="3"/>
        <v>998560</v>
      </c>
    </row>
    <row r="65" spans="1:25" x14ac:dyDescent="0.25">
      <c r="A65" s="14">
        <v>41306</v>
      </c>
      <c r="B65" s="14"/>
      <c r="C65" s="15">
        <f t="shared" si="4"/>
        <v>146699</v>
      </c>
      <c r="D65" s="15">
        <f>20174+1205</f>
        <v>21379</v>
      </c>
      <c r="E65" s="15">
        <v>34880</v>
      </c>
      <c r="F65" s="15">
        <v>806</v>
      </c>
      <c r="G65" s="152">
        <f>[5]Population!DQ306+[5]Population!DR306</f>
        <v>203764</v>
      </c>
      <c r="H65" s="59">
        <f>[5]Population!DS306+[5]Population!DT306</f>
        <v>49501</v>
      </c>
      <c r="I65" s="64">
        <f>Population!DP299</f>
        <v>92549</v>
      </c>
      <c r="J65" s="15">
        <f>Population!DR299</f>
        <v>15005</v>
      </c>
      <c r="K65" s="15">
        <f>Population!DO299+Population!DT299</f>
        <v>476031</v>
      </c>
      <c r="L65" s="15">
        <f>Population!DQ299</f>
        <v>0</v>
      </c>
      <c r="M65" s="15">
        <f>Population!DS299</f>
        <v>36071</v>
      </c>
      <c r="N65" s="68">
        <f t="shared" si="0"/>
        <v>619656</v>
      </c>
      <c r="O65" s="63">
        <f>Population!DU299</f>
        <v>0</v>
      </c>
      <c r="P65" s="15">
        <f>Population!DV299</f>
        <v>0</v>
      </c>
      <c r="Q65" s="16">
        <v>0</v>
      </c>
      <c r="R65" s="88">
        <v>0</v>
      </c>
      <c r="S65" s="88">
        <f t="shared" si="1"/>
        <v>872921</v>
      </c>
      <c r="T65" s="17">
        <f>Population!DZ299</f>
        <v>51156</v>
      </c>
      <c r="U65" s="153">
        <f>Population!G299+Population!H299+Population!I299+Population!J299+Population!K299+Population!N299</f>
        <v>64114</v>
      </c>
      <c r="V65" s="15">
        <f>[5]Population!G306</f>
        <v>1468</v>
      </c>
      <c r="W65" s="15">
        <v>0</v>
      </c>
      <c r="X65" s="89">
        <f t="shared" si="2"/>
        <v>116738</v>
      </c>
      <c r="Y65" s="65">
        <f t="shared" si="3"/>
        <v>989659</v>
      </c>
    </row>
    <row r="66" spans="1:25" x14ac:dyDescent="0.25">
      <c r="A66" s="14">
        <v>41334</v>
      </c>
      <c r="B66" s="14"/>
      <c r="C66" s="15">
        <f t="shared" si="4"/>
        <v>146480</v>
      </c>
      <c r="D66" s="15">
        <f>20125+1202</f>
        <v>21327</v>
      </c>
      <c r="E66" s="15">
        <v>35194</v>
      </c>
      <c r="F66" s="15">
        <v>820</v>
      </c>
      <c r="G66" s="152">
        <f>[5]Population!DQ307+[5]Population!DR307</f>
        <v>203821</v>
      </c>
      <c r="H66" s="59">
        <f>[5]Population!DS307+[5]Population!DT307</f>
        <v>58022</v>
      </c>
      <c r="I66" s="64">
        <f>Population!DP300</f>
        <v>92522</v>
      </c>
      <c r="J66" s="15">
        <f>Population!DR300</f>
        <v>15287</v>
      </c>
      <c r="K66" s="15">
        <f>Population!DO300+Population!DT300</f>
        <v>476468</v>
      </c>
      <c r="L66" s="15">
        <f>Population!DQ300</f>
        <v>0</v>
      </c>
      <c r="M66" s="15">
        <f>Population!DS300</f>
        <v>37150</v>
      </c>
      <c r="N66" s="68">
        <f t="shared" si="0"/>
        <v>621427</v>
      </c>
      <c r="O66" s="63">
        <f>Population!DU300</f>
        <v>0</v>
      </c>
      <c r="P66" s="15">
        <f>Population!DV300</f>
        <v>0</v>
      </c>
      <c r="Q66" s="16">
        <v>0</v>
      </c>
      <c r="R66" s="88">
        <v>0</v>
      </c>
      <c r="S66" s="88">
        <f t="shared" si="1"/>
        <v>883270</v>
      </c>
      <c r="T66" s="17">
        <f>Population!DZ300</f>
        <v>50656</v>
      </c>
      <c r="U66" s="153">
        <f>Population!G300+Population!H300+Population!I300+Population!J300+Population!K300+Population!N300</f>
        <v>63582</v>
      </c>
      <c r="V66" s="15">
        <f>[5]Population!G307</f>
        <v>1476</v>
      </c>
      <c r="W66" s="15">
        <v>0</v>
      </c>
      <c r="X66" s="89">
        <f t="shared" si="2"/>
        <v>115714</v>
      </c>
      <c r="Y66" s="65">
        <f t="shared" si="3"/>
        <v>998984</v>
      </c>
    </row>
    <row r="67" spans="1:25" x14ac:dyDescent="0.25">
      <c r="A67" s="14">
        <v>41365</v>
      </c>
      <c r="B67" s="14"/>
      <c r="C67" s="15">
        <f t="shared" si="4"/>
        <v>146813</v>
      </c>
      <c r="D67" s="15">
        <f>19983+1202</f>
        <v>21185</v>
      </c>
      <c r="E67" s="15">
        <v>35310</v>
      </c>
      <c r="F67" s="15">
        <v>811</v>
      </c>
      <c r="G67" s="152">
        <f>[5]Population!DQ308+[5]Population!DR308</f>
        <v>204119</v>
      </c>
      <c r="H67" s="59">
        <f>[5]Population!DS308+[5]Population!DT308</f>
        <v>59348</v>
      </c>
      <c r="I67" s="64">
        <f>Population!DP301</f>
        <v>92912</v>
      </c>
      <c r="J67" s="15">
        <f>Population!DR301</f>
        <v>15606</v>
      </c>
      <c r="K67" s="15">
        <f>Population!DO301+Population!DT301</f>
        <v>476620</v>
      </c>
      <c r="L67" s="15">
        <f>Population!DQ301</f>
        <v>0</v>
      </c>
      <c r="M67" s="15">
        <f>Population!DS301</f>
        <v>37889</v>
      </c>
      <c r="N67" s="68">
        <f t="shared" si="0"/>
        <v>623027</v>
      </c>
      <c r="O67" s="63">
        <f>Population!DU301</f>
        <v>0</v>
      </c>
      <c r="P67" s="15">
        <f>Population!DV301</f>
        <v>0</v>
      </c>
      <c r="Q67" s="16">
        <v>0</v>
      </c>
      <c r="R67" s="88">
        <v>0</v>
      </c>
      <c r="S67" s="88">
        <f t="shared" si="1"/>
        <v>886494</v>
      </c>
      <c r="T67" s="17">
        <f>Population!DZ301</f>
        <v>50405</v>
      </c>
      <c r="U67" s="153">
        <f>Population!G301+Population!H301+Population!I301+Population!J301+Population!K301+Population!N301</f>
        <v>63436</v>
      </c>
      <c r="V67" s="15">
        <f>[5]Population!G308</f>
        <v>1518</v>
      </c>
      <c r="W67" s="15">
        <v>0</v>
      </c>
      <c r="X67" s="89">
        <f t="shared" si="2"/>
        <v>115359</v>
      </c>
      <c r="Y67" s="65">
        <f t="shared" si="3"/>
        <v>1001853</v>
      </c>
    </row>
    <row r="68" spans="1:25" x14ac:dyDescent="0.25">
      <c r="A68" s="14">
        <v>41395</v>
      </c>
      <c r="B68" s="14"/>
      <c r="C68" s="15">
        <f t="shared" si="4"/>
        <v>147336</v>
      </c>
      <c r="D68" s="15">
        <f>19920+1199</f>
        <v>21119</v>
      </c>
      <c r="E68" s="15">
        <v>35602</v>
      </c>
      <c r="F68" s="15">
        <v>864</v>
      </c>
      <c r="G68" s="152">
        <f>[5]Population!DQ309+[5]Population!DR309</f>
        <v>204921</v>
      </c>
      <c r="H68" s="59">
        <f>[5]Population!DS309+[5]Population!DT309</f>
        <v>60263</v>
      </c>
      <c r="I68" s="64">
        <f>Population!DP302</f>
        <v>93080</v>
      </c>
      <c r="J68" s="15">
        <f>Population!DR302</f>
        <v>15746</v>
      </c>
      <c r="K68" s="15">
        <f>Population!DO302+Population!DT302</f>
        <v>476679</v>
      </c>
      <c r="L68" s="15">
        <f>Population!DQ302</f>
        <v>0</v>
      </c>
      <c r="M68" s="15">
        <f>Population!DS302</f>
        <v>38837</v>
      </c>
      <c r="N68" s="68">
        <f t="shared" si="0"/>
        <v>624342</v>
      </c>
      <c r="O68" s="63">
        <f>Population!DU302</f>
        <v>0</v>
      </c>
      <c r="P68" s="15">
        <f>Population!DV302</f>
        <v>0</v>
      </c>
      <c r="Q68" s="16">
        <v>0</v>
      </c>
      <c r="R68" s="88">
        <v>0</v>
      </c>
      <c r="S68" s="88">
        <f t="shared" si="1"/>
        <v>889526</v>
      </c>
      <c r="T68" s="17">
        <f>Population!DZ302</f>
        <v>50232</v>
      </c>
      <c r="U68" s="153">
        <f>Population!G302+Population!H302+Population!I302+Population!J302+Population!K302+Population!N302</f>
        <v>63214</v>
      </c>
      <c r="V68" s="15">
        <f>[5]Population!G309</f>
        <v>1544</v>
      </c>
      <c r="W68" s="15">
        <v>0</v>
      </c>
      <c r="X68" s="89">
        <f t="shared" si="2"/>
        <v>114990</v>
      </c>
      <c r="Y68" s="65">
        <f t="shared" si="3"/>
        <v>1004516</v>
      </c>
    </row>
    <row r="69" spans="1:25" x14ac:dyDescent="0.25">
      <c r="A69" s="14">
        <v>41426</v>
      </c>
      <c r="B69" s="14"/>
      <c r="C69" s="15">
        <f t="shared" si="4"/>
        <v>147100</v>
      </c>
      <c r="D69" s="15">
        <f>20003+1198</f>
        <v>21201</v>
      </c>
      <c r="E69" s="15">
        <v>35837</v>
      </c>
      <c r="F69" s="15">
        <v>866</v>
      </c>
      <c r="G69" s="152">
        <f>[5]Population!DQ310+[5]Population!DR310</f>
        <v>205004</v>
      </c>
      <c r="H69" s="59">
        <f>[5]Population!DS310+[5]Population!DT310</f>
        <v>60614</v>
      </c>
      <c r="I69" s="64">
        <f>Population!DP303</f>
        <v>93211</v>
      </c>
      <c r="J69" s="15">
        <f>Population!DR303</f>
        <v>15860</v>
      </c>
      <c r="K69" s="15">
        <f>Population!DO303+Population!DT303</f>
        <v>474758</v>
      </c>
      <c r="L69" s="15">
        <f>Population!DQ303</f>
        <v>0</v>
      </c>
      <c r="M69" s="15">
        <f>Population!DS303</f>
        <v>39368</v>
      </c>
      <c r="N69" s="68">
        <f t="shared" si="0"/>
        <v>623197</v>
      </c>
      <c r="O69" s="63">
        <f>Population!DU303</f>
        <v>0</v>
      </c>
      <c r="P69" s="15">
        <f>Population!DV303</f>
        <v>0</v>
      </c>
      <c r="Q69" s="16">
        <v>0</v>
      </c>
      <c r="R69" s="88">
        <v>0</v>
      </c>
      <c r="S69" s="88">
        <f t="shared" si="1"/>
        <v>888815</v>
      </c>
      <c r="T69" s="17">
        <f>Population!DZ303</f>
        <v>50169</v>
      </c>
      <c r="U69" s="153">
        <f>Population!G303+Population!H303+Population!I303+Population!J303+Population!K303+Population!N303</f>
        <v>63952</v>
      </c>
      <c r="V69" s="15">
        <f>[5]Population!G310</f>
        <v>1578</v>
      </c>
      <c r="W69" s="15">
        <v>0</v>
      </c>
      <c r="X69" s="89">
        <f t="shared" si="2"/>
        <v>115699</v>
      </c>
      <c r="Y69" s="65">
        <f t="shared" si="3"/>
        <v>1004514</v>
      </c>
    </row>
    <row r="70" spans="1:25" x14ac:dyDescent="0.25">
      <c r="A70" s="14"/>
      <c r="B70" s="14"/>
      <c r="C70" s="15"/>
      <c r="D70" s="15"/>
      <c r="E70" s="15"/>
      <c r="F70" s="15"/>
      <c r="G70" s="152"/>
      <c r="H70" s="59"/>
      <c r="I70" s="64"/>
      <c r="J70" s="15"/>
      <c r="K70" s="15"/>
      <c r="L70" s="15"/>
      <c r="M70" s="15"/>
      <c r="N70" s="68"/>
      <c r="O70" s="63"/>
      <c r="P70" s="15"/>
      <c r="Q70" s="16"/>
      <c r="R70" s="88"/>
      <c r="S70" s="88"/>
      <c r="T70" s="17"/>
      <c r="U70" s="153"/>
      <c r="V70" s="15"/>
      <c r="W70" s="15"/>
      <c r="X70" s="89"/>
      <c r="Y70" s="65"/>
    </row>
    <row r="71" spans="1:25" x14ac:dyDescent="0.25">
      <c r="A71" s="14">
        <v>41456</v>
      </c>
      <c r="B71" s="14"/>
      <c r="C71" s="15">
        <f t="shared" ref="C71:C82" si="5">G71-D71-E71-F71</f>
        <v>146819</v>
      </c>
      <c r="D71" s="15">
        <f>20011+1169</f>
        <v>21180</v>
      </c>
      <c r="E71" s="15">
        <v>36148</v>
      </c>
      <c r="F71" s="15">
        <v>897</v>
      </c>
      <c r="G71" s="152">
        <f>[5]Population!DQ311+[5]Population!DR311</f>
        <v>205044</v>
      </c>
      <c r="H71" s="59">
        <f>[5]Population!DS311+[5]Population!DT311</f>
        <v>60773</v>
      </c>
      <c r="I71" s="64">
        <f>Population!DP304</f>
        <v>92678</v>
      </c>
      <c r="J71" s="15">
        <f>Population!DR304</f>
        <v>16043</v>
      </c>
      <c r="K71" s="15">
        <f>Population!DO304+Population!DT304</f>
        <v>473859</v>
      </c>
      <c r="L71" s="15">
        <f>Population!DQ304</f>
        <v>0</v>
      </c>
      <c r="M71" s="15">
        <f>Population!DS304</f>
        <v>39924</v>
      </c>
      <c r="N71" s="68">
        <f t="shared" ref="N71:N134" si="6">SUM(I71:M71)</f>
        <v>622504</v>
      </c>
      <c r="O71" s="63">
        <f>Population!DU304</f>
        <v>0</v>
      </c>
      <c r="P71" s="15">
        <f>Population!DV304</f>
        <v>0</v>
      </c>
      <c r="Q71" s="16">
        <v>0</v>
      </c>
      <c r="R71" s="88">
        <v>0</v>
      </c>
      <c r="S71" s="88">
        <f t="shared" ref="S71:S134" si="7">G71+N71+R71+H71</f>
        <v>888321</v>
      </c>
      <c r="T71" s="17">
        <f>Population!DZ304</f>
        <v>49945</v>
      </c>
      <c r="U71" s="153">
        <f>Population!G304+Population!H304+Population!I304+Population!J304+Population!K304+Population!N304</f>
        <v>63692</v>
      </c>
      <c r="V71" s="15">
        <f>[5]Population!G311</f>
        <v>1616</v>
      </c>
      <c r="W71" s="15">
        <v>0</v>
      </c>
      <c r="X71" s="89">
        <f t="shared" ref="X71:X134" si="8">SUM(T71:W71)</f>
        <v>115253</v>
      </c>
      <c r="Y71" s="65">
        <f t="shared" ref="Y71:Y134" si="9">S71+X71</f>
        <v>1003574</v>
      </c>
    </row>
    <row r="72" spans="1:25" x14ac:dyDescent="0.25">
      <c r="A72" s="14">
        <v>41487</v>
      </c>
      <c r="B72" s="14"/>
      <c r="C72" s="15">
        <f t="shared" si="5"/>
        <v>146226</v>
      </c>
      <c r="D72" s="15">
        <f>19903+1198</f>
        <v>21101</v>
      </c>
      <c r="E72" s="15">
        <v>36391</v>
      </c>
      <c r="F72" s="15">
        <v>919</v>
      </c>
      <c r="G72" s="152">
        <f>[5]Population!DQ312+[5]Population!DR312</f>
        <v>204637</v>
      </c>
      <c r="H72" s="59">
        <f>[5]Population!DS312+[5]Population!DT312</f>
        <v>60849</v>
      </c>
      <c r="I72" s="64">
        <f>Population!DP305</f>
        <v>92887</v>
      </c>
      <c r="J72" s="15">
        <f>Population!DR305</f>
        <v>16123</v>
      </c>
      <c r="K72" s="15">
        <f>Population!DO305+Population!DT305</f>
        <v>472179</v>
      </c>
      <c r="L72" s="15">
        <f>Population!DQ305</f>
        <v>0</v>
      </c>
      <c r="M72" s="15">
        <f>Population!DS305</f>
        <v>40512</v>
      </c>
      <c r="N72" s="68">
        <f t="shared" si="6"/>
        <v>621701</v>
      </c>
      <c r="O72" s="63">
        <f>Population!DU305</f>
        <v>0</v>
      </c>
      <c r="P72" s="15">
        <f>Population!DV305</f>
        <v>0</v>
      </c>
      <c r="Q72" s="16">
        <v>0</v>
      </c>
      <c r="R72" s="88">
        <v>0</v>
      </c>
      <c r="S72" s="88">
        <f t="shared" si="7"/>
        <v>887187</v>
      </c>
      <c r="T72" s="17">
        <f>Population!DZ305</f>
        <v>49728</v>
      </c>
      <c r="U72" s="153">
        <f>Population!G305+Population!H305+Population!I305+Population!J305+Population!K305+Population!N305</f>
        <v>63442</v>
      </c>
      <c r="V72" s="15">
        <f>[5]Population!G312</f>
        <v>1553</v>
      </c>
      <c r="W72" s="15">
        <v>0</v>
      </c>
      <c r="X72" s="89">
        <f t="shared" si="8"/>
        <v>114723</v>
      </c>
      <c r="Y72" s="65">
        <f t="shared" si="9"/>
        <v>1001910</v>
      </c>
    </row>
    <row r="73" spans="1:25" x14ac:dyDescent="0.25">
      <c r="A73" s="14">
        <v>41518</v>
      </c>
      <c r="B73" s="14"/>
      <c r="C73" s="15">
        <f t="shared" si="5"/>
        <v>146592</v>
      </c>
      <c r="D73" s="15">
        <f>19864+1157</f>
        <v>21021</v>
      </c>
      <c r="E73" s="15">
        <v>36578</v>
      </c>
      <c r="F73" s="15">
        <v>927</v>
      </c>
      <c r="G73" s="152">
        <f>[5]Population!DQ313+[5]Population!DR313</f>
        <v>205118</v>
      </c>
      <c r="H73" s="59">
        <f>[5]Population!DS313+[5]Population!DT313</f>
        <v>60949</v>
      </c>
      <c r="I73" s="64">
        <f>Population!DP306</f>
        <v>92841</v>
      </c>
      <c r="J73" s="15">
        <f>Population!DR306</f>
        <v>15928</v>
      </c>
      <c r="K73" s="15">
        <f>Population!DO306+Population!DT306</f>
        <v>472229</v>
      </c>
      <c r="L73" s="15">
        <f>Population!DQ306</f>
        <v>0</v>
      </c>
      <c r="M73" s="15">
        <f>Population!DS306</f>
        <v>40859</v>
      </c>
      <c r="N73" s="68">
        <f t="shared" si="6"/>
        <v>621857</v>
      </c>
      <c r="O73" s="63">
        <f>Population!DU306</f>
        <v>0</v>
      </c>
      <c r="P73" s="15">
        <f>Population!DV306</f>
        <v>0</v>
      </c>
      <c r="Q73" s="16">
        <v>0</v>
      </c>
      <c r="R73" s="88">
        <v>0</v>
      </c>
      <c r="S73" s="88">
        <f t="shared" si="7"/>
        <v>887924</v>
      </c>
      <c r="T73" s="17">
        <f>Population!DZ306</f>
        <v>49823</v>
      </c>
      <c r="U73" s="153">
        <f>Population!G306+Population!H306+Population!I306+Population!J306+Population!K306+Population!N306</f>
        <v>63397</v>
      </c>
      <c r="V73" s="15">
        <f>[5]Population!G313</f>
        <v>1560</v>
      </c>
      <c r="W73" s="15">
        <v>0</v>
      </c>
      <c r="X73" s="89">
        <f t="shared" si="8"/>
        <v>114780</v>
      </c>
      <c r="Y73" s="65">
        <f t="shared" si="9"/>
        <v>1002704</v>
      </c>
    </row>
    <row r="74" spans="1:25" x14ac:dyDescent="0.25">
      <c r="A74" s="14">
        <v>41548</v>
      </c>
      <c r="B74" s="14"/>
      <c r="C74" s="15">
        <f t="shared" si="5"/>
        <v>146505</v>
      </c>
      <c r="D74" s="15">
        <f>19766+1144</f>
        <v>20910</v>
      </c>
      <c r="E74" s="15">
        <v>37018</v>
      </c>
      <c r="F74" s="15">
        <v>955</v>
      </c>
      <c r="G74" s="152">
        <f>[5]Population!DQ314+[5]Population!DR314</f>
        <v>205388</v>
      </c>
      <c r="H74" s="59">
        <f>[5]Population!DS314+[5]Population!DT314</f>
        <v>61146</v>
      </c>
      <c r="I74" s="64">
        <f>Population!DP307</f>
        <v>93172</v>
      </c>
      <c r="J74" s="15">
        <f>Population!DR307</f>
        <v>15521</v>
      </c>
      <c r="K74" s="15">
        <f>Population!DO307+Population!DT307</f>
        <v>473615</v>
      </c>
      <c r="L74" s="15">
        <f>Population!DQ307</f>
        <v>0</v>
      </c>
      <c r="M74" s="15">
        <f>Population!DS307</f>
        <v>41665</v>
      </c>
      <c r="N74" s="68">
        <f t="shared" si="6"/>
        <v>623973</v>
      </c>
      <c r="O74" s="63">
        <f>Population!DU307</f>
        <v>0</v>
      </c>
      <c r="P74" s="15">
        <f>Population!DV307</f>
        <v>0</v>
      </c>
      <c r="Q74" s="16">
        <v>0</v>
      </c>
      <c r="R74" s="88">
        <v>0</v>
      </c>
      <c r="S74" s="88">
        <f t="shared" si="7"/>
        <v>890507</v>
      </c>
      <c r="T74" s="17">
        <f>Population!DZ307</f>
        <v>50017</v>
      </c>
      <c r="U74" s="153">
        <f>Population!G307+Population!H307+Population!I307+Population!J307+Population!K307+Population!N307</f>
        <v>63450</v>
      </c>
      <c r="V74" s="15">
        <f>[5]Population!G314</f>
        <v>1549</v>
      </c>
      <c r="W74" s="15">
        <v>0</v>
      </c>
      <c r="X74" s="89">
        <f t="shared" si="8"/>
        <v>115016</v>
      </c>
      <c r="Y74" s="65">
        <f t="shared" si="9"/>
        <v>1005523</v>
      </c>
    </row>
    <row r="75" spans="1:25" x14ac:dyDescent="0.25">
      <c r="A75" s="14">
        <v>41579</v>
      </c>
      <c r="B75" s="14"/>
      <c r="C75" s="15">
        <f t="shared" si="5"/>
        <v>146336</v>
      </c>
      <c r="D75" s="15">
        <f>19804+1111</f>
        <v>20915</v>
      </c>
      <c r="E75" s="15">
        <v>37579</v>
      </c>
      <c r="F75" s="15">
        <v>985</v>
      </c>
      <c r="G75" s="152">
        <f>[5]Population!DQ315+[5]Population!DR315</f>
        <v>205815</v>
      </c>
      <c r="H75" s="59">
        <f>[5]Population!DS315+[5]Population!DT315</f>
        <v>61274</v>
      </c>
      <c r="I75" s="64">
        <f>Population!DP308</f>
        <v>92982</v>
      </c>
      <c r="J75" s="15">
        <f>Population!DR308</f>
        <v>14815</v>
      </c>
      <c r="K75" s="15">
        <f>Population!DO308+Population!DT308</f>
        <v>468172</v>
      </c>
      <c r="L75" s="15">
        <f>Population!DQ308</f>
        <v>0</v>
      </c>
      <c r="M75" s="15">
        <f>Population!DS308</f>
        <v>43020</v>
      </c>
      <c r="N75" s="68">
        <f t="shared" si="6"/>
        <v>618989</v>
      </c>
      <c r="O75" s="63">
        <f>Population!DU308</f>
        <v>0</v>
      </c>
      <c r="P75" s="15">
        <f>Population!DV308</f>
        <v>0</v>
      </c>
      <c r="Q75" s="16">
        <v>0</v>
      </c>
      <c r="R75" s="88">
        <v>0</v>
      </c>
      <c r="S75" s="88">
        <f t="shared" si="7"/>
        <v>886078</v>
      </c>
      <c r="T75" s="17">
        <f>Population!DZ308</f>
        <v>50755</v>
      </c>
      <c r="U75" s="153">
        <f>Population!G308+Population!H308+Population!I308+Population!J308+Population!K308+Population!N308</f>
        <v>63401</v>
      </c>
      <c r="V75" s="15">
        <f>[5]Population!G315</f>
        <v>1564</v>
      </c>
      <c r="W75" s="15">
        <v>0</v>
      </c>
      <c r="X75" s="89">
        <f t="shared" si="8"/>
        <v>115720</v>
      </c>
      <c r="Y75" s="65">
        <f t="shared" si="9"/>
        <v>1001798</v>
      </c>
    </row>
    <row r="76" spans="1:25" x14ac:dyDescent="0.25">
      <c r="A76" s="14">
        <v>41609</v>
      </c>
      <c r="B76" s="14"/>
      <c r="C76" s="15">
        <f t="shared" si="5"/>
        <v>146585</v>
      </c>
      <c r="D76" s="15">
        <f>19790+1103</f>
        <v>20893</v>
      </c>
      <c r="E76" s="15">
        <v>37948</v>
      </c>
      <c r="F76" s="15">
        <v>992</v>
      </c>
      <c r="G76" s="152">
        <f>[5]Population!DQ316+[5]Population!DR316</f>
        <v>206418</v>
      </c>
      <c r="H76" s="59">
        <f>[5]Population!DS316+[5]Population!DT316</f>
        <v>61664</v>
      </c>
      <c r="I76" s="64">
        <f>Population!DP309</f>
        <v>91562</v>
      </c>
      <c r="J76" s="15">
        <f>Population!DR309</f>
        <v>14474</v>
      </c>
      <c r="K76" s="15">
        <f>Population!DO309+Population!DT309</f>
        <v>464959</v>
      </c>
      <c r="L76" s="15">
        <f>Population!DQ309</f>
        <v>0</v>
      </c>
      <c r="M76" s="15">
        <f>Population!DS309</f>
        <v>44633</v>
      </c>
      <c r="N76" s="68">
        <f t="shared" si="6"/>
        <v>615628</v>
      </c>
      <c r="O76" s="63">
        <f>Population!DU309</f>
        <v>0</v>
      </c>
      <c r="P76" s="15">
        <f>Population!DV309</f>
        <v>0</v>
      </c>
      <c r="Q76" s="16">
        <v>0</v>
      </c>
      <c r="R76" s="88">
        <v>0</v>
      </c>
      <c r="S76" s="88">
        <f t="shared" si="7"/>
        <v>883710</v>
      </c>
      <c r="T76" s="17">
        <f>Population!DZ309</f>
        <v>50663</v>
      </c>
      <c r="U76" s="153">
        <f>Population!G309+Population!H309+Population!I309+Population!J309+Population!K309+Population!N309</f>
        <v>62715</v>
      </c>
      <c r="V76" s="15">
        <f>[5]Population!G316</f>
        <v>1508</v>
      </c>
      <c r="W76" s="15">
        <v>0</v>
      </c>
      <c r="X76" s="89">
        <f t="shared" si="8"/>
        <v>114886</v>
      </c>
      <c r="Y76" s="65">
        <f t="shared" si="9"/>
        <v>998596</v>
      </c>
    </row>
    <row r="77" spans="1:25" x14ac:dyDescent="0.25">
      <c r="A77" s="14">
        <v>41640</v>
      </c>
      <c r="B77" s="14"/>
      <c r="C77" s="15">
        <f t="shared" si="5"/>
        <v>147086</v>
      </c>
      <c r="D77" s="15">
        <f>19476+1081</f>
        <v>20557</v>
      </c>
      <c r="E77" s="15">
        <v>38011</v>
      </c>
      <c r="F77" s="15">
        <v>998</v>
      </c>
      <c r="G77" s="152">
        <f>[5]Population!DQ317+[5]Population!DR317</f>
        <v>206652</v>
      </c>
      <c r="H77" s="59">
        <f>[5]Population!DS317+[5]Population!DT317</f>
        <v>61806</v>
      </c>
      <c r="I77" s="64">
        <f>Population!DP310</f>
        <v>90780</v>
      </c>
      <c r="J77" s="15">
        <f>Population!DR310</f>
        <v>14732</v>
      </c>
      <c r="K77" s="15">
        <f>Population!DO310+Population!DT310</f>
        <v>465376</v>
      </c>
      <c r="L77" s="15">
        <f>Population!DQ310</f>
        <v>0</v>
      </c>
      <c r="M77" s="15">
        <f>Population!DS310</f>
        <v>45644</v>
      </c>
      <c r="N77" s="68">
        <f t="shared" si="6"/>
        <v>616532</v>
      </c>
      <c r="O77" s="63">
        <f>Population!DU310</f>
        <v>0</v>
      </c>
      <c r="P77" s="15">
        <f>Population!DV310</f>
        <v>0</v>
      </c>
      <c r="Q77" s="16">
        <v>0</v>
      </c>
      <c r="R77" s="88">
        <v>0</v>
      </c>
      <c r="S77" s="88">
        <f t="shared" si="7"/>
        <v>884990</v>
      </c>
      <c r="T77" s="17">
        <f>Population!DZ310</f>
        <v>50743</v>
      </c>
      <c r="U77" s="153">
        <f>Population!G310+Population!H310+Population!I310+Population!J310+Population!K310+Population!N310</f>
        <v>64157</v>
      </c>
      <c r="V77" s="15">
        <f>[5]Population!G317</f>
        <v>1421</v>
      </c>
      <c r="W77" s="15">
        <v>0</v>
      </c>
      <c r="X77" s="89">
        <f t="shared" si="8"/>
        <v>116321</v>
      </c>
      <c r="Y77" s="65">
        <f t="shared" si="9"/>
        <v>1001311</v>
      </c>
    </row>
    <row r="78" spans="1:25" x14ac:dyDescent="0.25">
      <c r="A78" s="14">
        <v>41671</v>
      </c>
      <c r="B78" s="14"/>
      <c r="C78" s="15">
        <f t="shared" si="5"/>
        <v>146568</v>
      </c>
      <c r="D78" s="15">
        <f>19549+1067</f>
        <v>20616</v>
      </c>
      <c r="E78" s="15">
        <v>37944</v>
      </c>
      <c r="F78" s="15">
        <v>1008</v>
      </c>
      <c r="G78" s="152">
        <f>[5]Population!DQ318+[5]Population!DR318</f>
        <v>206136</v>
      </c>
      <c r="H78" s="59">
        <f>[5]Population!DS318+[5]Population!DT318</f>
        <v>49747</v>
      </c>
      <c r="I78" s="64">
        <f>Population!DP311</f>
        <v>91342</v>
      </c>
      <c r="J78" s="15">
        <f>Population!DR311</f>
        <v>14772</v>
      </c>
      <c r="K78" s="15">
        <f>Population!DO311+Population!DT311</f>
        <v>466371</v>
      </c>
      <c r="L78" s="15">
        <f>Population!DQ311</f>
        <v>0</v>
      </c>
      <c r="M78" s="15">
        <f>Population!DS311</f>
        <v>47229</v>
      </c>
      <c r="N78" s="68">
        <f t="shared" si="6"/>
        <v>619714</v>
      </c>
      <c r="O78" s="63">
        <f>Population!DU311</f>
        <v>0</v>
      </c>
      <c r="P78" s="15">
        <f>Population!DV311</f>
        <v>0</v>
      </c>
      <c r="Q78" s="16">
        <v>0</v>
      </c>
      <c r="R78" s="88">
        <v>0</v>
      </c>
      <c r="S78" s="88">
        <f t="shared" si="7"/>
        <v>875597</v>
      </c>
      <c r="T78" s="17">
        <f>Population!DZ311</f>
        <v>50917</v>
      </c>
      <c r="U78" s="153">
        <f>Population!G311+Population!H311+Population!I311+Population!J311+Population!K311+Population!N311</f>
        <v>64483</v>
      </c>
      <c r="V78" s="15">
        <f>[5]Population!G318</f>
        <v>1351</v>
      </c>
      <c r="W78" s="15">
        <v>0</v>
      </c>
      <c r="X78" s="89">
        <f t="shared" si="8"/>
        <v>116751</v>
      </c>
      <c r="Y78" s="65">
        <f t="shared" si="9"/>
        <v>992348</v>
      </c>
    </row>
    <row r="79" spans="1:25" x14ac:dyDescent="0.25">
      <c r="A79" s="14">
        <v>41699</v>
      </c>
      <c r="B79" s="14"/>
      <c r="C79" s="15">
        <f t="shared" si="5"/>
        <v>147748</v>
      </c>
      <c r="D79" s="15">
        <f>19300+1051</f>
        <v>20351</v>
      </c>
      <c r="E79" s="15">
        <v>37758</v>
      </c>
      <c r="F79" s="15">
        <v>1036</v>
      </c>
      <c r="G79" s="152">
        <f>[5]Population!DQ319+[5]Population!DR319</f>
        <v>206893</v>
      </c>
      <c r="H79" s="59">
        <f>[5]Population!DS319+[5]Population!DT319</f>
        <v>58492</v>
      </c>
      <c r="I79" s="64">
        <f>Population!DP312</f>
        <v>92170</v>
      </c>
      <c r="J79" s="15">
        <f>Population!DR312</f>
        <v>15120</v>
      </c>
      <c r="K79" s="15">
        <f>Population!DO312+Population!DT312</f>
        <v>466684</v>
      </c>
      <c r="L79" s="15">
        <f>Population!DQ312</f>
        <v>0</v>
      </c>
      <c r="M79" s="15">
        <f>Population!DS312</f>
        <v>49389</v>
      </c>
      <c r="N79" s="68">
        <f t="shared" si="6"/>
        <v>623363</v>
      </c>
      <c r="O79" s="63">
        <f>Population!DU312</f>
        <v>0</v>
      </c>
      <c r="P79" s="15">
        <f>Population!DV312</f>
        <v>0</v>
      </c>
      <c r="Q79" s="16">
        <v>0</v>
      </c>
      <c r="R79" s="88">
        <v>0</v>
      </c>
      <c r="S79" s="88">
        <f t="shared" si="7"/>
        <v>888748</v>
      </c>
      <c r="T79" s="17">
        <f>Population!DZ312</f>
        <v>50888</v>
      </c>
      <c r="U79" s="153">
        <f>Population!G312+Population!H312+Population!I312+Population!J312+Population!K312+Population!N312</f>
        <v>62198</v>
      </c>
      <c r="V79" s="15">
        <f>[5]Population!G319</f>
        <v>1236</v>
      </c>
      <c r="W79" s="15">
        <v>0</v>
      </c>
      <c r="X79" s="89">
        <f t="shared" si="8"/>
        <v>114322</v>
      </c>
      <c r="Y79" s="65">
        <f t="shared" si="9"/>
        <v>1003070</v>
      </c>
    </row>
    <row r="80" spans="1:25" x14ac:dyDescent="0.25">
      <c r="A80" s="14">
        <v>41730</v>
      </c>
      <c r="B80" s="14"/>
      <c r="C80" s="15">
        <f t="shared" si="5"/>
        <v>147916</v>
      </c>
      <c r="D80" s="15">
        <f>19300+1035</f>
        <v>20335</v>
      </c>
      <c r="E80" s="15">
        <v>38206</v>
      </c>
      <c r="F80" s="15">
        <v>1032</v>
      </c>
      <c r="G80" s="152">
        <f>[5]Population!DQ320+[5]Population!DR320</f>
        <v>207489</v>
      </c>
      <c r="H80" s="59">
        <f>[5]Population!DS320+[5]Population!DT320</f>
        <v>59348</v>
      </c>
      <c r="I80" s="64">
        <f>Population!DP313</f>
        <v>92969</v>
      </c>
      <c r="J80" s="15">
        <f>Population!DR313</f>
        <v>15687</v>
      </c>
      <c r="K80" s="15">
        <f>Population!DO313+Population!DT313</f>
        <v>469007</v>
      </c>
      <c r="L80" s="15">
        <f>Population!DQ313</f>
        <v>0</v>
      </c>
      <c r="M80" s="15">
        <f>Population!DS313</f>
        <v>53627</v>
      </c>
      <c r="N80" s="68">
        <f t="shared" si="6"/>
        <v>631290</v>
      </c>
      <c r="O80" s="63">
        <f>Population!DU313</f>
        <v>0</v>
      </c>
      <c r="P80" s="15">
        <f>Population!DV313</f>
        <v>0</v>
      </c>
      <c r="Q80" s="16">
        <v>0</v>
      </c>
      <c r="R80" s="88">
        <v>0</v>
      </c>
      <c r="S80" s="88">
        <f t="shared" si="7"/>
        <v>898127</v>
      </c>
      <c r="T80" s="17">
        <f>Population!DZ313</f>
        <v>51150</v>
      </c>
      <c r="U80" s="153">
        <f>Population!G313+Population!H313+Population!I313+Population!J313+Population!K313+Population!N313</f>
        <v>61582</v>
      </c>
      <c r="V80" s="15">
        <f>[5]Population!G320</f>
        <v>1014</v>
      </c>
      <c r="W80" s="15">
        <v>0</v>
      </c>
      <c r="X80" s="89">
        <f t="shared" si="8"/>
        <v>113746</v>
      </c>
      <c r="Y80" s="65">
        <f t="shared" si="9"/>
        <v>1011873</v>
      </c>
    </row>
    <row r="81" spans="1:25" x14ac:dyDescent="0.25">
      <c r="A81" s="14">
        <v>41760</v>
      </c>
      <c r="B81" s="14"/>
      <c r="C81" s="15">
        <f t="shared" si="5"/>
        <v>147411</v>
      </c>
      <c r="D81" s="15">
        <f>19487+1015</f>
        <v>20502</v>
      </c>
      <c r="E81" s="15">
        <v>38397</v>
      </c>
      <c r="F81" s="15">
        <v>1070</v>
      </c>
      <c r="G81" s="152">
        <f>[5]Population!DQ321+[5]Population!DR321</f>
        <v>207380</v>
      </c>
      <c r="H81" s="59">
        <f>[5]Population!DS321+[5]Population!DT321</f>
        <v>59911</v>
      </c>
      <c r="I81" s="64">
        <f>Population!DP314</f>
        <v>93844</v>
      </c>
      <c r="J81" s="15">
        <f>Population!DR314</f>
        <v>15993</v>
      </c>
      <c r="K81" s="15">
        <f>Population!DO314+Population!DT314</f>
        <v>469864</v>
      </c>
      <c r="L81" s="15">
        <f>Population!DQ314</f>
        <v>0</v>
      </c>
      <c r="M81" s="15">
        <f>Population!DS314</f>
        <v>57313</v>
      </c>
      <c r="N81" s="68">
        <f t="shared" si="6"/>
        <v>637014</v>
      </c>
      <c r="O81" s="63">
        <f>Population!DU314</f>
        <v>0</v>
      </c>
      <c r="P81" s="15">
        <f>Population!DV314</f>
        <v>0</v>
      </c>
      <c r="Q81" s="16">
        <v>0</v>
      </c>
      <c r="R81" s="88">
        <v>0</v>
      </c>
      <c r="S81" s="88">
        <f t="shared" si="7"/>
        <v>904305</v>
      </c>
      <c r="T81" s="17">
        <f>Population!DZ314</f>
        <v>51105</v>
      </c>
      <c r="U81" s="153">
        <f>Population!G314+Population!H314+Population!I314+Population!J314+Population!K314+Population!N314</f>
        <v>63660</v>
      </c>
      <c r="V81" s="15">
        <f>[5]Population!G321</f>
        <v>814</v>
      </c>
      <c r="W81" s="15">
        <v>0</v>
      </c>
      <c r="X81" s="89">
        <f t="shared" si="8"/>
        <v>115579</v>
      </c>
      <c r="Y81" s="65">
        <f t="shared" si="9"/>
        <v>1019884</v>
      </c>
    </row>
    <row r="82" spans="1:25" x14ac:dyDescent="0.25">
      <c r="A82" s="14">
        <v>41791</v>
      </c>
      <c r="B82" s="14"/>
      <c r="C82" s="15">
        <f t="shared" si="5"/>
        <v>147238</v>
      </c>
      <c r="D82" s="15">
        <f>19508+1018</f>
        <v>20526</v>
      </c>
      <c r="E82" s="15">
        <v>38864</v>
      </c>
      <c r="F82" s="15">
        <v>1111</v>
      </c>
      <c r="G82" s="152">
        <f>[5]Population!DQ322+[5]Population!DR322</f>
        <v>207739</v>
      </c>
      <c r="H82" s="59">
        <f>[5]Population!DS322+[5]Population!DT322</f>
        <v>60336</v>
      </c>
      <c r="I82" s="64">
        <f>Population!DP315</f>
        <v>94396</v>
      </c>
      <c r="J82" s="15">
        <f>Population!DR315</f>
        <v>15993</v>
      </c>
      <c r="K82" s="15">
        <f>Population!DO315+Population!DT315</f>
        <v>469864</v>
      </c>
      <c r="L82" s="15">
        <f>Population!DQ315</f>
        <v>0</v>
      </c>
      <c r="M82" s="15">
        <f>Population!DS315</f>
        <v>57313</v>
      </c>
      <c r="N82" s="68">
        <f t="shared" si="6"/>
        <v>637566</v>
      </c>
      <c r="O82" s="63">
        <f>Population!DU315</f>
        <v>0</v>
      </c>
      <c r="P82" s="15">
        <f>Population!DV315</f>
        <v>0</v>
      </c>
      <c r="Q82" s="16">
        <v>0</v>
      </c>
      <c r="R82" s="88">
        <v>0</v>
      </c>
      <c r="S82" s="88">
        <f t="shared" si="7"/>
        <v>905641</v>
      </c>
      <c r="T82" s="17">
        <f>Population!DZ315</f>
        <v>51131</v>
      </c>
      <c r="U82" s="153">
        <f>Population!G315+Population!H315+Population!I315+Population!J315+Population!K315+Population!N315</f>
        <v>64432</v>
      </c>
      <c r="V82" s="15">
        <f>[5]Population!G322</f>
        <v>634</v>
      </c>
      <c r="W82" s="15">
        <v>0</v>
      </c>
      <c r="X82" s="89">
        <f t="shared" si="8"/>
        <v>116197</v>
      </c>
      <c r="Y82" s="65">
        <f t="shared" si="9"/>
        <v>1021838</v>
      </c>
    </row>
    <row r="83" spans="1:25" x14ac:dyDescent="0.25">
      <c r="A83" s="14"/>
      <c r="B83" s="14"/>
      <c r="C83" s="15"/>
      <c r="D83" s="15"/>
      <c r="E83" s="15"/>
      <c r="F83" s="15"/>
      <c r="H83" s="59"/>
      <c r="I83" s="64"/>
      <c r="J83" s="15"/>
      <c r="K83" s="15"/>
      <c r="L83" s="15"/>
      <c r="M83" s="15"/>
      <c r="N83" s="68"/>
      <c r="O83" s="63"/>
      <c r="P83" s="15"/>
      <c r="Q83" s="16"/>
      <c r="R83" s="88"/>
      <c r="S83" s="88"/>
      <c r="T83" s="17"/>
      <c r="U83" s="153"/>
      <c r="W83" s="15"/>
      <c r="X83" s="89"/>
      <c r="Y83" s="65"/>
    </row>
    <row r="84" spans="1:25" x14ac:dyDescent="0.25">
      <c r="A84" s="14">
        <v>41821</v>
      </c>
      <c r="B84" s="14"/>
      <c r="C84" s="15">
        <f t="shared" ref="C84:C95" si="10">G84-D84-E84-F84</f>
        <v>147354</v>
      </c>
      <c r="D84" s="15">
        <f>19643+1002</f>
        <v>20645</v>
      </c>
      <c r="E84" s="15">
        <v>39290</v>
      </c>
      <c r="F84" s="15">
        <v>1127</v>
      </c>
      <c r="G84" s="152">
        <f>[5]Population!DQ323+[5]Population!DR323</f>
        <v>208416</v>
      </c>
      <c r="H84" s="59">
        <f>[5]Population!DS323+[5]Population!DT323</f>
        <v>60592</v>
      </c>
      <c r="I84" s="64">
        <f>Population!DP316</f>
        <v>94692</v>
      </c>
      <c r="J84" s="15">
        <f>Population!DR316</f>
        <v>16411</v>
      </c>
      <c r="K84" s="15">
        <f>Population!DO316+Population!DT316</f>
        <v>469544</v>
      </c>
      <c r="L84" s="15">
        <f>Population!DQ316</f>
        <v>0</v>
      </c>
      <c r="M84" s="15">
        <f>Population!DS316</f>
        <v>60483</v>
      </c>
      <c r="N84" s="68">
        <f t="shared" si="6"/>
        <v>641130</v>
      </c>
      <c r="O84" s="63">
        <f>Population!DU316</f>
        <v>0</v>
      </c>
      <c r="P84" s="15">
        <f>Population!DV316</f>
        <v>0</v>
      </c>
      <c r="Q84" s="16">
        <v>0</v>
      </c>
      <c r="R84" s="88">
        <v>0</v>
      </c>
      <c r="S84" s="88">
        <f t="shared" si="7"/>
        <v>910138</v>
      </c>
      <c r="T84" s="17">
        <f>Population!DZ316</f>
        <v>51046</v>
      </c>
      <c r="U84" s="153">
        <f>Population!G316+Population!H316+Population!I316+Population!J316+Population!K316+Population!N316</f>
        <v>64447</v>
      </c>
      <c r="V84" s="15">
        <f>[5]Population!G323</f>
        <v>452</v>
      </c>
      <c r="W84" s="15">
        <v>0</v>
      </c>
      <c r="X84" s="89">
        <f t="shared" si="8"/>
        <v>115945</v>
      </c>
      <c r="Y84" s="65">
        <f t="shared" si="9"/>
        <v>1026083</v>
      </c>
    </row>
    <row r="85" spans="1:25" x14ac:dyDescent="0.25">
      <c r="A85" s="14">
        <v>41852</v>
      </c>
      <c r="B85" s="14"/>
      <c r="C85" s="15">
        <f t="shared" si="10"/>
        <v>147484</v>
      </c>
      <c r="D85" s="15">
        <f>19462+997</f>
        <v>20459</v>
      </c>
      <c r="E85" s="15">
        <v>39489</v>
      </c>
      <c r="F85" s="15">
        <v>1146</v>
      </c>
      <c r="G85" s="152">
        <f>[5]Population!DQ324+[5]Population!DR324</f>
        <v>208578</v>
      </c>
      <c r="H85" s="59">
        <f>[5]Population!DS324+[5]Population!DT324</f>
        <v>61111</v>
      </c>
      <c r="I85" s="64">
        <f>Population!DP317</f>
        <v>95134</v>
      </c>
      <c r="J85" s="15">
        <f>Population!DR317</f>
        <v>16740</v>
      </c>
      <c r="K85" s="15">
        <f>Population!DO317+Population!DT317</f>
        <v>469038</v>
      </c>
      <c r="L85" s="15">
        <f>Population!DQ317</f>
        <v>0</v>
      </c>
      <c r="M85" s="15">
        <f>Population!DS317</f>
        <v>63294</v>
      </c>
      <c r="N85" s="68">
        <f t="shared" si="6"/>
        <v>644206</v>
      </c>
      <c r="O85" s="63">
        <f>Population!DU317</f>
        <v>0</v>
      </c>
      <c r="P85" s="15">
        <f>Population!DV317</f>
        <v>0</v>
      </c>
      <c r="Q85" s="16">
        <v>0</v>
      </c>
      <c r="R85" s="88">
        <v>0</v>
      </c>
      <c r="S85" s="88">
        <f t="shared" si="7"/>
        <v>913895</v>
      </c>
      <c r="T85" s="17">
        <f>Population!DZ317</f>
        <v>50421</v>
      </c>
      <c r="U85" s="153">
        <f>Population!G317+Population!H317+Population!I317+Population!J317+Population!K317+Population!N317</f>
        <v>64392</v>
      </c>
      <c r="V85" s="15">
        <f>[5]Population!G324</f>
        <v>287</v>
      </c>
      <c r="W85" s="15">
        <v>0</v>
      </c>
      <c r="X85" s="89">
        <f t="shared" si="8"/>
        <v>115100</v>
      </c>
      <c r="Y85" s="65">
        <f t="shared" si="9"/>
        <v>1028995</v>
      </c>
    </row>
    <row r="86" spans="1:25" x14ac:dyDescent="0.25">
      <c r="A86" s="14">
        <v>41883</v>
      </c>
      <c r="B86" s="14"/>
      <c r="C86" s="15">
        <f t="shared" si="10"/>
        <v>147169</v>
      </c>
      <c r="D86" s="15">
        <f>19569+974</f>
        <v>20543</v>
      </c>
      <c r="E86" s="15">
        <v>39720</v>
      </c>
      <c r="F86" s="15">
        <v>1163</v>
      </c>
      <c r="G86" s="152">
        <f>[5]Population!DQ325+[5]Population!DR325</f>
        <v>208595</v>
      </c>
      <c r="H86" s="59">
        <f>[5]Population!DS325+[5]Population!DT325</f>
        <v>61405</v>
      </c>
      <c r="I86" s="64">
        <f>Population!DP318</f>
        <v>94449</v>
      </c>
      <c r="J86" s="15">
        <f>Population!DR318</f>
        <v>16726</v>
      </c>
      <c r="K86" s="15">
        <f>Population!DO318+Population!DT318</f>
        <v>463254</v>
      </c>
      <c r="L86" s="15">
        <f>Population!DQ318</f>
        <v>0</v>
      </c>
      <c r="M86" s="15">
        <f>Population!DS318</f>
        <v>65612</v>
      </c>
      <c r="N86" s="68">
        <f t="shared" si="6"/>
        <v>640041</v>
      </c>
      <c r="O86" s="63">
        <f>Population!DU318</f>
        <v>0</v>
      </c>
      <c r="P86" s="15">
        <f>Population!DV318</f>
        <v>0</v>
      </c>
      <c r="Q86" s="16">
        <v>0</v>
      </c>
      <c r="R86" s="88">
        <v>0</v>
      </c>
      <c r="S86" s="88">
        <f t="shared" si="7"/>
        <v>910041</v>
      </c>
      <c r="T86" s="17">
        <f>Population!DZ318</f>
        <v>48922</v>
      </c>
      <c r="U86" s="153">
        <f>Population!G318+Population!H318+Population!I318+Population!J318+Population!K318+Population!N318</f>
        <v>63559</v>
      </c>
      <c r="V86" s="15">
        <f>[5]Population!G325</f>
        <v>170</v>
      </c>
      <c r="W86" s="15">
        <v>0</v>
      </c>
      <c r="X86" s="89">
        <f t="shared" si="8"/>
        <v>112651</v>
      </c>
      <c r="Y86" s="65">
        <f t="shared" si="9"/>
        <v>1022692</v>
      </c>
    </row>
    <row r="87" spans="1:25" x14ac:dyDescent="0.25">
      <c r="A87" s="14">
        <v>41913</v>
      </c>
      <c r="B87" s="14"/>
      <c r="C87" s="15">
        <f t="shared" si="10"/>
        <v>146597</v>
      </c>
      <c r="D87" s="15">
        <f>19588+979</f>
        <v>20567</v>
      </c>
      <c r="E87" s="15">
        <v>40187</v>
      </c>
      <c r="F87" s="15">
        <v>1189</v>
      </c>
      <c r="G87" s="152">
        <f>[5]Population!DQ326+[5]Population!DR326</f>
        <v>208540</v>
      </c>
      <c r="H87" s="59">
        <f>[5]Population!DS326+[5]Population!DT326</f>
        <v>61469</v>
      </c>
      <c r="I87" s="64">
        <f>Population!DP319</f>
        <v>95547</v>
      </c>
      <c r="J87" s="15">
        <f>Population!DR319</f>
        <v>16573</v>
      </c>
      <c r="K87" s="15">
        <f>Population!DO319+Population!DT319</f>
        <v>467755</v>
      </c>
      <c r="L87" s="15">
        <f>Population!DQ319</f>
        <v>4</v>
      </c>
      <c r="M87" s="15">
        <f>Population!DS319</f>
        <v>69148</v>
      </c>
      <c r="N87" s="68">
        <f t="shared" si="6"/>
        <v>649027</v>
      </c>
      <c r="O87" s="63">
        <f>Population!DU319</f>
        <v>0</v>
      </c>
      <c r="P87" s="15">
        <f>Population!DV319</f>
        <v>0</v>
      </c>
      <c r="Q87" s="16">
        <v>0</v>
      </c>
      <c r="R87" s="88">
        <v>0</v>
      </c>
      <c r="S87" s="88">
        <f t="shared" si="7"/>
        <v>919036</v>
      </c>
      <c r="T87" s="17">
        <f>Population!DZ319</f>
        <v>48799</v>
      </c>
      <c r="U87" s="153">
        <f>Population!G319+Population!H319+Population!I319+Population!J319+Population!K319+Population!N319</f>
        <v>63309</v>
      </c>
      <c r="V87" s="15">
        <f>[5]Population!G326</f>
        <v>83</v>
      </c>
      <c r="W87" s="15">
        <v>0</v>
      </c>
      <c r="X87" s="89">
        <f t="shared" si="8"/>
        <v>112191</v>
      </c>
      <c r="Y87" s="65">
        <f t="shared" si="9"/>
        <v>1031227</v>
      </c>
    </row>
    <row r="88" spans="1:25" x14ac:dyDescent="0.25">
      <c r="A88" s="14">
        <v>41944</v>
      </c>
      <c r="B88" s="14"/>
      <c r="C88" s="15">
        <f t="shared" si="10"/>
        <v>147000</v>
      </c>
      <c r="D88" s="15">
        <f>19705+971</f>
        <v>20676</v>
      </c>
      <c r="E88" s="15">
        <v>40357</v>
      </c>
      <c r="F88" s="15">
        <v>1198</v>
      </c>
      <c r="G88" s="152">
        <f>[5]Population!DQ327+[5]Population!DR327</f>
        <v>209231</v>
      </c>
      <c r="H88" s="59">
        <f>[5]Population!DS327+[5]Population!DT327</f>
        <v>61561</v>
      </c>
      <c r="I88" s="64">
        <f>Population!DP320</f>
        <v>96993</v>
      </c>
      <c r="J88" s="15">
        <f>Population!DR320</f>
        <v>16492</v>
      </c>
      <c r="K88" s="15">
        <f>Population!DO320+Population!DT320</f>
        <v>472337</v>
      </c>
      <c r="L88" s="15">
        <f>Population!DQ320</f>
        <v>28</v>
      </c>
      <c r="M88" s="15">
        <f>Population!DS320</f>
        <v>73679</v>
      </c>
      <c r="N88" s="68">
        <f t="shared" si="6"/>
        <v>659529</v>
      </c>
      <c r="O88" s="63">
        <f>Population!DU320</f>
        <v>0</v>
      </c>
      <c r="P88" s="15">
        <f>Population!DV320</f>
        <v>0</v>
      </c>
      <c r="Q88" s="16">
        <v>0</v>
      </c>
      <c r="R88" s="88">
        <v>0</v>
      </c>
      <c r="S88" s="88">
        <f t="shared" si="7"/>
        <v>930321</v>
      </c>
      <c r="T88" s="17">
        <f>Population!DZ320</f>
        <v>48257</v>
      </c>
      <c r="U88" s="153">
        <f>Population!G320+Population!H320+Population!I320+Population!J320+Population!K320+Population!N320</f>
        <v>62828</v>
      </c>
      <c r="V88" s="15">
        <f>[5]Population!G327</f>
        <v>23</v>
      </c>
      <c r="W88" s="15">
        <v>0</v>
      </c>
      <c r="X88" s="89">
        <f t="shared" si="8"/>
        <v>111108</v>
      </c>
      <c r="Y88" s="65">
        <f t="shared" si="9"/>
        <v>1041429</v>
      </c>
    </row>
    <row r="89" spans="1:25" x14ac:dyDescent="0.25">
      <c r="A89" s="14">
        <v>41974</v>
      </c>
      <c r="B89" s="14"/>
      <c r="C89" s="15">
        <f t="shared" si="10"/>
        <v>147651</v>
      </c>
      <c r="D89" s="15">
        <f>19532+961</f>
        <v>20493</v>
      </c>
      <c r="E89" s="15">
        <v>40657</v>
      </c>
      <c r="F89" s="15">
        <v>1205</v>
      </c>
      <c r="G89" s="152">
        <f>[5]Population!DQ328+[5]Population!DR328</f>
        <v>210006</v>
      </c>
      <c r="H89" s="59">
        <f>[5]Population!DS328+[5]Population!DT328</f>
        <v>61759</v>
      </c>
      <c r="I89" s="64">
        <f>Population!DP321</f>
        <v>97084</v>
      </c>
      <c r="J89" s="15">
        <f>Population!DR321</f>
        <v>15949</v>
      </c>
      <c r="K89" s="15">
        <f>Population!DO321+Population!DT321</f>
        <v>470119</v>
      </c>
      <c r="L89" s="15">
        <f>Population!DQ321</f>
        <v>39</v>
      </c>
      <c r="M89" s="15">
        <f>Population!DS321</f>
        <v>75438</v>
      </c>
      <c r="N89" s="68">
        <f t="shared" si="6"/>
        <v>658629</v>
      </c>
      <c r="O89" s="63">
        <f>Population!DU321</f>
        <v>0</v>
      </c>
      <c r="P89" s="15">
        <f>Population!DV321</f>
        <v>0</v>
      </c>
      <c r="Q89" s="16">
        <v>0</v>
      </c>
      <c r="R89" s="88">
        <v>0</v>
      </c>
      <c r="S89" s="88">
        <f t="shared" si="7"/>
        <v>930394</v>
      </c>
      <c r="T89" s="17">
        <f>Population!DZ321</f>
        <v>47393</v>
      </c>
      <c r="U89" s="153">
        <f>Population!G321+Population!H321+Population!I321+Population!J321+Population!K321+Population!N321</f>
        <v>62234</v>
      </c>
      <c r="V89" s="15">
        <f>[5]Population!G328</f>
        <v>7</v>
      </c>
      <c r="W89" s="15">
        <v>0</v>
      </c>
      <c r="X89" s="89">
        <f t="shared" si="8"/>
        <v>109634</v>
      </c>
      <c r="Y89" s="65">
        <f t="shared" si="9"/>
        <v>1040028</v>
      </c>
    </row>
    <row r="90" spans="1:25" x14ac:dyDescent="0.25">
      <c r="A90" s="14">
        <v>42005</v>
      </c>
      <c r="B90" s="14"/>
      <c r="C90" s="15">
        <f t="shared" si="10"/>
        <v>147296</v>
      </c>
      <c r="D90" s="15">
        <f>19637+952</f>
        <v>20589</v>
      </c>
      <c r="E90" s="15">
        <v>40947</v>
      </c>
      <c r="F90" s="15">
        <v>1219</v>
      </c>
      <c r="G90" s="152">
        <f>[5]Population!DQ329+[5]Population!DR329</f>
        <v>210051</v>
      </c>
      <c r="H90" s="59">
        <f>[5]Population!DS329+[5]Population!DT329</f>
        <v>61696</v>
      </c>
      <c r="I90" s="64">
        <f>Population!DP322</f>
        <v>97143</v>
      </c>
      <c r="J90" s="15">
        <f>Population!DR322</f>
        <v>15930</v>
      </c>
      <c r="K90" s="15">
        <f>Population!DO322+Population!DT322</f>
        <v>469599</v>
      </c>
      <c r="L90" s="15">
        <f>Population!DQ322</f>
        <v>53</v>
      </c>
      <c r="M90" s="15">
        <f>Population!DS322</f>
        <v>76649</v>
      </c>
      <c r="N90" s="68">
        <f t="shared" si="6"/>
        <v>659374</v>
      </c>
      <c r="O90" s="63">
        <f>Population!DU322</f>
        <v>0</v>
      </c>
      <c r="P90" s="15">
        <f>Population!DV322</f>
        <v>0</v>
      </c>
      <c r="Q90" s="16">
        <v>0</v>
      </c>
      <c r="R90" s="88">
        <v>0</v>
      </c>
      <c r="S90" s="88">
        <f t="shared" si="7"/>
        <v>931121</v>
      </c>
      <c r="T90" s="17">
        <f>Population!DZ322</f>
        <v>46690</v>
      </c>
      <c r="U90" s="153">
        <f>Population!G322+Population!H322+Population!I322+Population!J322+Population!K322+Population!N322</f>
        <v>62034</v>
      </c>
      <c r="V90" s="15">
        <f>[5]Population!G329</f>
        <v>3</v>
      </c>
      <c r="W90" s="15">
        <v>0</v>
      </c>
      <c r="X90" s="89">
        <f t="shared" si="8"/>
        <v>108727</v>
      </c>
      <c r="Y90" s="65">
        <f t="shared" si="9"/>
        <v>1039848</v>
      </c>
    </row>
    <row r="91" spans="1:25" x14ac:dyDescent="0.25">
      <c r="A91" s="14">
        <v>42036</v>
      </c>
      <c r="B91" s="14"/>
      <c r="C91" s="15">
        <f t="shared" si="10"/>
        <v>147430</v>
      </c>
      <c r="D91" s="15">
        <f>19353+937</f>
        <v>20290</v>
      </c>
      <c r="E91" s="15">
        <v>41112</v>
      </c>
      <c r="F91" s="15">
        <v>1242</v>
      </c>
      <c r="G91" s="152">
        <f>[5]Population!DQ330+[5]Population!DR330</f>
        <v>210074</v>
      </c>
      <c r="H91" s="59">
        <f>[5]Population!DS330+[5]Population!DT330</f>
        <v>50129</v>
      </c>
      <c r="I91" s="64">
        <f>Population!DP323</f>
        <v>98712</v>
      </c>
      <c r="J91" s="15">
        <f>Population!DR323</f>
        <v>16419</v>
      </c>
      <c r="K91" s="15">
        <f>Population!DO323+Population!DT323</f>
        <v>474765</v>
      </c>
      <c r="L91" s="15">
        <f>Population!DQ323</f>
        <v>183</v>
      </c>
      <c r="M91" s="15">
        <f>Population!DS323</f>
        <v>81157</v>
      </c>
      <c r="N91" s="68">
        <f t="shared" si="6"/>
        <v>671236</v>
      </c>
      <c r="O91" s="63">
        <f>Population!DU323</f>
        <v>0</v>
      </c>
      <c r="P91" s="15">
        <f>Population!DV323</f>
        <v>0</v>
      </c>
      <c r="Q91" s="16">
        <v>0</v>
      </c>
      <c r="R91" s="88">
        <v>0</v>
      </c>
      <c r="S91" s="88">
        <f t="shared" si="7"/>
        <v>931439</v>
      </c>
      <c r="T91" s="17">
        <f>Population!DZ323</f>
        <v>46946</v>
      </c>
      <c r="U91" s="153">
        <f>Population!G323+Population!H323+Population!I323+Population!J323+Population!K323+Population!N323</f>
        <v>62103</v>
      </c>
      <c r="V91" s="15">
        <f>[5]Population!G330</f>
        <v>173</v>
      </c>
      <c r="W91" s="15">
        <v>0</v>
      </c>
      <c r="X91" s="89">
        <f t="shared" si="8"/>
        <v>109222</v>
      </c>
      <c r="Y91" s="65">
        <f t="shared" si="9"/>
        <v>1040661</v>
      </c>
    </row>
    <row r="92" spans="1:25" x14ac:dyDescent="0.25">
      <c r="A92" s="14">
        <v>42064</v>
      </c>
      <c r="B92" s="14"/>
      <c r="C92" s="15">
        <f t="shared" si="10"/>
        <v>147805</v>
      </c>
      <c r="D92" s="15">
        <f>19161+957</f>
        <v>20118</v>
      </c>
      <c r="E92" s="15">
        <v>41271</v>
      </c>
      <c r="F92" s="15">
        <v>1249</v>
      </c>
      <c r="G92" s="152">
        <f>[5]Population!DQ331+[5]Population!DR331</f>
        <v>210443</v>
      </c>
      <c r="H92" s="59">
        <f>[5]Population!DS331+[5]Population!DT331</f>
        <v>58759</v>
      </c>
      <c r="I92" s="64">
        <f>Population!DP324</f>
        <v>99223</v>
      </c>
      <c r="J92" s="15">
        <f>Population!DR324</f>
        <v>16147</v>
      </c>
      <c r="K92" s="15">
        <f>Population!DO324+Population!DT324</f>
        <v>476568</v>
      </c>
      <c r="L92" s="15">
        <f>Population!DQ324</f>
        <v>782</v>
      </c>
      <c r="M92" s="15">
        <f>Population!DS324</f>
        <v>86314</v>
      </c>
      <c r="N92" s="68">
        <f t="shared" si="6"/>
        <v>679034</v>
      </c>
      <c r="O92" s="63">
        <f>Population!DU324</f>
        <v>0</v>
      </c>
      <c r="P92" s="15">
        <f>Population!DV324</f>
        <v>0</v>
      </c>
      <c r="Q92" s="16">
        <v>0</v>
      </c>
      <c r="R92" s="88">
        <v>0</v>
      </c>
      <c r="S92" s="88">
        <f t="shared" si="7"/>
        <v>948236</v>
      </c>
      <c r="T92" s="17">
        <f>Population!DZ324</f>
        <v>47065</v>
      </c>
      <c r="U92" s="153">
        <f>Population!G324+Population!H324+Population!I324+Population!J324+Population!K324+Population!N324</f>
        <v>61239</v>
      </c>
      <c r="V92" s="15">
        <f>[5]Population!G331</f>
        <v>326</v>
      </c>
      <c r="W92" s="15">
        <v>0</v>
      </c>
      <c r="X92" s="89">
        <f t="shared" si="8"/>
        <v>108630</v>
      </c>
      <c r="Y92" s="65">
        <f t="shared" si="9"/>
        <v>1056866</v>
      </c>
    </row>
    <row r="93" spans="1:25" x14ac:dyDescent="0.25">
      <c r="A93" s="14">
        <v>42095</v>
      </c>
      <c r="B93" s="14"/>
      <c r="C93" s="15">
        <f t="shared" si="10"/>
        <v>147757</v>
      </c>
      <c r="D93" s="15">
        <f>19256+873</f>
        <v>20129</v>
      </c>
      <c r="E93" s="15">
        <v>41377</v>
      </c>
      <c r="F93" s="15">
        <v>1256</v>
      </c>
      <c r="G93" s="152">
        <f>[5]Population!DQ332+[5]Population!DR332</f>
        <v>210519</v>
      </c>
      <c r="H93" s="59">
        <f>[5]Population!DS332+[5]Population!DT332</f>
        <v>59756</v>
      </c>
      <c r="I93" s="64">
        <f>Population!DP325</f>
        <v>101178</v>
      </c>
      <c r="J93" s="15">
        <f>Population!DR325</f>
        <v>16367</v>
      </c>
      <c r="K93" s="15">
        <f>Population!DO325+Population!DT325</f>
        <v>482409</v>
      </c>
      <c r="L93" s="15">
        <f>Population!DQ325</f>
        <v>1768</v>
      </c>
      <c r="M93" s="15">
        <f>Population!DS325</f>
        <v>91902</v>
      </c>
      <c r="N93" s="68">
        <f t="shared" si="6"/>
        <v>693624</v>
      </c>
      <c r="O93" s="63">
        <f>Population!DU325</f>
        <v>0</v>
      </c>
      <c r="P93" s="15">
        <f>Population!DV325</f>
        <v>0</v>
      </c>
      <c r="Q93" s="16">
        <v>0</v>
      </c>
      <c r="R93" s="88">
        <v>0</v>
      </c>
      <c r="S93" s="88">
        <f t="shared" si="7"/>
        <v>963899</v>
      </c>
      <c r="T93" s="17">
        <f>Population!DZ325</f>
        <v>47507</v>
      </c>
      <c r="U93" s="153">
        <f>Population!G325+Population!H325+Population!I325+Population!J325+Population!K325+Population!N325</f>
        <v>60027</v>
      </c>
      <c r="V93" s="15">
        <f>[5]Population!G332</f>
        <v>493</v>
      </c>
      <c r="W93" s="15">
        <v>0</v>
      </c>
      <c r="X93" s="89">
        <f t="shared" si="8"/>
        <v>108027</v>
      </c>
      <c r="Y93" s="65">
        <f t="shared" si="9"/>
        <v>1071926</v>
      </c>
    </row>
    <row r="94" spans="1:25" x14ac:dyDescent="0.25">
      <c r="A94" s="14">
        <v>42125</v>
      </c>
      <c r="B94" s="14"/>
      <c r="C94" s="15">
        <f t="shared" si="10"/>
        <v>148562</v>
      </c>
      <c r="D94" s="15">
        <f>19189+904</f>
        <v>20093</v>
      </c>
      <c r="E94" s="15">
        <v>41493</v>
      </c>
      <c r="F94" s="15">
        <v>1273</v>
      </c>
      <c r="G94" s="152">
        <f>[5]Population!DQ333+[5]Population!DR333</f>
        <v>211421</v>
      </c>
      <c r="H94" s="59">
        <f>[5]Population!DS333+[5]Population!DT333</f>
        <v>60429</v>
      </c>
      <c r="I94" s="64">
        <f>Population!DP326</f>
        <v>101753</v>
      </c>
      <c r="J94" s="15">
        <f>Population!DR326</f>
        <v>16742</v>
      </c>
      <c r="K94" s="15">
        <f>Population!DO326+Population!DT326</f>
        <v>485517</v>
      </c>
      <c r="L94" s="15">
        <f>Population!DQ326</f>
        <v>2577</v>
      </c>
      <c r="M94" s="15">
        <f>Population!DS326</f>
        <v>96151</v>
      </c>
      <c r="N94" s="68">
        <f t="shared" si="6"/>
        <v>702740</v>
      </c>
      <c r="O94" s="63">
        <f>Population!DU326</f>
        <v>0</v>
      </c>
      <c r="P94" s="15">
        <f>Population!DV326</f>
        <v>0</v>
      </c>
      <c r="Q94" s="16">
        <v>0</v>
      </c>
      <c r="R94" s="88">
        <v>0</v>
      </c>
      <c r="S94" s="88">
        <f t="shared" si="7"/>
        <v>974590</v>
      </c>
      <c r="T94" s="17">
        <f>Population!DZ326</f>
        <v>48182</v>
      </c>
      <c r="U94" s="153">
        <f>Population!G326+Population!H326+Population!I326+Population!J326+Population!K326+Population!N326</f>
        <v>57645</v>
      </c>
      <c r="V94" s="15">
        <f>[5]Population!G333</f>
        <v>658</v>
      </c>
      <c r="W94" s="15">
        <v>0</v>
      </c>
      <c r="X94" s="89">
        <f t="shared" si="8"/>
        <v>106485</v>
      </c>
      <c r="Y94" s="65">
        <f t="shared" si="9"/>
        <v>1081075</v>
      </c>
    </row>
    <row r="95" spans="1:25" x14ac:dyDescent="0.25">
      <c r="A95" s="14">
        <v>42156</v>
      </c>
      <c r="B95" s="14"/>
      <c r="C95" s="15">
        <f t="shared" si="10"/>
        <v>148277</v>
      </c>
      <c r="D95" s="15">
        <f>19282+910</f>
        <v>20192</v>
      </c>
      <c r="E95" s="15">
        <v>41820</v>
      </c>
      <c r="F95" s="15">
        <v>1236</v>
      </c>
      <c r="G95" s="152">
        <f>[5]Population!DQ334+[5]Population!DR334</f>
        <v>211525</v>
      </c>
      <c r="H95" s="59">
        <f>[5]Population!DS334+[5]Population!DT334</f>
        <v>60909</v>
      </c>
      <c r="I95" s="64">
        <f>Population!DP327</f>
        <v>101932</v>
      </c>
      <c r="J95" s="15">
        <f>Population!DR327</f>
        <v>16567</v>
      </c>
      <c r="K95" s="15">
        <f>Population!DO327+Population!DT327</f>
        <v>487820</v>
      </c>
      <c r="L95" s="15">
        <f>Population!DQ327</f>
        <v>3271</v>
      </c>
      <c r="M95" s="15">
        <f>Population!DS327</f>
        <v>99698</v>
      </c>
      <c r="N95" s="68">
        <f t="shared" si="6"/>
        <v>709288</v>
      </c>
      <c r="O95" s="63">
        <f>Population!DU327</f>
        <v>0</v>
      </c>
      <c r="P95" s="15">
        <f>Population!DV327</f>
        <v>0</v>
      </c>
      <c r="Q95" s="16">
        <v>0</v>
      </c>
      <c r="R95" s="88">
        <v>0</v>
      </c>
      <c r="S95" s="88">
        <f t="shared" si="7"/>
        <v>981722</v>
      </c>
      <c r="T95" s="17">
        <f>Population!DZ327</f>
        <v>48765</v>
      </c>
      <c r="U95" s="153">
        <f>Population!G327+Population!H327+Population!I327+Population!J327+Population!K327+Population!N327</f>
        <v>57053</v>
      </c>
      <c r="V95" s="15">
        <f>[5]Population!G334</f>
        <v>807</v>
      </c>
      <c r="W95" s="15">
        <v>0</v>
      </c>
      <c r="X95" s="89">
        <f t="shared" si="8"/>
        <v>106625</v>
      </c>
      <c r="Y95" s="65">
        <f t="shared" si="9"/>
        <v>1088347</v>
      </c>
    </row>
    <row r="96" spans="1:25" x14ac:dyDescent="0.25">
      <c r="A96" s="14"/>
      <c r="B96" s="14"/>
      <c r="C96" s="15"/>
      <c r="D96" s="15"/>
      <c r="E96" s="15"/>
      <c r="F96" s="15"/>
      <c r="H96" s="59"/>
      <c r="I96" s="64"/>
      <c r="J96" s="15"/>
      <c r="K96" s="15"/>
      <c r="L96" s="15"/>
      <c r="M96" s="15"/>
      <c r="N96" s="68"/>
      <c r="O96" s="63"/>
      <c r="P96" s="15"/>
      <c r="Q96" s="16"/>
      <c r="R96" s="88"/>
      <c r="S96" s="88"/>
      <c r="T96" s="17"/>
      <c r="U96" s="153"/>
      <c r="W96" s="15"/>
      <c r="X96" s="89"/>
      <c r="Y96" s="65"/>
    </row>
    <row r="97" spans="1:25" x14ac:dyDescent="0.25">
      <c r="A97" s="14">
        <v>42186</v>
      </c>
      <c r="B97" s="14"/>
      <c r="C97" s="15">
        <f t="shared" ref="C97:C121" si="11">G97-D97-E97-F97</f>
        <v>148022</v>
      </c>
      <c r="D97" s="15">
        <f>19316+869</f>
        <v>20185</v>
      </c>
      <c r="E97" s="15">
        <v>41907</v>
      </c>
      <c r="F97" s="15">
        <v>1286</v>
      </c>
      <c r="G97" s="152">
        <f>[5]Population!DQ335+[5]Population!DR335</f>
        <v>211400</v>
      </c>
      <c r="H97" s="59">
        <f>[5]Population!DS335+[5]Population!DT335</f>
        <v>61051</v>
      </c>
      <c r="I97" s="64">
        <f>Population!DP328</f>
        <v>101775</v>
      </c>
      <c r="J97" s="15">
        <f>Population!DR328</f>
        <v>16698</v>
      </c>
      <c r="K97" s="15">
        <f>Population!DO328+Population!DT328</f>
        <v>486525</v>
      </c>
      <c r="L97" s="15">
        <f>Population!DQ328</f>
        <v>3863</v>
      </c>
      <c r="M97" s="15">
        <f>Population!DS328</f>
        <v>103046</v>
      </c>
      <c r="N97" s="68">
        <f t="shared" si="6"/>
        <v>711907</v>
      </c>
      <c r="O97" s="63">
        <f>Population!DU328</f>
        <v>0</v>
      </c>
      <c r="P97" s="15">
        <f>Population!DV328</f>
        <v>0</v>
      </c>
      <c r="Q97" s="16">
        <v>0</v>
      </c>
      <c r="R97" s="88">
        <v>0</v>
      </c>
      <c r="S97" s="88">
        <f t="shared" si="7"/>
        <v>984358</v>
      </c>
      <c r="T97" s="17">
        <f>Population!DZ328</f>
        <v>49018</v>
      </c>
      <c r="U97" s="153">
        <f>Population!G328+Population!H328+Population!I328+Population!J328+Population!K328+Population!N328</f>
        <v>57695</v>
      </c>
      <c r="V97" s="15">
        <f>[5]Population!G335</f>
        <v>885</v>
      </c>
      <c r="W97" s="15">
        <v>0</v>
      </c>
      <c r="X97" s="89">
        <f t="shared" si="8"/>
        <v>107598</v>
      </c>
      <c r="Y97" s="65">
        <f t="shared" si="9"/>
        <v>1091956</v>
      </c>
    </row>
    <row r="98" spans="1:25" x14ac:dyDescent="0.25">
      <c r="A98" s="14">
        <v>42217</v>
      </c>
      <c r="B98" s="14"/>
      <c r="C98" s="15">
        <f t="shared" si="11"/>
        <v>147771</v>
      </c>
      <c r="D98" s="15">
        <f>19366+931</f>
        <v>20297</v>
      </c>
      <c r="E98" s="15">
        <v>42168</v>
      </c>
      <c r="F98" s="15">
        <v>1292</v>
      </c>
      <c r="G98" s="152">
        <f>[5]Population!DQ336+[5]Population!DR336</f>
        <v>211528</v>
      </c>
      <c r="H98" s="59">
        <f>[5]Population!DS336+[5]Population!DT336</f>
        <v>61328</v>
      </c>
      <c r="I98" s="64">
        <f>Population!DP329</f>
        <v>101267</v>
      </c>
      <c r="J98" s="15">
        <f>Population!DR329</f>
        <v>16943</v>
      </c>
      <c r="K98" s="15">
        <f>Population!DO329+Population!DT329</f>
        <v>483612</v>
      </c>
      <c r="L98" s="15">
        <f>Population!DQ329</f>
        <v>4359</v>
      </c>
      <c r="M98" s="15">
        <f>Population!DS329</f>
        <v>107122</v>
      </c>
      <c r="N98" s="68">
        <f t="shared" si="6"/>
        <v>713303</v>
      </c>
      <c r="O98" s="63">
        <f>Population!DU329</f>
        <v>0</v>
      </c>
      <c r="P98" s="15">
        <f>Population!DV329</f>
        <v>0</v>
      </c>
      <c r="Q98" s="16">
        <v>0</v>
      </c>
      <c r="R98" s="88">
        <v>0</v>
      </c>
      <c r="S98" s="88">
        <f t="shared" si="7"/>
        <v>986159</v>
      </c>
      <c r="T98" s="17">
        <f>Population!DZ329</f>
        <v>48956</v>
      </c>
      <c r="U98" s="153">
        <f>Population!G329+Population!H329+Population!I329+Population!J329+Population!K329+Population!N329</f>
        <v>57622</v>
      </c>
      <c r="V98" s="15">
        <f>[5]Population!G336</f>
        <v>937</v>
      </c>
      <c r="W98" s="15">
        <v>0</v>
      </c>
      <c r="X98" s="89">
        <f t="shared" si="8"/>
        <v>107515</v>
      </c>
      <c r="Y98" s="65">
        <f t="shared" si="9"/>
        <v>1093674</v>
      </c>
    </row>
    <row r="99" spans="1:25" x14ac:dyDescent="0.25">
      <c r="A99" s="14">
        <v>42248</v>
      </c>
      <c r="B99" s="14"/>
      <c r="C99" s="15">
        <f t="shared" si="11"/>
        <v>146923</v>
      </c>
      <c r="D99" s="15">
        <f>19517+908</f>
        <v>20425</v>
      </c>
      <c r="E99" s="15">
        <v>42603</v>
      </c>
      <c r="F99" s="15">
        <v>1297</v>
      </c>
      <c r="G99" s="152">
        <f>[5]Population!DQ337+[5]Population!DR337</f>
        <v>211248</v>
      </c>
      <c r="H99" s="59">
        <f>[5]Population!DS337+[5]Population!DT337</f>
        <v>61497</v>
      </c>
      <c r="I99" s="64">
        <f>Population!DP330</f>
        <v>101447</v>
      </c>
      <c r="J99" s="15">
        <f>Population!DR330</f>
        <v>17076</v>
      </c>
      <c r="K99" s="15">
        <f>Population!DO330+Population!DT330</f>
        <v>484108</v>
      </c>
      <c r="L99" s="15">
        <f>Population!DQ330</f>
        <v>4812</v>
      </c>
      <c r="M99" s="15">
        <f>Population!DS330</f>
        <v>110466</v>
      </c>
      <c r="N99" s="68">
        <f t="shared" si="6"/>
        <v>717909</v>
      </c>
      <c r="O99" s="63">
        <f>Population!DU330</f>
        <v>0</v>
      </c>
      <c r="P99" s="15">
        <f>Population!DV330</f>
        <v>0</v>
      </c>
      <c r="Q99" s="16">
        <v>0</v>
      </c>
      <c r="R99" s="88">
        <v>0</v>
      </c>
      <c r="S99" s="88">
        <f t="shared" si="7"/>
        <v>990654</v>
      </c>
      <c r="T99" s="17">
        <f>Population!DZ330</f>
        <v>49239</v>
      </c>
      <c r="U99" s="153">
        <f>Population!G330+Population!H330+Population!I330+Population!J330+Population!K330+Population!N330</f>
        <v>57779</v>
      </c>
      <c r="V99" s="15">
        <f>[5]Population!G337</f>
        <v>1037</v>
      </c>
      <c r="W99" s="15">
        <v>0</v>
      </c>
      <c r="X99" s="89">
        <f t="shared" si="8"/>
        <v>108055</v>
      </c>
      <c r="Y99" s="65">
        <f t="shared" si="9"/>
        <v>1098709</v>
      </c>
    </row>
    <row r="100" spans="1:25" x14ac:dyDescent="0.25">
      <c r="A100" s="14">
        <v>42278</v>
      </c>
      <c r="B100" s="14"/>
      <c r="C100" s="15">
        <f t="shared" si="11"/>
        <v>147144</v>
      </c>
      <c r="D100" s="15">
        <f>912+19468</f>
        <v>20380</v>
      </c>
      <c r="E100" s="15">
        <v>43014</v>
      </c>
      <c r="F100" s="15">
        <v>1300</v>
      </c>
      <c r="G100" s="152">
        <f>[5]Population!DQ338+[5]Population!DR338</f>
        <v>211838</v>
      </c>
      <c r="H100" s="59">
        <f>[5]Population!DS338+[5]Population!DT338</f>
        <v>61537</v>
      </c>
      <c r="I100" s="64">
        <f>Population!DP331</f>
        <v>101694</v>
      </c>
      <c r="J100" s="15">
        <f>Population!DR331</f>
        <v>16684</v>
      </c>
      <c r="K100" s="15">
        <f>Population!DO331+Population!DT331</f>
        <v>482488</v>
      </c>
      <c r="L100" s="15">
        <f>Population!DQ331</f>
        <v>5269</v>
      </c>
      <c r="M100" s="15">
        <f>Population!DS331</f>
        <v>111645</v>
      </c>
      <c r="N100" s="68">
        <f t="shared" si="6"/>
        <v>717780</v>
      </c>
      <c r="O100" s="63">
        <f>Population!DU331</f>
        <v>0</v>
      </c>
      <c r="P100" s="15">
        <f>Population!DV331</f>
        <v>0</v>
      </c>
      <c r="Q100" s="16">
        <v>0</v>
      </c>
      <c r="R100" s="88">
        <v>0</v>
      </c>
      <c r="S100" s="88">
        <f t="shared" si="7"/>
        <v>991155</v>
      </c>
      <c r="T100" s="17">
        <f>Population!DZ331</f>
        <v>49255</v>
      </c>
      <c r="U100" s="153">
        <f>Population!G331+Population!H331+Population!I331+Population!J331+Population!K331+Population!N331</f>
        <v>57593</v>
      </c>
      <c r="V100" s="15">
        <f>[5]Population!G338</f>
        <v>1121</v>
      </c>
      <c r="W100" s="15">
        <v>0</v>
      </c>
      <c r="X100" s="89">
        <f t="shared" si="8"/>
        <v>107969</v>
      </c>
      <c r="Y100" s="65">
        <f t="shared" si="9"/>
        <v>1099124</v>
      </c>
    </row>
    <row r="101" spans="1:25" x14ac:dyDescent="0.25">
      <c r="A101" s="14">
        <v>42309</v>
      </c>
      <c r="B101" s="14"/>
      <c r="C101" s="15">
        <f t="shared" si="11"/>
        <v>146723</v>
      </c>
      <c r="D101" s="15">
        <f>910+19634</f>
        <v>20544</v>
      </c>
      <c r="E101" s="15">
        <v>43379</v>
      </c>
      <c r="F101" s="15">
        <v>1315</v>
      </c>
      <c r="G101" s="152">
        <f>[5]Population!DQ339+[5]Population!DR339</f>
        <v>211961</v>
      </c>
      <c r="H101" s="59">
        <f>[5]Population!DS339+[5]Population!DT339</f>
        <v>61573</v>
      </c>
      <c r="I101" s="64">
        <f>Population!DP332</f>
        <v>101992</v>
      </c>
      <c r="J101" s="15">
        <f>Population!DR332</f>
        <v>16479</v>
      </c>
      <c r="K101" s="15">
        <f>Population!DO332+Population!DT332</f>
        <v>481343</v>
      </c>
      <c r="L101" s="15">
        <f>Population!DQ332</f>
        <v>5611</v>
      </c>
      <c r="M101" s="15">
        <f>Population!DS332</f>
        <v>112602</v>
      </c>
      <c r="N101" s="68">
        <f t="shared" si="6"/>
        <v>718027</v>
      </c>
      <c r="O101" s="63">
        <f>Population!DU332</f>
        <v>0</v>
      </c>
      <c r="P101" s="15">
        <f>Population!DV332</f>
        <v>0</v>
      </c>
      <c r="Q101" s="16">
        <v>0</v>
      </c>
      <c r="R101" s="88">
        <v>0</v>
      </c>
      <c r="S101" s="88">
        <f t="shared" si="7"/>
        <v>991561</v>
      </c>
      <c r="T101" s="17">
        <f>Population!DZ332</f>
        <v>49246</v>
      </c>
      <c r="U101" s="153">
        <f>Population!G332+Population!H332+Population!I332+Population!J332+Population!K332+Population!N332</f>
        <v>57327</v>
      </c>
      <c r="V101" s="15">
        <f>[5]Population!G339</f>
        <v>1083</v>
      </c>
      <c r="W101" s="15">
        <v>0</v>
      </c>
      <c r="X101" s="89">
        <f t="shared" si="8"/>
        <v>107656</v>
      </c>
      <c r="Y101" s="65">
        <f t="shared" si="9"/>
        <v>1099217</v>
      </c>
    </row>
    <row r="102" spans="1:25" x14ac:dyDescent="0.25">
      <c r="A102" s="14">
        <v>42339</v>
      </c>
      <c r="B102" s="14"/>
      <c r="C102" s="15">
        <f t="shared" si="11"/>
        <v>147141</v>
      </c>
      <c r="D102" s="15">
        <f>876+19765</f>
        <v>20641</v>
      </c>
      <c r="E102" s="15">
        <v>43831</v>
      </c>
      <c r="F102" s="15">
        <v>1317</v>
      </c>
      <c r="G102" s="152">
        <f>[5]Population!DQ340+[5]Population!DR340</f>
        <v>212930</v>
      </c>
      <c r="H102" s="59">
        <f>[5]Population!DS340+[5]Population!DT340</f>
        <v>61949</v>
      </c>
      <c r="I102" s="64">
        <f>Population!DP333</f>
        <v>101934</v>
      </c>
      <c r="J102" s="15">
        <f>Population!DR333</f>
        <v>16161</v>
      </c>
      <c r="K102" s="15">
        <f>Population!DO333+Population!DT333</f>
        <v>477468</v>
      </c>
      <c r="L102" s="15">
        <f>Population!DQ333</f>
        <v>5855</v>
      </c>
      <c r="M102" s="15">
        <f>Population!DS333</f>
        <v>112318</v>
      </c>
      <c r="N102" s="68">
        <f t="shared" si="6"/>
        <v>713736</v>
      </c>
      <c r="O102" s="63">
        <f>Population!DU333</f>
        <v>0</v>
      </c>
      <c r="P102" s="15">
        <f>Population!DV333</f>
        <v>0</v>
      </c>
      <c r="Q102" s="16">
        <v>0</v>
      </c>
      <c r="R102" s="88">
        <v>0</v>
      </c>
      <c r="S102" s="88">
        <f t="shared" si="7"/>
        <v>988615</v>
      </c>
      <c r="T102" s="17">
        <f>Population!DZ333</f>
        <v>49195</v>
      </c>
      <c r="U102" s="153">
        <f>Population!G333+Population!H333+Population!I333+Population!J333+Population!K333+Population!N333</f>
        <v>56813</v>
      </c>
      <c r="V102" s="15">
        <f>[5]Population!G340</f>
        <v>1070</v>
      </c>
      <c r="W102" s="15">
        <v>0</v>
      </c>
      <c r="X102" s="89">
        <f t="shared" si="8"/>
        <v>107078</v>
      </c>
      <c r="Y102" s="65">
        <f t="shared" si="9"/>
        <v>1095693</v>
      </c>
    </row>
    <row r="103" spans="1:25" x14ac:dyDescent="0.25">
      <c r="A103" s="14">
        <v>42370</v>
      </c>
      <c r="B103" s="14"/>
      <c r="C103" s="15">
        <f t="shared" si="11"/>
        <v>147083</v>
      </c>
      <c r="D103" s="15">
        <f>883+19661</f>
        <v>20544</v>
      </c>
      <c r="E103" s="15">
        <v>44395</v>
      </c>
      <c r="F103" s="15">
        <v>1298</v>
      </c>
      <c r="G103" s="152">
        <f>[5]Population!DQ341+[5]Population!DR341</f>
        <v>213320</v>
      </c>
      <c r="H103" s="59">
        <f>[5]Population!DS341+[5]Population!DT341</f>
        <v>62141</v>
      </c>
      <c r="I103" s="64">
        <f>Population!DP334</f>
        <v>102618</v>
      </c>
      <c r="J103" s="15">
        <f>Population!DR334</f>
        <v>16231</v>
      </c>
      <c r="K103" s="15">
        <f>Population!DO334+Population!DT334</f>
        <v>476688</v>
      </c>
      <c r="L103" s="15">
        <f>Population!DQ334</f>
        <v>6172</v>
      </c>
      <c r="M103" s="15">
        <f>Population!DS334</f>
        <v>111515</v>
      </c>
      <c r="N103" s="68">
        <f t="shared" si="6"/>
        <v>713224</v>
      </c>
      <c r="O103" s="63">
        <f>Population!DU334</f>
        <v>0</v>
      </c>
      <c r="P103" s="15">
        <f>Population!DV334</f>
        <v>0</v>
      </c>
      <c r="Q103" s="16">
        <v>0</v>
      </c>
      <c r="R103" s="88">
        <v>0</v>
      </c>
      <c r="S103" s="88">
        <f t="shared" si="7"/>
        <v>988685</v>
      </c>
      <c r="T103" s="17">
        <f>Population!DZ334</f>
        <v>49535</v>
      </c>
      <c r="U103" s="153">
        <f>Population!G334+Population!H334+Population!I334+Population!J334+Population!K334+Population!N334</f>
        <v>56842</v>
      </c>
      <c r="V103" s="15">
        <f>[5]Population!G341</f>
        <v>1042</v>
      </c>
      <c r="W103" s="15">
        <v>0</v>
      </c>
      <c r="X103" s="89">
        <f t="shared" si="8"/>
        <v>107419</v>
      </c>
      <c r="Y103" s="65">
        <f t="shared" si="9"/>
        <v>1096104</v>
      </c>
    </row>
    <row r="104" spans="1:25" x14ac:dyDescent="0.25">
      <c r="A104" s="14">
        <v>42401</v>
      </c>
      <c r="B104" s="14"/>
      <c r="C104" s="15">
        <f t="shared" si="11"/>
        <v>147710</v>
      </c>
      <c r="D104" s="15">
        <f>867+19615</f>
        <v>20482</v>
      </c>
      <c r="E104" s="15">
        <v>44669</v>
      </c>
      <c r="F104" s="15">
        <v>1288</v>
      </c>
      <c r="G104" s="152">
        <f>[5]Population!DQ342+[5]Population!DR342</f>
        <v>214149</v>
      </c>
      <c r="H104" s="59">
        <f>[5]Population!DS342+[5]Population!DT342</f>
        <v>60029</v>
      </c>
      <c r="I104" s="64">
        <f>Population!DP335</f>
        <v>102804</v>
      </c>
      <c r="J104" s="15">
        <f>Population!DR335</f>
        <v>16166</v>
      </c>
      <c r="K104" s="15">
        <f>Population!DO335+Population!DT335</f>
        <v>476978</v>
      </c>
      <c r="L104" s="15">
        <f>Population!DQ335</f>
        <v>6206</v>
      </c>
      <c r="M104" s="15">
        <f>Population!DS335</f>
        <v>111215</v>
      </c>
      <c r="N104" s="68">
        <f t="shared" si="6"/>
        <v>713369</v>
      </c>
      <c r="O104" s="63">
        <f>Population!DU335</f>
        <v>0</v>
      </c>
      <c r="P104" s="15">
        <f>Population!DV335</f>
        <v>0</v>
      </c>
      <c r="Q104" s="16">
        <v>0</v>
      </c>
      <c r="R104" s="88">
        <v>0</v>
      </c>
      <c r="S104" s="88">
        <f t="shared" si="7"/>
        <v>987547</v>
      </c>
      <c r="T104" s="17">
        <f>Population!DZ335</f>
        <v>49810</v>
      </c>
      <c r="U104" s="153">
        <f>Population!G335+Population!H335+Population!I335+Population!J335+Population!K335+Population!N335</f>
        <v>56882</v>
      </c>
      <c r="V104" s="15">
        <f>[5]Population!G342</f>
        <v>1053</v>
      </c>
      <c r="W104" s="15">
        <v>0</v>
      </c>
      <c r="X104" s="89">
        <f t="shared" si="8"/>
        <v>107745</v>
      </c>
      <c r="Y104" s="65">
        <f t="shared" si="9"/>
        <v>1095292</v>
      </c>
    </row>
    <row r="105" spans="1:25" x14ac:dyDescent="0.25">
      <c r="A105" s="14">
        <v>42430</v>
      </c>
      <c r="B105" s="14"/>
      <c r="C105" s="15">
        <f t="shared" si="11"/>
        <v>148321</v>
      </c>
      <c r="D105" s="15">
        <f>19365+855</f>
        <v>20220</v>
      </c>
      <c r="E105" s="15">
        <v>44861</v>
      </c>
      <c r="F105" s="15">
        <v>1337</v>
      </c>
      <c r="G105" s="152">
        <f>[5]Population!DQ343+[5]Population!DR343</f>
        <v>214739</v>
      </c>
      <c r="H105" s="59">
        <f>[5]Population!DS343+[5]Population!DT343</f>
        <v>60887</v>
      </c>
      <c r="I105" s="64">
        <f>Population!DP336</f>
        <v>103044</v>
      </c>
      <c r="J105" s="15">
        <f>Population!DR336</f>
        <v>16010</v>
      </c>
      <c r="K105" s="15">
        <f>Population!DO336+Population!DT336</f>
        <v>478447</v>
      </c>
      <c r="L105" s="15">
        <f>Population!DQ336</f>
        <v>6325</v>
      </c>
      <c r="M105" s="15">
        <f>Population!DS336</f>
        <v>112470</v>
      </c>
      <c r="N105" s="68">
        <f t="shared" si="6"/>
        <v>716296</v>
      </c>
      <c r="O105" s="63">
        <f>Population!DU336</f>
        <v>0</v>
      </c>
      <c r="P105" s="15">
        <f>Population!DV336</f>
        <v>0</v>
      </c>
      <c r="Q105" s="16">
        <v>0</v>
      </c>
      <c r="R105" s="88">
        <v>0</v>
      </c>
      <c r="S105" s="88">
        <f t="shared" si="7"/>
        <v>991922</v>
      </c>
      <c r="T105" s="17">
        <f>Population!DZ336</f>
        <v>50110</v>
      </c>
      <c r="U105" s="153">
        <f>Population!G336+Population!H336+Population!I336+Population!J336+Population!K336+Population!N336</f>
        <v>57430</v>
      </c>
      <c r="V105" s="15">
        <f>[5]Population!G343</f>
        <v>1040</v>
      </c>
      <c r="W105" s="15">
        <v>0</v>
      </c>
      <c r="X105" s="89">
        <f t="shared" si="8"/>
        <v>108580</v>
      </c>
      <c r="Y105" s="65">
        <f t="shared" si="9"/>
        <v>1100502</v>
      </c>
    </row>
    <row r="106" spans="1:25" x14ac:dyDescent="0.25">
      <c r="A106" s="14">
        <v>42461</v>
      </c>
      <c r="B106" s="14"/>
      <c r="C106" s="15">
        <f t="shared" si="11"/>
        <v>148910</v>
      </c>
      <c r="D106" s="15">
        <f>19459+831</f>
        <v>20290</v>
      </c>
      <c r="E106" s="15">
        <v>44895</v>
      </c>
      <c r="F106" s="15">
        <v>1335</v>
      </c>
      <c r="G106" s="152">
        <f>[5]Population!DQ344+[5]Population!DR344</f>
        <v>215430</v>
      </c>
      <c r="H106" s="59">
        <f>[5]Population!DS344+[5]Population!DT344</f>
        <v>61231</v>
      </c>
      <c r="I106" s="64">
        <f>Population!DP337</f>
        <v>103269</v>
      </c>
      <c r="J106" s="15">
        <f>Population!DR337</f>
        <v>16556</v>
      </c>
      <c r="K106" s="15">
        <f>Population!DO337+Population!DT337</f>
        <v>480896</v>
      </c>
      <c r="L106" s="15">
        <f>Population!DQ337</f>
        <v>6970</v>
      </c>
      <c r="M106" s="15">
        <f>Population!DS337</f>
        <v>113604</v>
      </c>
      <c r="N106" s="68">
        <f t="shared" si="6"/>
        <v>721295</v>
      </c>
      <c r="O106" s="63">
        <f>Population!DU337</f>
        <v>0</v>
      </c>
      <c r="P106" s="15">
        <f>Population!DV337</f>
        <v>0</v>
      </c>
      <c r="Q106" s="16">
        <v>0</v>
      </c>
      <c r="R106" s="88">
        <v>0</v>
      </c>
      <c r="S106" s="88">
        <f t="shared" si="7"/>
        <v>997956</v>
      </c>
      <c r="T106" s="17">
        <f>Population!DZ337</f>
        <v>50717</v>
      </c>
      <c r="U106" s="153">
        <f>Population!G337+Population!H337+Population!I337+Population!J337+Population!K337+Population!N337</f>
        <v>58113</v>
      </c>
      <c r="V106" s="15">
        <f>[5]Population!G344</f>
        <v>1070</v>
      </c>
      <c r="W106" s="15">
        <v>0</v>
      </c>
      <c r="X106" s="89">
        <f t="shared" si="8"/>
        <v>109900</v>
      </c>
      <c r="Y106" s="65">
        <f t="shared" si="9"/>
        <v>1107856</v>
      </c>
    </row>
    <row r="107" spans="1:25" x14ac:dyDescent="0.25">
      <c r="A107" s="14">
        <v>42491</v>
      </c>
      <c r="B107" s="14"/>
      <c r="C107" s="15">
        <f t="shared" si="11"/>
        <v>149431</v>
      </c>
      <c r="D107" s="15">
        <f>19622+847</f>
        <v>20469</v>
      </c>
      <c r="E107" s="15">
        <v>45215</v>
      </c>
      <c r="F107" s="15">
        <v>1313</v>
      </c>
      <c r="G107" s="152">
        <f>[5]Population!DQ345+[5]Population!DR345</f>
        <v>216428</v>
      </c>
      <c r="H107" s="59">
        <f>[5]Population!DS345+[5]Population!DT345</f>
        <v>61702</v>
      </c>
      <c r="I107" s="64">
        <f>Population!DP338</f>
        <v>103135</v>
      </c>
      <c r="J107" s="15">
        <f>Population!DR338</f>
        <v>16693</v>
      </c>
      <c r="K107" s="15">
        <f>Population!DO338+Population!DT338</f>
        <v>482071</v>
      </c>
      <c r="L107" s="15">
        <f>Population!DQ338</f>
        <v>7521</v>
      </c>
      <c r="M107" s="15">
        <f>Population!DS338</f>
        <v>108418</v>
      </c>
      <c r="N107" s="68">
        <f t="shared" si="6"/>
        <v>717838</v>
      </c>
      <c r="O107" s="63">
        <f>Population!DU338</f>
        <v>0</v>
      </c>
      <c r="P107" s="15">
        <f>Population!DV338</f>
        <v>0</v>
      </c>
      <c r="Q107" s="16">
        <v>0</v>
      </c>
      <c r="R107" s="88">
        <v>0</v>
      </c>
      <c r="S107" s="88">
        <f t="shared" si="7"/>
        <v>995968</v>
      </c>
      <c r="T107" s="17">
        <f>Population!DZ338</f>
        <v>51096</v>
      </c>
      <c r="U107" s="153">
        <f>Population!G338+Population!H338+Population!I338+Population!J338+Population!K338+Population!N338</f>
        <v>58834</v>
      </c>
      <c r="V107" s="15">
        <f>[5]Population!G345</f>
        <v>1098</v>
      </c>
      <c r="W107" s="15">
        <v>0</v>
      </c>
      <c r="X107" s="89">
        <f t="shared" si="8"/>
        <v>111028</v>
      </c>
      <c r="Y107" s="65">
        <f t="shared" si="9"/>
        <v>1106996</v>
      </c>
    </row>
    <row r="108" spans="1:25" x14ac:dyDescent="0.25">
      <c r="A108" s="14">
        <v>42522</v>
      </c>
      <c r="B108" s="14"/>
      <c r="C108" s="15">
        <f t="shared" si="11"/>
        <v>149003</v>
      </c>
      <c r="D108" s="15">
        <f>807+19740</f>
        <v>20547</v>
      </c>
      <c r="E108" s="15">
        <v>45645</v>
      </c>
      <c r="F108" s="15">
        <v>1323</v>
      </c>
      <c r="G108" s="152">
        <f>[5]Population!DQ346+[5]Population!DR346</f>
        <v>216518</v>
      </c>
      <c r="H108" s="59">
        <f>[5]Population!DS346+[5]Population!DT346</f>
        <v>61860</v>
      </c>
      <c r="I108" s="64">
        <f>Population!DP339</f>
        <v>102539</v>
      </c>
      <c r="J108" s="15">
        <f>Population!DR339</f>
        <v>16533</v>
      </c>
      <c r="K108" s="15">
        <f>Population!DO339+Population!DT339</f>
        <v>482880</v>
      </c>
      <c r="L108" s="15">
        <f>Population!DQ339</f>
        <v>7894</v>
      </c>
      <c r="M108" s="15">
        <f>Population!DS339</f>
        <v>106786</v>
      </c>
      <c r="N108" s="68">
        <f t="shared" si="6"/>
        <v>716632</v>
      </c>
      <c r="O108" s="63">
        <f>Population!DU339</f>
        <v>0</v>
      </c>
      <c r="P108" s="15">
        <f>Population!DV339</f>
        <v>0</v>
      </c>
      <c r="Q108" s="16">
        <v>0</v>
      </c>
      <c r="R108" s="88">
        <v>0</v>
      </c>
      <c r="S108" s="88">
        <f t="shared" si="7"/>
        <v>995010</v>
      </c>
      <c r="T108" s="17">
        <f>Population!DZ339</f>
        <v>51432</v>
      </c>
      <c r="U108" s="153">
        <f>Population!G339+Population!H339+Population!I339+Population!J339+Population!K339+Population!N339</f>
        <v>59330</v>
      </c>
      <c r="V108" s="15">
        <f>[5]Population!G346</f>
        <v>1077</v>
      </c>
      <c r="W108" s="15">
        <v>0</v>
      </c>
      <c r="X108" s="89">
        <f t="shared" si="8"/>
        <v>111839</v>
      </c>
      <c r="Y108" s="65">
        <f t="shared" si="9"/>
        <v>1106849</v>
      </c>
    </row>
    <row r="109" spans="1:25" x14ac:dyDescent="0.25">
      <c r="A109" s="14"/>
      <c r="B109" s="14"/>
      <c r="C109" s="15"/>
      <c r="D109" s="15"/>
      <c r="E109" s="15"/>
      <c r="F109" s="15"/>
      <c r="G109" s="155"/>
      <c r="H109" s="59"/>
      <c r="I109" s="64"/>
      <c r="J109" s="15"/>
      <c r="K109" s="15"/>
      <c r="L109" s="15"/>
      <c r="M109" s="15"/>
      <c r="N109" s="68"/>
      <c r="O109" s="63"/>
      <c r="P109" s="15"/>
      <c r="Q109" s="16"/>
      <c r="R109" s="88"/>
      <c r="S109" s="88"/>
      <c r="T109" s="17"/>
      <c r="U109" s="153"/>
      <c r="V109" s="155"/>
      <c r="W109" s="15"/>
      <c r="X109" s="89"/>
      <c r="Y109" s="65"/>
    </row>
    <row r="110" spans="1:25" x14ac:dyDescent="0.25">
      <c r="A110" s="14">
        <v>42552</v>
      </c>
      <c r="B110" s="14"/>
      <c r="C110" s="15">
        <f t="shared" si="11"/>
        <v>149530</v>
      </c>
      <c r="D110" s="15">
        <f>817+19669</f>
        <v>20486</v>
      </c>
      <c r="E110" s="15">
        <v>45635</v>
      </c>
      <c r="F110" s="15">
        <v>1295</v>
      </c>
      <c r="G110" s="152">
        <f>[5]Population!DQ347+[5]Population!DR347</f>
        <v>216946</v>
      </c>
      <c r="H110" s="59">
        <f>[5]Population!DS347+[5]Population!DT347</f>
        <v>61806</v>
      </c>
      <c r="I110" s="64">
        <f>Population!DP340</f>
        <v>103115</v>
      </c>
      <c r="J110" s="15">
        <f>Population!DR340</f>
        <v>16632</v>
      </c>
      <c r="K110" s="15">
        <f>Population!DO340+Population!DT340</f>
        <v>484007</v>
      </c>
      <c r="L110" s="15">
        <f>Population!DQ340</f>
        <v>8328</v>
      </c>
      <c r="M110" s="15">
        <f>Population!DS340</f>
        <v>108409</v>
      </c>
      <c r="N110" s="68">
        <f t="shared" si="6"/>
        <v>720491</v>
      </c>
      <c r="O110" s="63">
        <f>Population!DU340</f>
        <v>0</v>
      </c>
      <c r="P110" s="15">
        <f>Population!DV340</f>
        <v>0</v>
      </c>
      <c r="Q110" s="16">
        <v>0</v>
      </c>
      <c r="R110" s="88">
        <v>0</v>
      </c>
      <c r="S110" s="88">
        <f t="shared" si="7"/>
        <v>999243</v>
      </c>
      <c r="T110" s="17">
        <f>Population!DZ340</f>
        <v>51468</v>
      </c>
      <c r="U110" s="153">
        <f>Population!G340+Population!H340+Population!I340+Population!J340+Population!K340+Population!N340</f>
        <v>59597</v>
      </c>
      <c r="V110" s="15">
        <f>[5]Population!G347</f>
        <v>1093</v>
      </c>
      <c r="W110" s="15">
        <v>0</v>
      </c>
      <c r="X110" s="89">
        <f t="shared" si="8"/>
        <v>112158</v>
      </c>
      <c r="Y110" s="65">
        <f t="shared" si="9"/>
        <v>1111401</v>
      </c>
    </row>
    <row r="111" spans="1:25" x14ac:dyDescent="0.25">
      <c r="A111" s="14">
        <v>42583</v>
      </c>
      <c r="B111" s="14"/>
      <c r="C111" s="15">
        <f t="shared" si="11"/>
        <v>150603</v>
      </c>
      <c r="D111" s="15">
        <f>815+19418</f>
        <v>20233</v>
      </c>
      <c r="E111" s="15">
        <v>45610</v>
      </c>
      <c r="F111" s="15">
        <v>1295</v>
      </c>
      <c r="G111" s="152">
        <f>[5]Population!DQ348+[5]Population!DR348</f>
        <v>217741</v>
      </c>
      <c r="H111" s="59">
        <f>[5]Population!DS348+[5]Population!DT348</f>
        <v>61967</v>
      </c>
      <c r="I111" s="64">
        <f>Population!DP341</f>
        <v>103605</v>
      </c>
      <c r="J111" s="15">
        <f>Population!DR341</f>
        <v>16153</v>
      </c>
      <c r="K111" s="15">
        <f>Population!DO341+Population!DT341</f>
        <v>481510</v>
      </c>
      <c r="L111" s="15">
        <f>Population!DQ341</f>
        <v>8632</v>
      </c>
      <c r="M111" s="15">
        <f>Population!DS341</f>
        <v>108437</v>
      </c>
      <c r="N111" s="68">
        <f t="shared" si="6"/>
        <v>718337</v>
      </c>
      <c r="O111" s="63">
        <f>Population!DU341</f>
        <v>0</v>
      </c>
      <c r="P111" s="15">
        <f>Population!DV341</f>
        <v>0</v>
      </c>
      <c r="Q111" s="16">
        <v>0</v>
      </c>
      <c r="R111" s="88">
        <v>0</v>
      </c>
      <c r="S111" s="88">
        <f t="shared" si="7"/>
        <v>998045</v>
      </c>
      <c r="T111" s="17">
        <f>Population!DZ341</f>
        <v>51310</v>
      </c>
      <c r="U111" s="153">
        <f>Population!G341+Population!H341+Population!I341+Population!J341+Population!K341+Population!N341</f>
        <v>59462</v>
      </c>
      <c r="V111" s="15">
        <f>[5]Population!G348</f>
        <v>1086</v>
      </c>
      <c r="W111" s="15">
        <v>0</v>
      </c>
      <c r="X111" s="89">
        <f t="shared" si="8"/>
        <v>111858</v>
      </c>
      <c r="Y111" s="65">
        <f t="shared" si="9"/>
        <v>1109903</v>
      </c>
    </row>
    <row r="112" spans="1:25" x14ac:dyDescent="0.25">
      <c r="A112" s="14">
        <v>42614</v>
      </c>
      <c r="B112" s="14"/>
      <c r="C112" s="15">
        <f t="shared" si="11"/>
        <v>150231</v>
      </c>
      <c r="D112" s="15">
        <f>753+19131</f>
        <v>19884</v>
      </c>
      <c r="E112" s="15">
        <v>45594</v>
      </c>
      <c r="F112" s="15">
        <v>1288</v>
      </c>
      <c r="G112" s="152">
        <f>[5]Population!DQ349+[5]Population!DR349</f>
        <v>216997</v>
      </c>
      <c r="H112" s="59">
        <f>[5]Population!DS349+[5]Population!DT349</f>
        <v>61790</v>
      </c>
      <c r="I112" s="64">
        <f>Population!DP342</f>
        <v>104883</v>
      </c>
      <c r="J112" s="15">
        <f>Population!DR342</f>
        <v>16139</v>
      </c>
      <c r="K112" s="15">
        <f>Population!DO342+Population!DT342</f>
        <v>482158</v>
      </c>
      <c r="L112" s="15">
        <f>Population!DQ342</f>
        <v>9145</v>
      </c>
      <c r="M112" s="15">
        <f>Population!DS342</f>
        <v>109374</v>
      </c>
      <c r="N112" s="68">
        <f t="shared" si="6"/>
        <v>721699</v>
      </c>
      <c r="O112" s="63">
        <f>Population!DU342</f>
        <v>0</v>
      </c>
      <c r="P112" s="15">
        <f>Population!DV342</f>
        <v>0</v>
      </c>
      <c r="Q112" s="16">
        <v>0</v>
      </c>
      <c r="R112" s="88">
        <v>0</v>
      </c>
      <c r="S112" s="88">
        <f t="shared" si="7"/>
        <v>1000486</v>
      </c>
      <c r="T112" s="17">
        <f>Population!DZ342</f>
        <v>51449</v>
      </c>
      <c r="U112" s="153">
        <f>Population!G342+Population!H342+Population!I342+Population!J342+Population!K342+Population!N342</f>
        <v>59738</v>
      </c>
      <c r="V112" s="15">
        <f>[5]Population!G349</f>
        <v>1041</v>
      </c>
      <c r="W112" s="15">
        <v>0</v>
      </c>
      <c r="X112" s="89">
        <f t="shared" si="8"/>
        <v>112228</v>
      </c>
      <c r="Y112" s="65">
        <f t="shared" si="9"/>
        <v>1112714</v>
      </c>
    </row>
    <row r="113" spans="1:25" x14ac:dyDescent="0.25">
      <c r="A113" s="14">
        <v>42644</v>
      </c>
      <c r="B113" s="14"/>
      <c r="C113" s="15">
        <f t="shared" si="11"/>
        <v>149381</v>
      </c>
      <c r="D113" s="15">
        <f>805+19202</f>
        <v>20007</v>
      </c>
      <c r="E113" s="15">
        <v>45745</v>
      </c>
      <c r="F113" s="15">
        <v>1299</v>
      </c>
      <c r="G113" s="152">
        <f>[5]Population!DQ350+[5]Population!DR350</f>
        <v>216432</v>
      </c>
      <c r="H113" s="59">
        <f>[5]Population!DS350+[5]Population!DT350</f>
        <v>61625</v>
      </c>
      <c r="I113" s="64">
        <f>Population!DP343</f>
        <v>106132</v>
      </c>
      <c r="J113" s="15">
        <f>Population!DR343</f>
        <v>16025</v>
      </c>
      <c r="K113" s="15">
        <f>Population!DO343+Population!DT343</f>
        <v>484646</v>
      </c>
      <c r="L113" s="15">
        <f>Population!DQ343</f>
        <v>9444</v>
      </c>
      <c r="M113" s="15">
        <f>Population!DS343</f>
        <v>109981</v>
      </c>
      <c r="N113" s="68">
        <f t="shared" si="6"/>
        <v>726228</v>
      </c>
      <c r="O113" s="63">
        <f>Population!DU343</f>
        <v>0</v>
      </c>
      <c r="P113" s="15">
        <f>Population!DV343</f>
        <v>0</v>
      </c>
      <c r="Q113" s="16">
        <v>0</v>
      </c>
      <c r="R113" s="88">
        <v>0</v>
      </c>
      <c r="S113" s="88">
        <f t="shared" si="7"/>
        <v>1004285</v>
      </c>
      <c r="T113" s="17">
        <f>Population!DZ343</f>
        <v>51651</v>
      </c>
      <c r="U113" s="153">
        <f>Population!G343+Population!H343+Population!I343+Population!J343+Population!K343+Population!N343</f>
        <v>60176</v>
      </c>
      <c r="V113" s="15">
        <f>[5]Population!G350</f>
        <v>1058</v>
      </c>
      <c r="W113" s="15">
        <v>0</v>
      </c>
      <c r="X113" s="89">
        <f t="shared" si="8"/>
        <v>112885</v>
      </c>
      <c r="Y113" s="65">
        <f t="shared" si="9"/>
        <v>1117170</v>
      </c>
    </row>
    <row r="114" spans="1:25" x14ac:dyDescent="0.25">
      <c r="A114" s="14">
        <v>42675</v>
      </c>
      <c r="B114" s="14"/>
      <c r="C114" s="15">
        <f t="shared" si="11"/>
        <v>149513</v>
      </c>
      <c r="D114" s="15">
        <f>803+19329</f>
        <v>20132</v>
      </c>
      <c r="E114" s="15">
        <v>46147</v>
      </c>
      <c r="F114" s="15">
        <v>1327</v>
      </c>
      <c r="G114" s="152">
        <f>[5]Population!DQ351+[5]Population!DR351</f>
        <v>217119</v>
      </c>
      <c r="H114" s="59">
        <f>[5]Population!DS351+[5]Population!DT351</f>
        <v>61344</v>
      </c>
      <c r="I114" s="64">
        <f>Population!DP344</f>
        <v>107127</v>
      </c>
      <c r="J114" s="15">
        <f>Population!DR344</f>
        <v>15438</v>
      </c>
      <c r="K114" s="15">
        <f>Population!DO344+Population!DT344</f>
        <v>485899</v>
      </c>
      <c r="L114" s="15">
        <f>Population!DQ344</f>
        <v>9757</v>
      </c>
      <c r="M114" s="15">
        <f>Population!DS344</f>
        <v>110976</v>
      </c>
      <c r="N114" s="68">
        <f t="shared" si="6"/>
        <v>729197</v>
      </c>
      <c r="O114" s="63">
        <f>Population!DU344</f>
        <v>0</v>
      </c>
      <c r="P114" s="15">
        <f>Population!DV344</f>
        <v>0</v>
      </c>
      <c r="Q114" s="16">
        <v>0</v>
      </c>
      <c r="R114" s="88">
        <v>0</v>
      </c>
      <c r="S114" s="88">
        <f t="shared" si="7"/>
        <v>1007660</v>
      </c>
      <c r="T114" s="17">
        <f>Population!DZ344</f>
        <v>51950</v>
      </c>
      <c r="U114" s="153">
        <f>Population!G344+Population!H344+Population!I344+Population!J344+Population!K344+Population!N344</f>
        <v>60505</v>
      </c>
      <c r="V114" s="15">
        <f>[5]Population!G351</f>
        <v>1026</v>
      </c>
      <c r="W114" s="15">
        <v>0</v>
      </c>
      <c r="X114" s="89">
        <f t="shared" si="8"/>
        <v>113481</v>
      </c>
      <c r="Y114" s="65">
        <f t="shared" si="9"/>
        <v>1121141</v>
      </c>
    </row>
    <row r="115" spans="1:25" x14ac:dyDescent="0.25">
      <c r="A115" s="14">
        <v>42705</v>
      </c>
      <c r="B115" s="14"/>
      <c r="C115" s="15">
        <f t="shared" si="11"/>
        <v>149798</v>
      </c>
      <c r="D115" s="15">
        <f>793+19205</f>
        <v>19998</v>
      </c>
      <c r="E115" s="15">
        <v>46370</v>
      </c>
      <c r="F115" s="15">
        <v>1322</v>
      </c>
      <c r="G115" s="152">
        <f>[5]Population!DQ352+[5]Population!DR352</f>
        <v>217488</v>
      </c>
      <c r="H115" s="59">
        <f>[5]Population!DS352+[5]Population!DT352</f>
        <v>61295</v>
      </c>
      <c r="I115" s="64">
        <f>Population!DP345</f>
        <v>108059</v>
      </c>
      <c r="J115" s="15">
        <f>Population!DR345</f>
        <v>15221</v>
      </c>
      <c r="K115" s="15">
        <f>Population!DO345+Population!DT345</f>
        <v>486142</v>
      </c>
      <c r="L115" s="15">
        <f>Population!DQ345</f>
        <v>10144</v>
      </c>
      <c r="M115" s="15">
        <f>Population!DS345</f>
        <v>110973</v>
      </c>
      <c r="N115" s="68">
        <f t="shared" si="6"/>
        <v>730539</v>
      </c>
      <c r="O115" s="63">
        <f>Population!DU345</f>
        <v>0</v>
      </c>
      <c r="P115" s="15">
        <f>Population!DV345</f>
        <v>0</v>
      </c>
      <c r="Q115" s="16">
        <v>0</v>
      </c>
      <c r="R115" s="88">
        <v>0</v>
      </c>
      <c r="S115" s="88">
        <f t="shared" si="7"/>
        <v>1009322</v>
      </c>
      <c r="T115" s="17">
        <f>Population!DZ345</f>
        <v>52176</v>
      </c>
      <c r="U115" s="153">
        <f>Population!G345+Population!H345+Population!I345+Population!J345+Population!K345+Population!N345</f>
        <v>60525</v>
      </c>
      <c r="V115" s="15">
        <f>[5]Population!G352</f>
        <v>995</v>
      </c>
      <c r="W115" s="15">
        <v>0</v>
      </c>
      <c r="X115" s="89">
        <f t="shared" si="8"/>
        <v>113696</v>
      </c>
      <c r="Y115" s="65">
        <f t="shared" si="9"/>
        <v>1123018</v>
      </c>
    </row>
    <row r="116" spans="1:25" x14ac:dyDescent="0.25">
      <c r="A116" s="14">
        <v>42736</v>
      </c>
      <c r="B116" s="14"/>
      <c r="C116" s="15">
        <f t="shared" si="11"/>
        <v>151213</v>
      </c>
      <c r="D116" s="15">
        <f>795+18890</f>
        <v>19685</v>
      </c>
      <c r="E116" s="15">
        <v>45732</v>
      </c>
      <c r="F116" s="15">
        <v>1260</v>
      </c>
      <c r="G116" s="152">
        <f>[5]Population!DQ353+[5]Population!DR353</f>
        <v>217890</v>
      </c>
      <c r="H116" s="59">
        <f>[5]Population!DS353+[5]Population!DT353</f>
        <v>61233</v>
      </c>
      <c r="I116" s="64">
        <f>Population!DP346</f>
        <v>108916</v>
      </c>
      <c r="J116" s="15">
        <f>Population!DR346</f>
        <v>15360</v>
      </c>
      <c r="K116" s="15">
        <f>Population!DO346+Population!DT346</f>
        <v>486707</v>
      </c>
      <c r="L116" s="15">
        <f>Population!DQ346</f>
        <v>10348</v>
      </c>
      <c r="M116" s="15">
        <f>Population!DS346</f>
        <v>112457</v>
      </c>
      <c r="N116" s="68">
        <f t="shared" si="6"/>
        <v>733788</v>
      </c>
      <c r="O116" s="63">
        <f>Population!DU346</f>
        <v>0</v>
      </c>
      <c r="P116" s="15">
        <f>Population!DV346</f>
        <v>0</v>
      </c>
      <c r="Q116" s="16">
        <v>0</v>
      </c>
      <c r="R116" s="88">
        <v>0</v>
      </c>
      <c r="S116" s="88">
        <f t="shared" si="7"/>
        <v>1012911</v>
      </c>
      <c r="T116" s="17">
        <f>Population!DZ346</f>
        <v>52107</v>
      </c>
      <c r="U116" s="153">
        <f>Population!G346+Population!H346+Population!I346+Population!J346+Population!K346+Population!N346</f>
        <v>60386</v>
      </c>
      <c r="V116" s="15">
        <f>[5]Population!G353</f>
        <v>960</v>
      </c>
      <c r="W116" s="15">
        <v>0</v>
      </c>
      <c r="X116" s="89">
        <f t="shared" si="8"/>
        <v>113453</v>
      </c>
      <c r="Y116" s="65">
        <f t="shared" si="9"/>
        <v>1126364</v>
      </c>
    </row>
    <row r="117" spans="1:25" x14ac:dyDescent="0.25">
      <c r="A117" s="14">
        <v>42767</v>
      </c>
      <c r="B117" s="14"/>
      <c r="C117" s="15">
        <f t="shared" si="11"/>
        <v>149576</v>
      </c>
      <c r="D117" s="15">
        <f>19467+776</f>
        <v>20243</v>
      </c>
      <c r="E117" s="15">
        <v>46791</v>
      </c>
      <c r="F117" s="15">
        <v>1312</v>
      </c>
      <c r="G117" s="152">
        <f>[5]Population!DQ354+[5]Population!DR354</f>
        <v>217922</v>
      </c>
      <c r="H117" s="59">
        <f>[5]Population!DS354+[5]Population!DT354</f>
        <v>60056</v>
      </c>
      <c r="I117" s="64">
        <f>Population!DP347</f>
        <v>110772</v>
      </c>
      <c r="J117" s="15">
        <f>Population!DR347</f>
        <v>15458</v>
      </c>
      <c r="K117" s="15">
        <f>Population!DO347+Population!DT347</f>
        <v>489703</v>
      </c>
      <c r="L117" s="15">
        <f>Population!DQ347</f>
        <v>10488</v>
      </c>
      <c r="M117" s="15">
        <f>Population!DS347</f>
        <v>112093</v>
      </c>
      <c r="N117" s="68">
        <f t="shared" si="6"/>
        <v>738514</v>
      </c>
      <c r="O117" s="63">
        <f>Population!DU347</f>
        <v>0</v>
      </c>
      <c r="P117" s="15">
        <f>Population!DV347</f>
        <v>0</v>
      </c>
      <c r="Q117" s="16">
        <v>0</v>
      </c>
      <c r="R117" s="88">
        <v>0</v>
      </c>
      <c r="S117" s="88">
        <f t="shared" si="7"/>
        <v>1016492</v>
      </c>
      <c r="T117" s="17">
        <f>Population!DZ347</f>
        <v>52422</v>
      </c>
      <c r="U117" s="153">
        <f>Population!G347+Population!H347+Population!I347+Population!J347+Population!K347+Population!N347</f>
        <v>60366</v>
      </c>
      <c r="V117" s="15">
        <f>[5]Population!G354</f>
        <v>1041</v>
      </c>
      <c r="W117" s="15">
        <v>0</v>
      </c>
      <c r="X117" s="89">
        <f t="shared" si="8"/>
        <v>113829</v>
      </c>
      <c r="Y117" s="65">
        <f t="shared" si="9"/>
        <v>1130321</v>
      </c>
    </row>
    <row r="118" spans="1:25" x14ac:dyDescent="0.25">
      <c r="A118" s="14">
        <v>42795</v>
      </c>
      <c r="B118" s="14"/>
      <c r="C118" s="15">
        <f t="shared" si="11"/>
        <v>150835</v>
      </c>
      <c r="D118" s="15">
        <f>19316+793</f>
        <v>20109</v>
      </c>
      <c r="E118" s="15">
        <v>46713</v>
      </c>
      <c r="F118" s="15">
        <v>1299</v>
      </c>
      <c r="G118" s="152">
        <f>[5]Population!DQ355+[5]Population!DR355</f>
        <v>218956</v>
      </c>
      <c r="H118" s="59">
        <f>[5]Population!DS355+[5]Population!DT355</f>
        <v>60088</v>
      </c>
      <c r="I118" s="64">
        <f>Population!DP348</f>
        <v>112034</v>
      </c>
      <c r="J118" s="15">
        <f>Population!DR348</f>
        <v>15305</v>
      </c>
      <c r="K118" s="15">
        <f>Population!DO348+Population!DT348</f>
        <v>488785</v>
      </c>
      <c r="L118" s="15">
        <f>Population!DQ348</f>
        <v>10863</v>
      </c>
      <c r="M118" s="15">
        <f>Population!DS348</f>
        <v>111404</v>
      </c>
      <c r="N118" s="68">
        <f t="shared" si="6"/>
        <v>738391</v>
      </c>
      <c r="O118" s="63">
        <f>Population!DU348</f>
        <v>0</v>
      </c>
      <c r="P118" s="15">
        <f>Population!DV348</f>
        <v>0</v>
      </c>
      <c r="Q118" s="16">
        <v>0</v>
      </c>
      <c r="R118" s="88">
        <v>0</v>
      </c>
      <c r="S118" s="88">
        <f t="shared" si="7"/>
        <v>1017435</v>
      </c>
      <c r="T118" s="17">
        <f>Population!DZ348</f>
        <v>52601</v>
      </c>
      <c r="U118" s="153">
        <f>Population!G348+Population!H348+Population!I348+Population!J348+Population!K348+Population!N348</f>
        <v>60297</v>
      </c>
      <c r="V118" s="15">
        <f>[5]Population!G355</f>
        <v>1088</v>
      </c>
      <c r="W118" s="15">
        <v>0</v>
      </c>
      <c r="X118" s="89">
        <f t="shared" si="8"/>
        <v>113986</v>
      </c>
      <c r="Y118" s="65">
        <f t="shared" si="9"/>
        <v>1131421</v>
      </c>
    </row>
    <row r="119" spans="1:25" x14ac:dyDescent="0.25">
      <c r="A119" s="14">
        <v>42826</v>
      </c>
      <c r="B119" s="14"/>
      <c r="C119" s="15">
        <f t="shared" si="11"/>
        <v>149847</v>
      </c>
      <c r="D119" s="15">
        <f>19440+804</f>
        <v>20244</v>
      </c>
      <c r="E119" s="15">
        <v>47085</v>
      </c>
      <c r="F119" s="15">
        <v>1272</v>
      </c>
      <c r="G119" s="152">
        <f>[5]Population!DQ356+[5]Population!DR356</f>
        <v>218448</v>
      </c>
      <c r="H119" s="59">
        <f>[5]Population!DS356+[5]Population!DT356</f>
        <v>60127</v>
      </c>
      <c r="I119" s="64">
        <f>Population!DP349</f>
        <v>114106</v>
      </c>
      <c r="J119" s="15">
        <f>Population!DR349</f>
        <v>15526</v>
      </c>
      <c r="K119" s="15">
        <f>Population!DO349+Population!DT349</f>
        <v>491491</v>
      </c>
      <c r="L119" s="15">
        <f>Population!DQ349</f>
        <v>11209</v>
      </c>
      <c r="M119" s="15">
        <f>Population!DS349</f>
        <v>112470</v>
      </c>
      <c r="N119" s="68">
        <f t="shared" si="6"/>
        <v>744802</v>
      </c>
      <c r="O119" s="63">
        <f>Population!DU349</f>
        <v>0</v>
      </c>
      <c r="P119" s="15">
        <f>Population!DV349</f>
        <v>0</v>
      </c>
      <c r="Q119" s="16">
        <v>0</v>
      </c>
      <c r="R119" s="88">
        <v>0</v>
      </c>
      <c r="S119" s="88">
        <f t="shared" si="7"/>
        <v>1023377</v>
      </c>
      <c r="T119" s="17">
        <f>Population!DZ349</f>
        <v>53432</v>
      </c>
      <c r="U119" s="153">
        <f>Population!G349+Population!H349+Population!I349+Population!J349+Population!K349+Population!N349</f>
        <v>61207</v>
      </c>
      <c r="V119" s="15">
        <f>[5]Population!G356</f>
        <v>1102</v>
      </c>
      <c r="W119" s="15">
        <v>0</v>
      </c>
      <c r="X119" s="89">
        <f t="shared" si="8"/>
        <v>115741</v>
      </c>
      <c r="Y119" s="65">
        <f t="shared" si="9"/>
        <v>1139118</v>
      </c>
    </row>
    <row r="120" spans="1:25" x14ac:dyDescent="0.25">
      <c r="A120" s="14">
        <v>42856</v>
      </c>
      <c r="B120" s="14"/>
      <c r="C120" s="15">
        <f t="shared" si="11"/>
        <v>150945</v>
      </c>
      <c r="D120" s="15">
        <f>19386+741</f>
        <v>20127</v>
      </c>
      <c r="E120" s="15">
        <v>47208</v>
      </c>
      <c r="F120" s="15">
        <v>1313</v>
      </c>
      <c r="G120" s="152">
        <f>[5]Population!DQ357+[5]Population!DR357</f>
        <v>219593</v>
      </c>
      <c r="H120" s="59">
        <f>[5]Population!DS357+[5]Population!DT357</f>
        <v>60560</v>
      </c>
      <c r="I120" s="64">
        <f>Population!DP350</f>
        <v>114582</v>
      </c>
      <c r="J120" s="15">
        <f>Population!DR350</f>
        <v>15711</v>
      </c>
      <c r="K120" s="15">
        <f>Population!DO350+Population!DT350</f>
        <v>489357</v>
      </c>
      <c r="L120" s="15">
        <f>Population!DQ350</f>
        <v>11469</v>
      </c>
      <c r="M120" s="15">
        <f>Population!DS350</f>
        <v>112405</v>
      </c>
      <c r="N120" s="68">
        <f t="shared" si="6"/>
        <v>743524</v>
      </c>
      <c r="O120" s="63">
        <f>Population!DU350</f>
        <v>0</v>
      </c>
      <c r="P120" s="15">
        <f>Population!DV350</f>
        <v>0</v>
      </c>
      <c r="Q120" s="16">
        <v>0</v>
      </c>
      <c r="R120" s="88">
        <v>0</v>
      </c>
      <c r="S120" s="88">
        <f t="shared" si="7"/>
        <v>1023677</v>
      </c>
      <c r="T120" s="17">
        <f>Population!DZ350</f>
        <v>53906</v>
      </c>
      <c r="U120" s="153">
        <f>Population!G350+Population!H350+Population!I350+Population!J350+Population!K350+Population!N350</f>
        <v>61835</v>
      </c>
      <c r="V120" s="15">
        <f>[5]Population!G357</f>
        <v>1122</v>
      </c>
      <c r="W120" s="15">
        <v>0</v>
      </c>
      <c r="X120" s="89">
        <f t="shared" si="8"/>
        <v>116863</v>
      </c>
      <c r="Y120" s="65">
        <f t="shared" si="9"/>
        <v>1140540</v>
      </c>
    </row>
    <row r="121" spans="1:25" x14ac:dyDescent="0.25">
      <c r="A121" s="14">
        <v>42887</v>
      </c>
      <c r="B121" s="14"/>
      <c r="C121" s="15">
        <f t="shared" si="11"/>
        <v>150513</v>
      </c>
      <c r="D121" s="15">
        <f>19495+751</f>
        <v>20246</v>
      </c>
      <c r="E121" s="15">
        <v>47622</v>
      </c>
      <c r="F121" s="15">
        <v>1312</v>
      </c>
      <c r="G121" s="152">
        <f>[5]Population!DQ358+[5]Population!DR358</f>
        <v>219693</v>
      </c>
      <c r="H121" s="59">
        <f>[5]Population!DS358+[5]Population!DT358</f>
        <v>60454</v>
      </c>
      <c r="I121" s="64">
        <f>Population!DP351</f>
        <v>115789</v>
      </c>
      <c r="J121" s="15">
        <f>Population!DR351</f>
        <v>15936</v>
      </c>
      <c r="K121" s="15">
        <f>Population!DO351+Population!DT351</f>
        <v>488363</v>
      </c>
      <c r="L121" s="15">
        <f>Population!DQ351</f>
        <v>11832</v>
      </c>
      <c r="M121" s="15">
        <f>Population!DS351</f>
        <v>112320</v>
      </c>
      <c r="N121" s="68">
        <f t="shared" si="6"/>
        <v>744240</v>
      </c>
      <c r="O121" s="63">
        <f>Population!DU351</f>
        <v>0</v>
      </c>
      <c r="P121" s="15">
        <f>Population!DV351</f>
        <v>0</v>
      </c>
      <c r="Q121" s="16">
        <v>0</v>
      </c>
      <c r="R121" s="88">
        <v>0</v>
      </c>
      <c r="S121" s="88">
        <f t="shared" si="7"/>
        <v>1024387</v>
      </c>
      <c r="T121" s="17">
        <f>Population!DZ351</f>
        <v>54576</v>
      </c>
      <c r="U121" s="153">
        <f>Population!G351+Population!H351+Population!I351+Population!J351+Population!K351+Population!N351</f>
        <v>62102</v>
      </c>
      <c r="V121" s="15">
        <f>[5]Population!G358</f>
        <v>1139</v>
      </c>
      <c r="W121" s="15">
        <v>0</v>
      </c>
      <c r="X121" s="89">
        <f t="shared" si="8"/>
        <v>117817</v>
      </c>
      <c r="Y121" s="65">
        <f t="shared" si="9"/>
        <v>1142204</v>
      </c>
    </row>
    <row r="122" spans="1:25" x14ac:dyDescent="0.25">
      <c r="A122" s="14"/>
      <c r="B122" s="14"/>
      <c r="D122" s="15"/>
      <c r="E122" s="15"/>
      <c r="F122" s="15"/>
      <c r="H122" s="59"/>
      <c r="I122" s="64"/>
      <c r="J122" s="15"/>
      <c r="K122" s="15"/>
      <c r="L122" s="15"/>
      <c r="M122" s="15"/>
      <c r="N122" s="68"/>
      <c r="O122" s="63"/>
      <c r="P122" s="15"/>
      <c r="Q122" s="16"/>
      <c r="R122" s="88"/>
      <c r="S122" s="88"/>
      <c r="T122" s="17"/>
      <c r="U122" s="153"/>
      <c r="W122" s="15"/>
      <c r="X122" s="89"/>
      <c r="Y122" s="65"/>
    </row>
    <row r="123" spans="1:25" x14ac:dyDescent="0.25">
      <c r="A123" s="14">
        <v>42917</v>
      </c>
      <c r="B123" s="14"/>
      <c r="C123" s="15">
        <f t="shared" ref="C123:C134" si="12">G123-D123-E123-F123</f>
        <v>150898</v>
      </c>
      <c r="D123" s="15">
        <f>19619+669</f>
        <v>20288</v>
      </c>
      <c r="E123" s="15">
        <v>47916</v>
      </c>
      <c r="F123" s="15">
        <v>1290</v>
      </c>
      <c r="G123" s="152">
        <f>[5]Population!DQ359+[5]Population!DR359</f>
        <v>220392</v>
      </c>
      <c r="H123" s="59">
        <f>[5]Population!DS359+[5]Population!DT359</f>
        <v>60574</v>
      </c>
      <c r="I123" s="64">
        <f>Population!DP352</f>
        <v>116829</v>
      </c>
      <c r="J123" s="15">
        <f>Population!DR352</f>
        <v>16155</v>
      </c>
      <c r="K123" s="15">
        <f>Population!DO352+Population!DT352</f>
        <v>488369</v>
      </c>
      <c r="L123" s="15">
        <f>Population!DQ352</f>
        <v>12156</v>
      </c>
      <c r="M123" s="15">
        <f>Population!DS352</f>
        <v>113129</v>
      </c>
      <c r="N123" s="68">
        <f t="shared" si="6"/>
        <v>746638</v>
      </c>
      <c r="O123" s="63">
        <f>Population!DU352</f>
        <v>0</v>
      </c>
      <c r="P123" s="15">
        <f>Population!DV352</f>
        <v>0</v>
      </c>
      <c r="Q123" s="16">
        <v>0</v>
      </c>
      <c r="R123" s="88">
        <v>0</v>
      </c>
      <c r="S123" s="88">
        <f t="shared" si="7"/>
        <v>1027604</v>
      </c>
      <c r="T123" s="17">
        <f>Population!DZ352</f>
        <v>55896</v>
      </c>
      <c r="U123" s="153">
        <f>Population!G352+Population!H352+Population!I352+Population!J352+Population!K352+Population!N352</f>
        <v>63158</v>
      </c>
      <c r="V123" s="15">
        <f>[5]Population!G359</f>
        <v>1115</v>
      </c>
      <c r="W123" s="15">
        <v>0</v>
      </c>
      <c r="X123" s="89">
        <f t="shared" si="8"/>
        <v>120169</v>
      </c>
      <c r="Y123" s="65">
        <f t="shared" si="9"/>
        <v>1147773</v>
      </c>
    </row>
    <row r="124" spans="1:25" x14ac:dyDescent="0.25">
      <c r="A124" s="14">
        <v>42948</v>
      </c>
      <c r="B124" s="14"/>
      <c r="C124" s="15">
        <f t="shared" si="12"/>
        <v>150824</v>
      </c>
      <c r="D124" s="15">
        <f>19658+800</f>
        <v>20458</v>
      </c>
      <c r="E124" s="15">
        <v>48379</v>
      </c>
      <c r="F124" s="15">
        <v>1314</v>
      </c>
      <c r="G124" s="152">
        <f>[5]Population!DQ360+[5]Population!DR360</f>
        <v>220975</v>
      </c>
      <c r="H124" s="59">
        <f>[5]Population!DS360+[5]Population!DT360</f>
        <v>60630</v>
      </c>
      <c r="I124" s="64">
        <f>Population!DP353</f>
        <v>117693</v>
      </c>
      <c r="J124" s="15">
        <f>Population!DR353</f>
        <v>16218</v>
      </c>
      <c r="K124" s="15">
        <f>Population!DO353+Population!DT353</f>
        <v>488949</v>
      </c>
      <c r="L124" s="15">
        <f>Population!DQ353</f>
        <v>12389</v>
      </c>
      <c r="M124" s="15">
        <f>Population!DS353</f>
        <v>113898</v>
      </c>
      <c r="N124" s="68">
        <f t="shared" si="6"/>
        <v>749147</v>
      </c>
      <c r="O124" s="63">
        <f>Population!DU353</f>
        <v>0</v>
      </c>
      <c r="P124" s="15">
        <f>Population!DV353</f>
        <v>0</v>
      </c>
      <c r="Q124" s="16">
        <v>0</v>
      </c>
      <c r="R124" s="88">
        <v>0</v>
      </c>
      <c r="S124" s="88">
        <f t="shared" si="7"/>
        <v>1030752</v>
      </c>
      <c r="T124" s="17">
        <f>Population!DZ353</f>
        <v>56921</v>
      </c>
      <c r="U124" s="153">
        <f>Population!G353+Population!H353+Population!I353+Population!J353+Population!K353+Population!N353</f>
        <v>63970</v>
      </c>
      <c r="V124" s="15">
        <f>[5]Population!G360</f>
        <v>1160</v>
      </c>
      <c r="W124" s="15">
        <v>0</v>
      </c>
      <c r="X124" s="89">
        <f t="shared" si="8"/>
        <v>122051</v>
      </c>
      <c r="Y124" s="65">
        <f t="shared" si="9"/>
        <v>1152803</v>
      </c>
    </row>
    <row r="125" spans="1:25" x14ac:dyDescent="0.25">
      <c r="A125" s="14">
        <v>42979</v>
      </c>
      <c r="B125" s="14"/>
      <c r="C125" s="15">
        <f t="shared" si="12"/>
        <v>151703</v>
      </c>
      <c r="D125" s="15">
        <f>19591+781</f>
        <v>20372</v>
      </c>
      <c r="E125" s="15">
        <v>48331</v>
      </c>
      <c r="F125" s="15">
        <v>1330</v>
      </c>
      <c r="G125" s="152">
        <f>[5]Population!DQ361+[5]Population!DR361</f>
        <v>221736</v>
      </c>
      <c r="H125" s="59">
        <f>[5]Population!DS361+[5]Population!DT361</f>
        <v>60863</v>
      </c>
      <c r="I125" s="64">
        <f>Population!DP354</f>
        <v>118335</v>
      </c>
      <c r="J125" s="15">
        <f>Population!DR354</f>
        <v>16520</v>
      </c>
      <c r="K125" s="15">
        <f>Population!DO354+Population!DT354</f>
        <v>490844</v>
      </c>
      <c r="L125" s="15">
        <f>Population!DQ354</f>
        <v>12759</v>
      </c>
      <c r="M125" s="15">
        <f>Population!DS354</f>
        <v>115070</v>
      </c>
      <c r="N125" s="68">
        <f t="shared" si="6"/>
        <v>753528</v>
      </c>
      <c r="O125" s="63">
        <f>Population!DU354</f>
        <v>0</v>
      </c>
      <c r="P125" s="15">
        <f>Population!DV354</f>
        <v>0</v>
      </c>
      <c r="Q125" s="16">
        <v>0</v>
      </c>
      <c r="R125" s="88">
        <v>0</v>
      </c>
      <c r="S125" s="88">
        <f t="shared" si="7"/>
        <v>1036127</v>
      </c>
      <c r="T125" s="17">
        <f>Population!DZ354</f>
        <v>58224</v>
      </c>
      <c r="U125" s="153">
        <f>Population!G354+Population!H354+Population!I354+Population!J354+Population!K354+Population!N354</f>
        <v>65032</v>
      </c>
      <c r="V125" s="15">
        <f>[5]Population!G361</f>
        <v>1154</v>
      </c>
      <c r="W125" s="15">
        <v>0</v>
      </c>
      <c r="X125" s="89">
        <f t="shared" si="8"/>
        <v>124410</v>
      </c>
      <c r="Y125" s="65">
        <f t="shared" si="9"/>
        <v>1160537</v>
      </c>
    </row>
    <row r="126" spans="1:25" x14ac:dyDescent="0.25">
      <c r="A126" s="14">
        <v>43009</v>
      </c>
      <c r="B126" s="14"/>
      <c r="C126" s="15">
        <f t="shared" si="12"/>
        <v>151797</v>
      </c>
      <c r="D126" s="15">
        <f>19700+776</f>
        <v>20476</v>
      </c>
      <c r="E126" s="15">
        <v>48717</v>
      </c>
      <c r="F126" s="15">
        <v>1323</v>
      </c>
      <c r="G126" s="152">
        <f>[5]Population!DQ362+[5]Population!DR362</f>
        <v>222313</v>
      </c>
      <c r="H126" s="59">
        <f>[5]Population!DS362+[5]Population!DT362</f>
        <v>61086</v>
      </c>
      <c r="I126" s="64">
        <f>Population!DP355</f>
        <v>118989</v>
      </c>
      <c r="J126" s="15">
        <f>Population!DR355</f>
        <v>16287</v>
      </c>
      <c r="K126" s="15">
        <f>Population!DO355+Population!DT355</f>
        <v>492473</v>
      </c>
      <c r="L126" s="15">
        <f>Population!DQ355</f>
        <v>12943</v>
      </c>
      <c r="M126" s="15">
        <f>Population!DS355</f>
        <v>116297</v>
      </c>
      <c r="N126" s="68">
        <f t="shared" si="6"/>
        <v>756989</v>
      </c>
      <c r="O126" s="63">
        <f>Population!DU355</f>
        <v>0</v>
      </c>
      <c r="P126" s="15">
        <f>Population!DV355</f>
        <v>0</v>
      </c>
      <c r="Q126" s="16">
        <v>0</v>
      </c>
      <c r="R126" s="88">
        <v>0</v>
      </c>
      <c r="S126" s="88">
        <f t="shared" si="7"/>
        <v>1040388</v>
      </c>
      <c r="T126" s="17">
        <f>Population!DZ355</f>
        <v>59085</v>
      </c>
      <c r="U126" s="153">
        <f>Population!G355+Population!H355+Population!I355+Population!J355+Population!K355+Population!N355</f>
        <v>66047</v>
      </c>
      <c r="V126" s="15">
        <f>[5]Population!G362</f>
        <v>1146</v>
      </c>
      <c r="W126" s="15">
        <v>0</v>
      </c>
      <c r="X126" s="89">
        <f t="shared" si="8"/>
        <v>126278</v>
      </c>
      <c r="Y126" s="65">
        <f t="shared" si="9"/>
        <v>1166666</v>
      </c>
    </row>
    <row r="127" spans="1:25" x14ac:dyDescent="0.25">
      <c r="A127" s="14">
        <v>43040</v>
      </c>
      <c r="B127" s="14"/>
      <c r="C127" s="15">
        <f t="shared" si="12"/>
        <v>152115</v>
      </c>
      <c r="D127" s="15">
        <f>19736+767</f>
        <v>20503</v>
      </c>
      <c r="E127" s="15">
        <v>48687</v>
      </c>
      <c r="F127" s="15">
        <v>1327</v>
      </c>
      <c r="G127" s="152">
        <f>[5]Population!DQ363+[5]Population!DR363</f>
        <v>222632</v>
      </c>
      <c r="H127" s="59">
        <f>[5]Population!DS363+[5]Population!DT363</f>
        <v>60911</v>
      </c>
      <c r="I127" s="64">
        <f>Population!DP356</f>
        <v>114510</v>
      </c>
      <c r="J127" s="15">
        <f>Population!DR356</f>
        <v>15865</v>
      </c>
      <c r="K127" s="15">
        <f>Population!DO356+Population!DT356</f>
        <v>494812</v>
      </c>
      <c r="L127" s="15">
        <f>Population!DQ356</f>
        <v>13346</v>
      </c>
      <c r="M127" s="15">
        <f>Population!DS356</f>
        <v>122668</v>
      </c>
      <c r="N127" s="68">
        <f t="shared" si="6"/>
        <v>761201</v>
      </c>
      <c r="O127" s="63">
        <f>Population!DU356</f>
        <v>0</v>
      </c>
      <c r="P127" s="15">
        <f>Population!DV356</f>
        <v>0</v>
      </c>
      <c r="Q127" s="16">
        <v>0</v>
      </c>
      <c r="R127" s="88">
        <v>0</v>
      </c>
      <c r="S127" s="88">
        <f t="shared" si="7"/>
        <v>1044744</v>
      </c>
      <c r="T127" s="17">
        <f>Population!DZ356</f>
        <v>60115</v>
      </c>
      <c r="U127" s="153">
        <f>Population!G356+Population!H356+Population!I356+Population!J356+Population!K356+Population!N356</f>
        <v>67763</v>
      </c>
      <c r="V127" s="15">
        <f>[5]Population!G363</f>
        <v>1097</v>
      </c>
      <c r="W127" s="15">
        <v>0</v>
      </c>
      <c r="X127" s="89">
        <f t="shared" si="8"/>
        <v>128975</v>
      </c>
      <c r="Y127" s="65">
        <f t="shared" si="9"/>
        <v>1173719</v>
      </c>
    </row>
    <row r="128" spans="1:25" x14ac:dyDescent="0.25">
      <c r="A128" s="14">
        <v>43070</v>
      </c>
      <c r="B128" s="14"/>
      <c r="C128" s="15">
        <f t="shared" si="12"/>
        <v>153604</v>
      </c>
      <c r="D128" s="15">
        <f>19712+762</f>
        <v>20474</v>
      </c>
      <c r="E128" s="15">
        <v>48343</v>
      </c>
      <c r="F128" s="15">
        <v>1332</v>
      </c>
      <c r="G128" s="152">
        <f>[5]Population!DQ364+[5]Population!DR364</f>
        <v>223753</v>
      </c>
      <c r="H128" s="59">
        <f>[5]Population!DS364+[5]Population!DT364</f>
        <v>60946</v>
      </c>
      <c r="I128" s="64">
        <f>Population!DP357</f>
        <v>114406</v>
      </c>
      <c r="J128" s="15">
        <f>Population!DR357</f>
        <v>15565</v>
      </c>
      <c r="K128" s="15">
        <f>Population!DO357+Population!DT357</f>
        <v>495050</v>
      </c>
      <c r="L128" s="15">
        <f>Population!DQ357</f>
        <v>13808</v>
      </c>
      <c r="M128" s="15">
        <f>Population!DS357</f>
        <v>124027</v>
      </c>
      <c r="N128" s="68">
        <f t="shared" si="6"/>
        <v>762856</v>
      </c>
      <c r="O128" s="63">
        <f>Population!DU357</f>
        <v>0</v>
      </c>
      <c r="P128" s="15">
        <f>Population!DV357</f>
        <v>0</v>
      </c>
      <c r="Q128" s="16">
        <v>0</v>
      </c>
      <c r="R128" s="88">
        <v>0</v>
      </c>
      <c r="S128" s="88">
        <f t="shared" si="7"/>
        <v>1047555</v>
      </c>
      <c r="T128" s="17">
        <f>Population!DZ357</f>
        <v>61027</v>
      </c>
      <c r="U128" s="153">
        <f>Population!G357+Population!H357+Population!I357+Population!J357+Population!K357+Population!N357</f>
        <v>68495</v>
      </c>
      <c r="V128" s="15">
        <f>[5]Population!G364</f>
        <v>1085</v>
      </c>
      <c r="W128" s="15">
        <v>0</v>
      </c>
      <c r="X128" s="89">
        <f t="shared" si="8"/>
        <v>130607</v>
      </c>
      <c r="Y128" s="65">
        <f t="shared" si="9"/>
        <v>1178162</v>
      </c>
    </row>
    <row r="129" spans="1:25" x14ac:dyDescent="0.25">
      <c r="A129" s="14">
        <v>43101</v>
      </c>
      <c r="B129" s="14"/>
      <c r="C129" s="15">
        <f t="shared" si="12"/>
        <v>155474</v>
      </c>
      <c r="D129" s="15">
        <f>19128+760</f>
        <v>19888</v>
      </c>
      <c r="E129" s="15">
        <v>47561</v>
      </c>
      <c r="F129" s="15">
        <v>1295</v>
      </c>
      <c r="G129" s="152">
        <f>[5]Population!DQ365+[5]Population!DR365</f>
        <v>224218</v>
      </c>
      <c r="H129" s="59">
        <f>[5]Population!DS365+[5]Population!DT365</f>
        <v>61059</v>
      </c>
      <c r="I129" s="64">
        <f>Population!DP358</f>
        <v>114868</v>
      </c>
      <c r="J129" s="15">
        <f>Population!DR358</f>
        <v>15411</v>
      </c>
      <c r="K129" s="15">
        <f>Population!DO358+Population!DT358</f>
        <v>494345</v>
      </c>
      <c r="L129" s="15">
        <f>Population!DQ358</f>
        <v>14203</v>
      </c>
      <c r="M129" s="15">
        <f>Population!DS358</f>
        <v>125599</v>
      </c>
      <c r="N129" s="68">
        <f t="shared" si="6"/>
        <v>764426</v>
      </c>
      <c r="O129" s="63">
        <f>Population!DU358</f>
        <v>0</v>
      </c>
      <c r="P129" s="15">
        <f>Population!DV358</f>
        <v>0</v>
      </c>
      <c r="Q129" s="16">
        <v>0</v>
      </c>
      <c r="R129" s="88">
        <v>0</v>
      </c>
      <c r="S129" s="88">
        <f t="shared" si="7"/>
        <v>1049703</v>
      </c>
      <c r="T129" s="17">
        <f>Population!DZ358</f>
        <v>61713</v>
      </c>
      <c r="U129" s="153">
        <f>Population!G358+Population!H358+Population!I358+Population!J358+Population!K358+Population!N358</f>
        <v>69280</v>
      </c>
      <c r="V129" s="15">
        <f>[5]Population!G365</f>
        <v>1114</v>
      </c>
      <c r="W129" s="15">
        <v>0</v>
      </c>
      <c r="X129" s="89">
        <f t="shared" si="8"/>
        <v>132107</v>
      </c>
      <c r="Y129" s="65">
        <f t="shared" si="9"/>
        <v>1181810</v>
      </c>
    </row>
    <row r="130" spans="1:25" x14ac:dyDescent="0.25">
      <c r="A130" s="14">
        <v>43132</v>
      </c>
      <c r="B130" s="14"/>
      <c r="C130" s="15">
        <f t="shared" si="12"/>
        <v>153994</v>
      </c>
      <c r="D130" s="15">
        <f>19352+735</f>
        <v>20087</v>
      </c>
      <c r="E130" s="15">
        <v>48406</v>
      </c>
      <c r="F130" s="15">
        <v>1330</v>
      </c>
      <c r="G130" s="152">
        <f>[5]Population!DQ366+[5]Population!DR366</f>
        <v>223817</v>
      </c>
      <c r="H130" s="59">
        <f>[5]Population!DS366+[5]Population!DT366</f>
        <v>60210</v>
      </c>
      <c r="I130" s="64">
        <f>Population!DP359</f>
        <v>115466</v>
      </c>
      <c r="J130" s="15">
        <f>Population!DR359</f>
        <v>15547</v>
      </c>
      <c r="K130" s="15">
        <f>Population!DO359+Population!DT359</f>
        <v>496175</v>
      </c>
      <c r="L130" s="15">
        <f>Population!DQ359</f>
        <v>14503</v>
      </c>
      <c r="M130" s="15">
        <f>Population!DS359</f>
        <v>126954</v>
      </c>
      <c r="N130" s="68">
        <f t="shared" si="6"/>
        <v>768645</v>
      </c>
      <c r="O130" s="63">
        <f>Population!DU359</f>
        <v>0</v>
      </c>
      <c r="P130" s="15">
        <f>Population!DV359</f>
        <v>0</v>
      </c>
      <c r="Q130" s="16">
        <v>0</v>
      </c>
      <c r="R130" s="88">
        <v>0</v>
      </c>
      <c r="S130" s="88">
        <f t="shared" si="7"/>
        <v>1052672</v>
      </c>
      <c r="T130" s="17">
        <f>Population!DZ359</f>
        <v>62537</v>
      </c>
      <c r="U130" s="153">
        <f>Population!G359+Population!H359+Population!I359+Population!J359+Population!K359+Population!N359</f>
        <v>69982</v>
      </c>
      <c r="V130" s="15">
        <f>[5]Population!G366</f>
        <v>1150</v>
      </c>
      <c r="W130" s="15">
        <v>0</v>
      </c>
      <c r="X130" s="89">
        <f t="shared" si="8"/>
        <v>133669</v>
      </c>
      <c r="Y130" s="65">
        <f t="shared" si="9"/>
        <v>1186341</v>
      </c>
    </row>
    <row r="131" spans="1:25" x14ac:dyDescent="0.25">
      <c r="A131" s="14">
        <v>43160</v>
      </c>
      <c r="B131" s="14"/>
      <c r="C131" s="15">
        <f t="shared" si="12"/>
        <v>154263</v>
      </c>
      <c r="D131" s="15">
        <f>19406+726</f>
        <v>20132</v>
      </c>
      <c r="E131" s="15">
        <v>48291</v>
      </c>
      <c r="F131" s="15">
        <v>1343</v>
      </c>
      <c r="G131" s="152">
        <f>[5]Population!DQ367+[5]Population!DR367</f>
        <v>224029</v>
      </c>
      <c r="H131" s="59">
        <f>[5]Population!DS367+[5]Population!DT367</f>
        <v>60271</v>
      </c>
      <c r="I131" s="64">
        <f>Population!DP360</f>
        <v>115416</v>
      </c>
      <c r="J131" s="15">
        <f>Population!DR360</f>
        <v>15519</v>
      </c>
      <c r="K131" s="15">
        <f>Population!DO360+Population!DT360</f>
        <v>496473</v>
      </c>
      <c r="L131" s="15">
        <f>Population!DQ360</f>
        <v>14856</v>
      </c>
      <c r="M131" s="15">
        <f>Population!DS360</f>
        <v>128138</v>
      </c>
      <c r="N131" s="68">
        <f t="shared" si="6"/>
        <v>770402</v>
      </c>
      <c r="O131" s="63">
        <f>Population!DU360</f>
        <v>0</v>
      </c>
      <c r="P131" s="15">
        <f>Population!DV360</f>
        <v>0</v>
      </c>
      <c r="Q131" s="16">
        <v>0</v>
      </c>
      <c r="R131" s="88">
        <v>0</v>
      </c>
      <c r="S131" s="88">
        <f t="shared" si="7"/>
        <v>1054702</v>
      </c>
      <c r="T131" s="17">
        <f>Population!DZ360</f>
        <v>62716</v>
      </c>
      <c r="U131" s="153">
        <f>Population!G360+Population!H360+Population!I360+Population!J360+Population!K360+Population!N360</f>
        <v>70202</v>
      </c>
      <c r="V131" s="15">
        <f>[5]Population!G367</f>
        <v>1208</v>
      </c>
      <c r="W131" s="15">
        <v>0</v>
      </c>
      <c r="X131" s="89">
        <f t="shared" si="8"/>
        <v>134126</v>
      </c>
      <c r="Y131" s="65">
        <f t="shared" si="9"/>
        <v>1188828</v>
      </c>
    </row>
    <row r="132" spans="1:25" x14ac:dyDescent="0.25">
      <c r="A132" s="14">
        <v>43191</v>
      </c>
      <c r="B132" s="14"/>
      <c r="C132" s="15">
        <f t="shared" si="12"/>
        <v>153939</v>
      </c>
      <c r="D132" s="15">
        <f>19321+720</f>
        <v>20041</v>
      </c>
      <c r="E132" s="15">
        <v>48515</v>
      </c>
      <c r="F132" s="15">
        <v>1351</v>
      </c>
      <c r="G132" s="152">
        <f>[5]Population!DQ368+[5]Population!DR368</f>
        <v>223846</v>
      </c>
      <c r="H132" s="59">
        <f>[5]Population!DS368+[5]Population!DT368</f>
        <v>60549</v>
      </c>
      <c r="I132" s="64">
        <f>Population!DP361</f>
        <v>115691</v>
      </c>
      <c r="J132" s="15">
        <f>Population!DR361</f>
        <v>15531</v>
      </c>
      <c r="K132" s="15">
        <f>Population!DO361+Population!DT361</f>
        <v>499183</v>
      </c>
      <c r="L132" s="15">
        <f>Population!DQ361</f>
        <v>15204</v>
      </c>
      <c r="M132" s="15">
        <f>Population!DS361</f>
        <v>129706</v>
      </c>
      <c r="N132" s="68">
        <f t="shared" si="6"/>
        <v>775315</v>
      </c>
      <c r="O132" s="63">
        <f>Population!DU361</f>
        <v>0</v>
      </c>
      <c r="P132" s="15">
        <f>Population!DV361</f>
        <v>0</v>
      </c>
      <c r="Q132" s="16">
        <v>0</v>
      </c>
      <c r="R132" s="88">
        <v>0</v>
      </c>
      <c r="S132" s="88">
        <f t="shared" si="7"/>
        <v>1059710</v>
      </c>
      <c r="T132" s="17">
        <f>Population!DZ361</f>
        <v>63243</v>
      </c>
      <c r="U132" s="153">
        <f>Population!G361+Population!H361+Population!I361+Population!J361+Population!K361+Population!N361</f>
        <v>70392</v>
      </c>
      <c r="V132" s="15">
        <f>[5]Population!G368</f>
        <v>1206</v>
      </c>
      <c r="W132" s="15">
        <v>0</v>
      </c>
      <c r="X132" s="89">
        <f t="shared" si="8"/>
        <v>134841</v>
      </c>
      <c r="Y132" s="65">
        <f t="shared" si="9"/>
        <v>1194551</v>
      </c>
    </row>
    <row r="133" spans="1:25" x14ac:dyDescent="0.25">
      <c r="A133" s="14">
        <v>43221</v>
      </c>
      <c r="B133" s="14"/>
      <c r="C133" s="15">
        <f t="shared" si="12"/>
        <v>154025</v>
      </c>
      <c r="D133" s="15">
        <f>19427+713</f>
        <v>20140</v>
      </c>
      <c r="E133" s="15">
        <v>48867</v>
      </c>
      <c r="F133" s="15">
        <v>1326</v>
      </c>
      <c r="G133" s="152">
        <f>[5]Population!DQ369+[5]Population!DR369</f>
        <v>224358</v>
      </c>
      <c r="H133" s="59">
        <f>[5]Population!DS369+[5]Population!DT369</f>
        <v>60984</v>
      </c>
      <c r="I133" s="64">
        <f>Population!DP362</f>
        <v>115897</v>
      </c>
      <c r="J133" s="15">
        <f>Population!DR362</f>
        <v>15588</v>
      </c>
      <c r="K133" s="15">
        <f>Population!DO362+Population!DT362</f>
        <v>501833</v>
      </c>
      <c r="L133" s="15">
        <f>Population!DQ362</f>
        <v>15551</v>
      </c>
      <c r="M133" s="15">
        <f>Population!DS362</f>
        <v>131403</v>
      </c>
      <c r="N133" s="68">
        <f t="shared" si="6"/>
        <v>780272</v>
      </c>
      <c r="O133" s="63">
        <f>Population!DU362</f>
        <v>0</v>
      </c>
      <c r="P133" s="15">
        <f>Population!DV362</f>
        <v>0</v>
      </c>
      <c r="Q133" s="16">
        <v>0</v>
      </c>
      <c r="R133" s="88">
        <v>0</v>
      </c>
      <c r="S133" s="88">
        <f t="shared" si="7"/>
        <v>1065614</v>
      </c>
      <c r="T133" s="17">
        <f>Population!DZ362</f>
        <v>63633</v>
      </c>
      <c r="U133" s="153">
        <f>Population!G362+Population!H362+Population!I362+Population!J362+Population!K362+Population!N362</f>
        <v>70691</v>
      </c>
      <c r="V133" s="15">
        <f>[5]Population!G369</f>
        <v>1170</v>
      </c>
      <c r="W133" s="15">
        <v>0</v>
      </c>
      <c r="X133" s="89">
        <f t="shared" si="8"/>
        <v>135494</v>
      </c>
      <c r="Y133" s="65">
        <f t="shared" si="9"/>
        <v>1201108</v>
      </c>
    </row>
    <row r="134" spans="1:25" x14ac:dyDescent="0.25">
      <c r="A134" s="14">
        <v>43252</v>
      </c>
      <c r="B134" s="14"/>
      <c r="C134" s="15">
        <f t="shared" si="12"/>
        <v>154095</v>
      </c>
      <c r="D134" s="15">
        <f>19472+665</f>
        <v>20137</v>
      </c>
      <c r="E134" s="15">
        <v>49184</v>
      </c>
      <c r="F134" s="15">
        <v>1329</v>
      </c>
      <c r="G134" s="152">
        <f>[5]Population!DQ370+[5]Population!DR370</f>
        <v>224745</v>
      </c>
      <c r="H134" s="59">
        <f>[5]Population!DS370+[5]Population!DT370</f>
        <v>61329</v>
      </c>
      <c r="I134" s="64">
        <f>Population!DP363</f>
        <v>115987</v>
      </c>
      <c r="J134" s="15">
        <f>Population!DR363</f>
        <v>15852</v>
      </c>
      <c r="K134" s="15">
        <f>Population!DO363+Population!DT363</f>
        <v>503581</v>
      </c>
      <c r="L134" s="15">
        <f>Population!DQ363</f>
        <v>15975</v>
      </c>
      <c r="M134" s="15">
        <f>Population!DS363</f>
        <v>132576</v>
      </c>
      <c r="N134" s="68">
        <f t="shared" si="6"/>
        <v>783971</v>
      </c>
      <c r="O134" s="63">
        <f>Population!DU363</f>
        <v>0</v>
      </c>
      <c r="P134" s="15">
        <f>Population!DV363</f>
        <v>0</v>
      </c>
      <c r="Q134" s="16">
        <v>0</v>
      </c>
      <c r="R134" s="88">
        <v>0</v>
      </c>
      <c r="S134" s="88">
        <f t="shared" si="7"/>
        <v>1070045</v>
      </c>
      <c r="T134" s="17">
        <f>Population!DZ363</f>
        <v>63976</v>
      </c>
      <c r="U134" s="153">
        <f>Population!G363+Population!H363+Population!I363+Population!J363+Population!K363+Population!N363</f>
        <v>71140</v>
      </c>
      <c r="V134" s="15">
        <f>[5]Population!G370</f>
        <v>1162</v>
      </c>
      <c r="W134" s="15">
        <v>0</v>
      </c>
      <c r="X134" s="89">
        <f t="shared" si="8"/>
        <v>136278</v>
      </c>
      <c r="Y134" s="65">
        <f t="shared" si="9"/>
        <v>1206323</v>
      </c>
    </row>
    <row r="135" spans="1:25" x14ac:dyDescent="0.25">
      <c r="A135" s="14"/>
      <c r="B135" s="14"/>
      <c r="C135" s="66"/>
      <c r="D135" s="15"/>
      <c r="E135" s="15"/>
      <c r="F135" s="15"/>
      <c r="G135" s="69"/>
      <c r="H135" s="59"/>
      <c r="I135" s="64"/>
      <c r="J135" s="15"/>
      <c r="K135" s="15"/>
      <c r="L135" s="15"/>
      <c r="M135" s="15"/>
      <c r="N135" s="68"/>
      <c r="O135" s="63"/>
      <c r="P135" s="15"/>
      <c r="Q135" s="16"/>
      <c r="R135" s="88"/>
      <c r="S135" s="88"/>
      <c r="T135" s="17"/>
      <c r="U135" s="153"/>
      <c r="V135" s="67"/>
      <c r="W135" s="15"/>
      <c r="X135" s="89"/>
      <c r="Y135" s="65"/>
    </row>
    <row r="136" spans="1:25" x14ac:dyDescent="0.25">
      <c r="A136" s="14">
        <v>43282</v>
      </c>
      <c r="B136" s="14"/>
      <c r="C136" s="66">
        <f>G136-D136-E136-F136</f>
        <v>153727</v>
      </c>
      <c r="D136" s="15">
        <f>19433+584</f>
        <v>20017</v>
      </c>
      <c r="E136" s="15">
        <v>49345</v>
      </c>
      <c r="F136" s="15">
        <v>1325</v>
      </c>
      <c r="G136" s="69">
        <f>Population!DK364+Population!DL364</f>
        <v>224414</v>
      </c>
      <c r="H136" s="59">
        <f>Population!DM364+Population!DN364</f>
        <v>61585</v>
      </c>
      <c r="I136" s="64">
        <f>Population!DP364</f>
        <v>115630</v>
      </c>
      <c r="J136" s="15">
        <f>Population!DR364</f>
        <v>15901</v>
      </c>
      <c r="K136" s="15">
        <f>Population!DO364+Population!DT364</f>
        <v>503959</v>
      </c>
      <c r="L136" s="15">
        <f>Population!DQ364</f>
        <v>16241</v>
      </c>
      <c r="M136" s="15">
        <f>Population!DS364</f>
        <v>133602</v>
      </c>
      <c r="N136" s="68">
        <f t="shared" ref="N136:N198" si="13">SUM(I136:M136)</f>
        <v>785333</v>
      </c>
      <c r="O136" s="63">
        <f>Population!DU364</f>
        <v>0</v>
      </c>
      <c r="P136" s="15">
        <f>Population!DV364</f>
        <v>0</v>
      </c>
      <c r="Q136" s="16"/>
      <c r="R136" s="88">
        <v>0</v>
      </c>
      <c r="S136" s="88">
        <f t="shared" ref="S136:S198" si="14">G136+N136+R136+H136</f>
        <v>1071332</v>
      </c>
      <c r="T136" s="17">
        <f>Population!DZ364</f>
        <v>63813</v>
      </c>
      <c r="U136" s="153">
        <f>Population!G364+Population!H364+Population!I364+Population!J364+Population!K364+Population!N364</f>
        <v>70858</v>
      </c>
      <c r="V136" s="15">
        <f>[5]Population!G371</f>
        <v>1166</v>
      </c>
      <c r="W136" s="15">
        <v>0</v>
      </c>
      <c r="X136" s="89">
        <f t="shared" ref="X136:X198" si="15">SUM(T136:W136)</f>
        <v>135837</v>
      </c>
      <c r="Y136" s="65">
        <f t="shared" ref="Y136:Y198" si="16">S136+X136</f>
        <v>1207169</v>
      </c>
    </row>
    <row r="137" spans="1:25" x14ac:dyDescent="0.25">
      <c r="A137" s="14">
        <v>43313</v>
      </c>
      <c r="B137" s="14"/>
      <c r="C137" s="66">
        <f t="shared" ref="C137:C147" si="17">G137-D137-E137-F137</f>
        <v>153507</v>
      </c>
      <c r="D137" s="15">
        <f>19253+688</f>
        <v>19941</v>
      </c>
      <c r="E137" s="15">
        <v>49667</v>
      </c>
      <c r="F137" s="15">
        <v>1343</v>
      </c>
      <c r="G137" s="69">
        <f>Population!DK365+Population!DL365</f>
        <v>224458</v>
      </c>
      <c r="H137" s="59">
        <f>Population!DM365+Population!DN365</f>
        <v>61604</v>
      </c>
      <c r="I137" s="64">
        <f>Population!DP365</f>
        <v>115734</v>
      </c>
      <c r="J137" s="15">
        <f>Population!DR365</f>
        <v>15851</v>
      </c>
      <c r="K137" s="15">
        <f>Population!DO365+Population!DT365</f>
        <v>503201</v>
      </c>
      <c r="L137" s="15">
        <f>Population!DQ365</f>
        <v>16464</v>
      </c>
      <c r="M137" s="15">
        <f>Population!DS365</f>
        <v>133612</v>
      </c>
      <c r="N137" s="68">
        <f t="shared" si="13"/>
        <v>784862</v>
      </c>
      <c r="O137" s="63">
        <f>Population!DU365</f>
        <v>0</v>
      </c>
      <c r="P137" s="15">
        <f>Population!DV365</f>
        <v>0</v>
      </c>
      <c r="Q137" s="16"/>
      <c r="R137" s="88">
        <v>0</v>
      </c>
      <c r="S137" s="88">
        <f t="shared" si="14"/>
        <v>1070924</v>
      </c>
      <c r="T137" s="17">
        <f>Population!DZ365</f>
        <v>63529</v>
      </c>
      <c r="U137" s="153">
        <f>Population!G365+Population!H365+Population!I365+Population!J365+Population!K365+Population!N365</f>
        <v>70315</v>
      </c>
      <c r="V137" s="15">
        <f>[5]Population!G372</f>
        <v>1157</v>
      </c>
      <c r="W137" s="15">
        <v>0</v>
      </c>
      <c r="X137" s="89">
        <f t="shared" si="15"/>
        <v>135001</v>
      </c>
      <c r="Y137" s="65">
        <f t="shared" si="16"/>
        <v>1205925</v>
      </c>
    </row>
    <row r="138" spans="1:25" x14ac:dyDescent="0.25">
      <c r="A138" s="14">
        <v>43344</v>
      </c>
      <c r="B138" s="14"/>
      <c r="C138" s="66">
        <f t="shared" si="17"/>
        <v>153441</v>
      </c>
      <c r="D138" s="15">
        <f>19222+668</f>
        <v>19890</v>
      </c>
      <c r="E138" s="15">
        <v>49747</v>
      </c>
      <c r="F138" s="15">
        <v>1326</v>
      </c>
      <c r="G138" s="69">
        <f>Population!DK366+Population!DL366</f>
        <v>224404</v>
      </c>
      <c r="H138" s="59">
        <f>Population!DM366+Population!DN366</f>
        <v>61822</v>
      </c>
      <c r="I138" s="64">
        <f>Population!DP366</f>
        <v>115908</v>
      </c>
      <c r="J138" s="15">
        <f>Population!DR366</f>
        <v>16042</v>
      </c>
      <c r="K138" s="15">
        <f>Population!DO366+Population!DT366</f>
        <v>503591</v>
      </c>
      <c r="L138" s="15">
        <f>Population!DQ366</f>
        <v>16813</v>
      </c>
      <c r="M138" s="15">
        <f>Population!DS366</f>
        <v>134934</v>
      </c>
      <c r="N138" s="68">
        <f t="shared" si="13"/>
        <v>787288</v>
      </c>
      <c r="O138" s="63">
        <f>Population!DU366</f>
        <v>0</v>
      </c>
      <c r="P138" s="15">
        <f>Population!DV366</f>
        <v>0</v>
      </c>
      <c r="Q138" s="16"/>
      <c r="R138" s="88">
        <v>0</v>
      </c>
      <c r="S138" s="88">
        <f t="shared" si="14"/>
        <v>1073514</v>
      </c>
      <c r="T138" s="17">
        <f>Population!DZ366</f>
        <v>63299</v>
      </c>
      <c r="U138" s="153">
        <f>Population!G366+Population!H366+Population!I366+Population!J366+Population!K366+Population!N366</f>
        <v>70393</v>
      </c>
      <c r="V138" s="15">
        <f>[5]Population!G373</f>
        <v>1140</v>
      </c>
      <c r="W138" s="15">
        <v>0</v>
      </c>
      <c r="X138" s="89">
        <f t="shared" si="15"/>
        <v>134832</v>
      </c>
      <c r="Y138" s="65">
        <f t="shared" si="16"/>
        <v>1208346</v>
      </c>
    </row>
    <row r="139" spans="1:25" x14ac:dyDescent="0.25">
      <c r="A139" s="14">
        <v>43374</v>
      </c>
      <c r="B139" s="14"/>
      <c r="C139" s="66">
        <f t="shared" si="17"/>
        <v>153824</v>
      </c>
      <c r="D139" s="15">
        <f>19147+548</f>
        <v>19695</v>
      </c>
      <c r="E139" s="15">
        <v>49094</v>
      </c>
      <c r="F139" s="15">
        <v>1324</v>
      </c>
      <c r="G139" s="69">
        <f>Population!DK367+Population!DL367</f>
        <v>223937</v>
      </c>
      <c r="H139" s="59">
        <f>Population!DM367+Population!DN367</f>
        <v>61621</v>
      </c>
      <c r="I139" s="64">
        <f>Population!DP367</f>
        <v>116026</v>
      </c>
      <c r="J139" s="15">
        <f>Population!DR367</f>
        <v>15660</v>
      </c>
      <c r="K139" s="15">
        <f>Population!DO367+Population!DT367</f>
        <v>503829</v>
      </c>
      <c r="L139" s="15">
        <f>Population!DQ367</f>
        <v>17170</v>
      </c>
      <c r="M139" s="15">
        <f>Population!DS367</f>
        <v>136074</v>
      </c>
      <c r="N139" s="68">
        <f t="shared" si="13"/>
        <v>788759</v>
      </c>
      <c r="O139" s="63">
        <f>Population!DU367</f>
        <v>0</v>
      </c>
      <c r="P139" s="15">
        <f>Population!DV367</f>
        <v>0</v>
      </c>
      <c r="Q139" s="16"/>
      <c r="R139" s="88">
        <v>0</v>
      </c>
      <c r="S139" s="88">
        <f t="shared" si="14"/>
        <v>1074317</v>
      </c>
      <c r="T139" s="17">
        <f>Population!DZ367</f>
        <v>63391</v>
      </c>
      <c r="U139" s="153">
        <f>Population!G367+Population!H367+Population!I367+Population!J367+Population!K367+Population!N367</f>
        <v>70459</v>
      </c>
      <c r="V139" s="15">
        <f>[5]Population!G374</f>
        <v>1139</v>
      </c>
      <c r="W139" s="15">
        <v>0</v>
      </c>
      <c r="X139" s="89">
        <f t="shared" si="15"/>
        <v>134989</v>
      </c>
      <c r="Y139" s="65">
        <f t="shared" si="16"/>
        <v>1209306</v>
      </c>
    </row>
    <row r="140" spans="1:25" x14ac:dyDescent="0.25">
      <c r="A140" s="14">
        <v>43405</v>
      </c>
      <c r="B140" s="14"/>
      <c r="C140" s="66">
        <f t="shared" si="17"/>
        <v>154124</v>
      </c>
      <c r="D140" s="15">
        <f>19203+647</f>
        <v>19850</v>
      </c>
      <c r="E140" s="15">
        <v>49130</v>
      </c>
      <c r="F140" s="15">
        <v>1220</v>
      </c>
      <c r="G140" s="69">
        <f>Population!DK368+Population!DL368</f>
        <v>224324</v>
      </c>
      <c r="H140" s="59">
        <f>Population!DM368+Population!DN368</f>
        <v>61850</v>
      </c>
      <c r="I140" s="64">
        <f>Population!DP368</f>
        <v>116709</v>
      </c>
      <c r="J140" s="15">
        <f>Population!DR368</f>
        <v>15412</v>
      </c>
      <c r="K140" s="15">
        <f>Population!DO368+Population!DT368</f>
        <v>504720</v>
      </c>
      <c r="L140" s="15">
        <f>Population!DQ368</f>
        <v>17781</v>
      </c>
      <c r="M140" s="15">
        <f>Population!DS368</f>
        <v>138145</v>
      </c>
      <c r="N140" s="68">
        <f t="shared" si="13"/>
        <v>792767</v>
      </c>
      <c r="O140" s="63">
        <f>Population!DU368</f>
        <v>0</v>
      </c>
      <c r="P140" s="15">
        <f>Population!DV368</f>
        <v>0</v>
      </c>
      <c r="Q140" s="16"/>
      <c r="R140" s="88">
        <v>0</v>
      </c>
      <c r="S140" s="88">
        <f t="shared" si="14"/>
        <v>1078941</v>
      </c>
      <c r="T140" s="17">
        <f>Population!DZ368</f>
        <v>63746</v>
      </c>
      <c r="U140" s="153">
        <f>Population!G368+Population!H368+Population!I368+Population!J368+Population!K368+Population!N368</f>
        <v>70412</v>
      </c>
      <c r="V140" s="15">
        <f>[5]Population!G375</f>
        <v>1124</v>
      </c>
      <c r="W140" s="15">
        <v>0</v>
      </c>
      <c r="X140" s="89">
        <f t="shared" si="15"/>
        <v>135282</v>
      </c>
      <c r="Y140" s="65">
        <f t="shared" si="16"/>
        <v>1214223</v>
      </c>
    </row>
    <row r="141" spans="1:25" x14ac:dyDescent="0.25">
      <c r="A141" s="14">
        <v>43435</v>
      </c>
      <c r="B141" s="14"/>
      <c r="C141" s="66">
        <f t="shared" si="17"/>
        <v>153580</v>
      </c>
      <c r="D141" s="15">
        <f>19350+642</f>
        <v>19992</v>
      </c>
      <c r="E141" s="15">
        <v>49430</v>
      </c>
      <c r="F141" s="15">
        <v>1191</v>
      </c>
      <c r="G141" s="69">
        <f>Population!DK369+Population!DL369</f>
        <v>224193</v>
      </c>
      <c r="H141" s="59">
        <f>Population!DM369+Population!DN369</f>
        <v>62028</v>
      </c>
      <c r="I141" s="64">
        <f>Population!DP369</f>
        <v>117174</v>
      </c>
      <c r="J141" s="15">
        <f>Population!DR369</f>
        <v>15200</v>
      </c>
      <c r="K141" s="15">
        <f>Population!DO369+Population!DT369</f>
        <v>504963</v>
      </c>
      <c r="L141" s="15">
        <f>Population!DQ369</f>
        <v>17999</v>
      </c>
      <c r="M141" s="15">
        <f>Population!DS369</f>
        <v>141391</v>
      </c>
      <c r="N141" s="68">
        <f t="shared" si="13"/>
        <v>796727</v>
      </c>
      <c r="O141" s="63">
        <f>Population!DU369</f>
        <v>0</v>
      </c>
      <c r="P141" s="15">
        <f>Population!DV369</f>
        <v>0</v>
      </c>
      <c r="Q141" s="16"/>
      <c r="R141" s="88">
        <v>0</v>
      </c>
      <c r="S141" s="88">
        <f t="shared" si="14"/>
        <v>1082948</v>
      </c>
      <c r="T141" s="17">
        <f>Population!DZ369</f>
        <v>64008</v>
      </c>
      <c r="U141" s="153">
        <f>Population!G369+Population!H369+Population!I369+Population!J369+Population!K369+Population!N369</f>
        <v>70995</v>
      </c>
      <c r="V141" s="15">
        <f>[5]Population!G376</f>
        <v>1115</v>
      </c>
      <c r="W141" s="15">
        <v>0</v>
      </c>
      <c r="X141" s="89">
        <f t="shared" si="15"/>
        <v>136118</v>
      </c>
      <c r="Y141" s="65">
        <f t="shared" si="16"/>
        <v>1219066</v>
      </c>
    </row>
    <row r="142" spans="1:25" x14ac:dyDescent="0.25">
      <c r="A142" s="14">
        <v>43466</v>
      </c>
      <c r="B142" s="14"/>
      <c r="C142" s="66">
        <f t="shared" si="17"/>
        <v>155633</v>
      </c>
      <c r="D142" s="15">
        <f>17649+636</f>
        <v>18285</v>
      </c>
      <c r="E142" s="15">
        <v>47770</v>
      </c>
      <c r="F142" s="15">
        <v>1116</v>
      </c>
      <c r="G142" s="69">
        <f>Population!DK370+Population!DL370</f>
        <v>222804</v>
      </c>
      <c r="H142" s="59">
        <f>Population!DM370+Population!DN370</f>
        <v>61557</v>
      </c>
      <c r="I142" s="64">
        <f>Population!DP370</f>
        <v>112146</v>
      </c>
      <c r="J142" s="15">
        <f>Population!DR370</f>
        <v>14784</v>
      </c>
      <c r="K142" s="15">
        <f>Population!DO370+Population!DT370</f>
        <v>505927</v>
      </c>
      <c r="L142" s="15">
        <f>Population!DQ370</f>
        <v>1033</v>
      </c>
      <c r="M142" s="15">
        <f>Population!DS370</f>
        <v>41371</v>
      </c>
      <c r="N142" s="68">
        <f t="shared" si="13"/>
        <v>675261</v>
      </c>
      <c r="O142" s="63">
        <f>Population!DU370</f>
        <v>75210</v>
      </c>
      <c r="P142" s="15">
        <f>Population!DV370</f>
        <v>122535</v>
      </c>
      <c r="Q142" s="15">
        <f>Population!DW370</f>
        <v>908</v>
      </c>
      <c r="R142" s="88">
        <f>SUM(O142:Q142)</f>
        <v>198653</v>
      </c>
      <c r="S142" s="88">
        <f t="shared" si="14"/>
        <v>1158275</v>
      </c>
      <c r="T142" s="17">
        <f>Population!DZ370</f>
        <v>65088</v>
      </c>
      <c r="U142" s="153">
        <f>Population!G370+Population!H370+Population!I370+Population!J370+Population!K370+Population!N370</f>
        <v>72457</v>
      </c>
      <c r="V142" s="15">
        <f>[5]Population!G377</f>
        <v>1171</v>
      </c>
      <c r="W142" s="15">
        <v>0</v>
      </c>
      <c r="X142" s="89">
        <f t="shared" si="15"/>
        <v>138716</v>
      </c>
      <c r="Y142" s="65">
        <f t="shared" si="16"/>
        <v>1296991</v>
      </c>
    </row>
    <row r="143" spans="1:25" x14ac:dyDescent="0.25">
      <c r="A143" s="14">
        <v>43497</v>
      </c>
      <c r="B143" s="14"/>
      <c r="C143" s="66">
        <f t="shared" si="17"/>
        <v>153401</v>
      </c>
      <c r="D143" s="15">
        <f>18750+627</f>
        <v>19377</v>
      </c>
      <c r="E143" s="15">
        <v>48939</v>
      </c>
      <c r="F143" s="15">
        <v>1168</v>
      </c>
      <c r="G143" s="69">
        <f>Population!DK371+Population!DL371</f>
        <v>222885</v>
      </c>
      <c r="H143" s="59">
        <f>Population!DM371+Population!DN371</f>
        <v>62056</v>
      </c>
      <c r="I143" s="64">
        <f>Population!DP371</f>
        <v>110438</v>
      </c>
      <c r="J143" s="15">
        <f>Population!DR371</f>
        <v>14804</v>
      </c>
      <c r="K143" s="15">
        <f>Population!DO371+Population!DT371</f>
        <v>508153</v>
      </c>
      <c r="L143" s="15">
        <f>Population!DQ371</f>
        <v>1070</v>
      </c>
      <c r="M143" s="15">
        <f>Population!DS371</f>
        <v>41375</v>
      </c>
      <c r="N143" s="68">
        <f t="shared" si="13"/>
        <v>675840</v>
      </c>
      <c r="O143" s="63">
        <f>Population!DU371</f>
        <v>82626</v>
      </c>
      <c r="P143" s="15">
        <f>Population!DV371</f>
        <v>136603</v>
      </c>
      <c r="Q143" s="15">
        <f>Population!DW371</f>
        <v>1351</v>
      </c>
      <c r="R143" s="88">
        <f t="shared" ref="R143:R206" si="18">SUM(O143:Q143)</f>
        <v>220580</v>
      </c>
      <c r="S143" s="88">
        <f t="shared" si="14"/>
        <v>1181361</v>
      </c>
      <c r="T143" s="17">
        <f>Population!DZ371</f>
        <v>65522</v>
      </c>
      <c r="U143" s="153">
        <f>Population!G371+Population!H371+Population!I371+Population!J371+Population!K371+Population!N371</f>
        <v>72502</v>
      </c>
      <c r="V143" s="15">
        <f>[5]Population!G378</f>
        <v>1267</v>
      </c>
      <c r="W143" s="15">
        <v>0</v>
      </c>
      <c r="X143" s="89">
        <f t="shared" si="15"/>
        <v>139291</v>
      </c>
      <c r="Y143" s="65">
        <f t="shared" si="16"/>
        <v>1320652</v>
      </c>
    </row>
    <row r="144" spans="1:25" x14ac:dyDescent="0.25">
      <c r="A144" s="14">
        <v>43525</v>
      </c>
      <c r="B144" s="14"/>
      <c r="C144" s="66">
        <f t="shared" si="17"/>
        <v>152951</v>
      </c>
      <c r="D144" s="15">
        <f>18895+631</f>
        <v>19526</v>
      </c>
      <c r="E144" s="15">
        <v>48832</v>
      </c>
      <c r="F144" s="15">
        <v>1180</v>
      </c>
      <c r="G144" s="69">
        <f>Population!DK372+Population!DL372</f>
        <v>222489</v>
      </c>
      <c r="H144" s="59">
        <f>Population!DM372+Population!DN372</f>
        <v>62311</v>
      </c>
      <c r="I144" s="64">
        <f>Population!DP372</f>
        <v>108523</v>
      </c>
      <c r="J144" s="15">
        <f>Population!DR372</f>
        <v>14461</v>
      </c>
      <c r="K144" s="15">
        <f>Population!DO372+Population!DT372</f>
        <v>508063</v>
      </c>
      <c r="L144" s="15">
        <f>Population!DQ372</f>
        <v>1098</v>
      </c>
      <c r="M144" s="15">
        <f>Population!DS372</f>
        <v>40999</v>
      </c>
      <c r="N144" s="68">
        <f t="shared" si="13"/>
        <v>673144</v>
      </c>
      <c r="O144" s="63">
        <f>Population!DU372</f>
        <v>87295</v>
      </c>
      <c r="P144" s="15">
        <f>Population!DV372</f>
        <v>148060</v>
      </c>
      <c r="Q144" s="15">
        <f>Population!DW372</f>
        <v>1810</v>
      </c>
      <c r="R144" s="88">
        <f t="shared" si="18"/>
        <v>237165</v>
      </c>
      <c r="S144" s="88">
        <f t="shared" si="14"/>
        <v>1195109</v>
      </c>
      <c r="T144" s="17">
        <f>Population!DZ372</f>
        <v>65369</v>
      </c>
      <c r="U144" s="153">
        <f>Population!G372+Population!H372+Population!I372+Population!J372+Population!K372+Population!N372</f>
        <v>71984</v>
      </c>
      <c r="V144" s="15">
        <f>[5]Population!G379</f>
        <v>1305</v>
      </c>
      <c r="W144" s="15">
        <v>0</v>
      </c>
      <c r="X144" s="89">
        <f t="shared" si="15"/>
        <v>138658</v>
      </c>
      <c r="Y144" s="65">
        <f t="shared" si="16"/>
        <v>1333767</v>
      </c>
    </row>
    <row r="145" spans="1:25" x14ac:dyDescent="0.25">
      <c r="A145" s="14">
        <v>43556</v>
      </c>
      <c r="B145" s="14"/>
      <c r="C145" s="66">
        <f t="shared" si="17"/>
        <v>152909</v>
      </c>
      <c r="D145" s="15">
        <f>18938+663</f>
        <v>19601</v>
      </c>
      <c r="E145" s="15">
        <v>49033</v>
      </c>
      <c r="F145" s="15">
        <v>1182</v>
      </c>
      <c r="G145" s="69">
        <f>Population!DK373+Population!DL373</f>
        <v>222725</v>
      </c>
      <c r="H145" s="59">
        <f>Population!DM373+Population!DN373</f>
        <v>62872</v>
      </c>
      <c r="I145" s="64">
        <f>Population!DP373</f>
        <v>107765</v>
      </c>
      <c r="J145" s="15">
        <f>Population!DR373</f>
        <v>14295</v>
      </c>
      <c r="K145" s="15">
        <f>Population!DO373+Population!DT373</f>
        <v>510094</v>
      </c>
      <c r="L145" s="15">
        <f>Population!DQ373</f>
        <v>1031</v>
      </c>
      <c r="M145" s="15">
        <f>Population!DS373</f>
        <v>40909</v>
      </c>
      <c r="N145" s="68">
        <f t="shared" si="13"/>
        <v>674094</v>
      </c>
      <c r="O145" s="63">
        <f>Population!DU373</f>
        <v>91561</v>
      </c>
      <c r="P145" s="15">
        <f>Population!DV373</f>
        <v>161829</v>
      </c>
      <c r="Q145" s="15">
        <f>Population!DW373</f>
        <v>2202</v>
      </c>
      <c r="R145" s="88">
        <f t="shared" si="18"/>
        <v>255592</v>
      </c>
      <c r="S145" s="88">
        <f t="shared" si="14"/>
        <v>1215283</v>
      </c>
      <c r="T145" s="17">
        <f>Population!DZ373</f>
        <v>65666</v>
      </c>
      <c r="U145" s="153">
        <f>Population!G373+Population!H373+Population!I373+Population!J373+Population!K373+Population!N373</f>
        <v>71649</v>
      </c>
      <c r="V145" s="15">
        <f>[5]Population!G380</f>
        <v>1269</v>
      </c>
      <c r="W145" s="15">
        <v>0</v>
      </c>
      <c r="X145" s="89">
        <f t="shared" si="15"/>
        <v>138584</v>
      </c>
      <c r="Y145" s="65">
        <f t="shared" si="16"/>
        <v>1353867</v>
      </c>
    </row>
    <row r="146" spans="1:25" x14ac:dyDescent="0.25">
      <c r="A146" s="14">
        <v>43586</v>
      </c>
      <c r="B146" s="14"/>
      <c r="C146" s="94">
        <f t="shared" si="17"/>
        <v>152625</v>
      </c>
      <c r="D146" s="15">
        <f>19057+629</f>
        <v>19686</v>
      </c>
      <c r="E146" s="15">
        <v>49082</v>
      </c>
      <c r="F146" s="15">
        <v>1212</v>
      </c>
      <c r="G146" s="69">
        <f>Population!DK374+Population!DL374</f>
        <v>222605</v>
      </c>
      <c r="H146" s="59">
        <f>Population!DM374+Population!DN374</f>
        <v>63253</v>
      </c>
      <c r="I146" s="64">
        <f>Population!DP374</f>
        <v>106342</v>
      </c>
      <c r="J146" s="15">
        <f>Population!DR374</f>
        <v>14454</v>
      </c>
      <c r="K146" s="15">
        <f>Population!DO374+Population!DT374</f>
        <v>511563</v>
      </c>
      <c r="L146" s="15">
        <f>Population!DQ374</f>
        <v>1052</v>
      </c>
      <c r="M146" s="15">
        <f>Population!DS374</f>
        <v>41089</v>
      </c>
      <c r="N146" s="68">
        <f t="shared" si="13"/>
        <v>674500</v>
      </c>
      <c r="O146" s="63">
        <f>Population!DU374</f>
        <v>95804</v>
      </c>
      <c r="P146" s="15">
        <f>Population!DV374</f>
        <v>172387</v>
      </c>
      <c r="Q146" s="15">
        <f>Population!DW374</f>
        <v>2832</v>
      </c>
      <c r="R146" s="88">
        <f t="shared" si="18"/>
        <v>271023</v>
      </c>
      <c r="S146" s="88">
        <f t="shared" si="14"/>
        <v>1231381</v>
      </c>
      <c r="T146" s="17">
        <f>Population!DZ374</f>
        <v>65969</v>
      </c>
      <c r="U146" s="153">
        <f>Population!G374+Population!H374+Population!I374+Population!J374+Population!K374+Population!N374</f>
        <v>71937</v>
      </c>
      <c r="V146" s="15">
        <f>[5]Population!G381</f>
        <v>1278</v>
      </c>
      <c r="W146" s="15">
        <v>0</v>
      </c>
      <c r="X146" s="89">
        <f t="shared" si="15"/>
        <v>139184</v>
      </c>
      <c r="Y146" s="65">
        <f t="shared" si="16"/>
        <v>1370565</v>
      </c>
    </row>
    <row r="147" spans="1:25" x14ac:dyDescent="0.25">
      <c r="A147" s="14">
        <v>43617</v>
      </c>
      <c r="B147" s="14"/>
      <c r="C147" s="66">
        <f t="shared" si="17"/>
        <v>152069</v>
      </c>
      <c r="D147" s="15">
        <f>19323+606</f>
        <v>19929</v>
      </c>
      <c r="E147" s="15">
        <v>49562</v>
      </c>
      <c r="F147" s="15">
        <v>1247</v>
      </c>
      <c r="G147" s="69">
        <f>Population!DK375+Population!DL375</f>
        <v>222807</v>
      </c>
      <c r="H147" s="59">
        <f>Population!DM375+Population!DN375</f>
        <v>63840</v>
      </c>
      <c r="I147" s="64">
        <f>Population!DP375</f>
        <v>105663</v>
      </c>
      <c r="J147" s="15">
        <f>Population!DR375</f>
        <v>14474</v>
      </c>
      <c r="K147" s="15">
        <f>Population!DO375+Population!DT375</f>
        <v>513684</v>
      </c>
      <c r="L147" s="15">
        <f>Population!DQ375</f>
        <v>1061</v>
      </c>
      <c r="M147" s="15">
        <f>Population!DS375</f>
        <v>41289</v>
      </c>
      <c r="N147" s="68">
        <f t="shared" si="13"/>
        <v>676171</v>
      </c>
      <c r="O147" s="63">
        <f>Population!DU375</f>
        <v>99250</v>
      </c>
      <c r="P147" s="15">
        <f>Population!DV375</f>
        <v>181540</v>
      </c>
      <c r="Q147" s="15">
        <f>Population!DW375</f>
        <v>3676</v>
      </c>
      <c r="R147" s="88">
        <f t="shared" si="18"/>
        <v>284466</v>
      </c>
      <c r="S147" s="88">
        <f t="shared" si="14"/>
        <v>1247284</v>
      </c>
      <c r="T147" s="17">
        <f>Population!DZ375</f>
        <v>66297</v>
      </c>
      <c r="U147" s="153">
        <f>Population!G375+Population!H375+Population!I375+Population!J375+Population!K375+Population!N375</f>
        <v>71936</v>
      </c>
      <c r="V147" s="15">
        <f>[5]Population!G382</f>
        <v>1293</v>
      </c>
      <c r="W147" s="15">
        <v>0</v>
      </c>
      <c r="X147" s="89">
        <f t="shared" si="15"/>
        <v>139526</v>
      </c>
      <c r="Y147" s="65">
        <f t="shared" si="16"/>
        <v>1386810</v>
      </c>
    </row>
    <row r="148" spans="1:25" s="117" customFormat="1" x14ac:dyDescent="0.25">
      <c r="A148" s="116"/>
      <c r="B148" s="116"/>
      <c r="C148" s="94"/>
      <c r="D148" s="47"/>
      <c r="E148" s="47"/>
      <c r="F148" s="47"/>
      <c r="G148" s="69"/>
      <c r="H148" s="59"/>
      <c r="I148" s="64"/>
      <c r="J148" s="15"/>
      <c r="K148" s="15"/>
      <c r="L148" s="15"/>
      <c r="M148" s="15"/>
      <c r="N148" s="68"/>
      <c r="O148" s="63"/>
      <c r="P148" s="15"/>
      <c r="Q148" s="15"/>
      <c r="R148" s="88"/>
      <c r="S148" s="88"/>
      <c r="T148" s="17"/>
      <c r="U148" s="153"/>
      <c r="V148" s="17"/>
      <c r="W148" s="15"/>
      <c r="X148" s="89"/>
      <c r="Y148" s="65"/>
    </row>
    <row r="149" spans="1:25" x14ac:dyDescent="0.25">
      <c r="A149" s="14">
        <v>43647</v>
      </c>
      <c r="B149" s="14"/>
      <c r="C149" s="66">
        <f t="shared" ref="C149:C159" si="19">G150-D149-E149-F149</f>
        <v>151387</v>
      </c>
      <c r="D149" s="15">
        <f>19360+623</f>
        <v>19983</v>
      </c>
      <c r="E149" s="15">
        <v>49689</v>
      </c>
      <c r="F149" s="15">
        <v>1249</v>
      </c>
      <c r="G149" s="69">
        <f>Population!DK376+Population!DL376</f>
        <v>222575</v>
      </c>
      <c r="H149" s="59">
        <f>Population!DM376+Population!DN376</f>
        <v>64017</v>
      </c>
      <c r="I149" s="64">
        <f>Population!DP376</f>
        <v>105055</v>
      </c>
      <c r="J149" s="15">
        <f>Population!DR376</f>
        <v>14270</v>
      </c>
      <c r="K149" s="15">
        <f>Population!DO376+Population!DT376</f>
        <v>513535</v>
      </c>
      <c r="L149" s="15">
        <f>Population!DQ376</f>
        <v>1099</v>
      </c>
      <c r="M149" s="15">
        <f>Population!DS376</f>
        <v>41514</v>
      </c>
      <c r="N149" s="68">
        <f t="shared" si="13"/>
        <v>675473</v>
      </c>
      <c r="O149" s="63">
        <f>Population!DU376</f>
        <v>101062</v>
      </c>
      <c r="P149" s="15">
        <f>Population!DV376</f>
        <v>188207</v>
      </c>
      <c r="Q149" s="15">
        <f>Population!DW376</f>
        <v>4296</v>
      </c>
      <c r="R149" s="88">
        <f t="shared" si="18"/>
        <v>293565</v>
      </c>
      <c r="S149" s="88">
        <f t="shared" si="14"/>
        <v>1255630</v>
      </c>
      <c r="T149" s="17">
        <f>Population!DZ376</f>
        <v>66477</v>
      </c>
      <c r="U149" s="153">
        <f>Population!G376+Population!H376+Population!I376+Population!J376+Population!K376+Population!N376</f>
        <v>72196</v>
      </c>
      <c r="V149" s="15">
        <f>[5]Population!G383</f>
        <v>1368</v>
      </c>
      <c r="W149" s="15">
        <v>0</v>
      </c>
      <c r="X149" s="89">
        <f t="shared" si="15"/>
        <v>140041</v>
      </c>
      <c r="Y149" s="65">
        <f t="shared" si="16"/>
        <v>1395671</v>
      </c>
    </row>
    <row r="150" spans="1:25" x14ac:dyDescent="0.25">
      <c r="A150" s="14">
        <v>43678</v>
      </c>
      <c r="B150" s="14"/>
      <c r="C150" s="66">
        <f t="shared" si="19"/>
        <v>151474</v>
      </c>
      <c r="D150" s="15">
        <f>19213+618</f>
        <v>19831</v>
      </c>
      <c r="E150" s="15">
        <v>49929</v>
      </c>
      <c r="F150" s="15">
        <v>1290</v>
      </c>
      <c r="G150" s="69">
        <f>Population!DK377+Population!DL377</f>
        <v>222308</v>
      </c>
      <c r="H150" s="59">
        <f>Population!DM377+Population!DN377</f>
        <v>64235</v>
      </c>
      <c r="I150" s="64">
        <f>Population!DP377</f>
        <v>105110</v>
      </c>
      <c r="J150" s="15">
        <f>Population!DR377</f>
        <v>14176</v>
      </c>
      <c r="K150" s="15">
        <f>Population!DO377+Population!DT377</f>
        <v>513577</v>
      </c>
      <c r="L150" s="15">
        <f>Population!DQ377</f>
        <v>1119</v>
      </c>
      <c r="M150" s="15">
        <f>Population!DS377</f>
        <v>41557</v>
      </c>
      <c r="N150" s="68">
        <f t="shared" si="13"/>
        <v>675539</v>
      </c>
      <c r="O150" s="63">
        <f>Population!DU377</f>
        <v>102847</v>
      </c>
      <c r="P150" s="15">
        <f>Population!DV377</f>
        <v>195753</v>
      </c>
      <c r="Q150" s="15">
        <f>Population!DW377</f>
        <v>4558</v>
      </c>
      <c r="R150" s="88">
        <f t="shared" si="18"/>
        <v>303158</v>
      </c>
      <c r="S150" s="88">
        <f t="shared" si="14"/>
        <v>1265240</v>
      </c>
      <c r="T150" s="17">
        <f>Population!DZ377</f>
        <v>66531</v>
      </c>
      <c r="U150" s="153">
        <f>Population!G377+Population!H377+Population!I377+Population!J377+Population!K377+Population!N377</f>
        <v>72648</v>
      </c>
      <c r="V150" s="15">
        <f>[5]Population!G384</f>
        <v>1413</v>
      </c>
      <c r="W150" s="15">
        <v>0</v>
      </c>
      <c r="X150" s="89">
        <f t="shared" si="15"/>
        <v>140592</v>
      </c>
      <c r="Y150" s="65">
        <f t="shared" si="16"/>
        <v>1405832</v>
      </c>
    </row>
    <row r="151" spans="1:25" x14ac:dyDescent="0.25">
      <c r="A151" s="14">
        <v>43709</v>
      </c>
      <c r="B151" s="14"/>
      <c r="C151" s="66">
        <f t="shared" si="19"/>
        <v>151190</v>
      </c>
      <c r="D151" s="15">
        <f>19234+615</f>
        <v>19849</v>
      </c>
      <c r="E151" s="15">
        <v>50306</v>
      </c>
      <c r="F151" s="15">
        <v>1295</v>
      </c>
      <c r="G151" s="69">
        <f>Population!DK378+Population!DL378</f>
        <v>222524</v>
      </c>
      <c r="H151" s="59">
        <f>Population!DM378+Population!DN378</f>
        <v>64459</v>
      </c>
      <c r="I151" s="64">
        <f>Population!DP378</f>
        <v>105496</v>
      </c>
      <c r="J151" s="15">
        <f>Population!DR378</f>
        <v>14588</v>
      </c>
      <c r="K151" s="15">
        <f>Population!DO378+Population!DT378</f>
        <v>513497</v>
      </c>
      <c r="L151" s="15">
        <f>Population!DQ378</f>
        <v>1048</v>
      </c>
      <c r="M151" s="15">
        <f>Population!DS378</f>
        <v>41635</v>
      </c>
      <c r="N151" s="68">
        <f t="shared" si="13"/>
        <v>676264</v>
      </c>
      <c r="O151" s="63">
        <f>Population!DU378</f>
        <v>104334</v>
      </c>
      <c r="P151" s="15">
        <f>Population!DV378</f>
        <v>202860</v>
      </c>
      <c r="Q151" s="15">
        <f>Population!DW378</f>
        <v>5432</v>
      </c>
      <c r="R151" s="88">
        <f t="shared" si="18"/>
        <v>312626</v>
      </c>
      <c r="S151" s="88">
        <f t="shared" si="14"/>
        <v>1275873</v>
      </c>
      <c r="T151" s="17">
        <f>Population!DZ378</f>
        <v>66658</v>
      </c>
      <c r="U151" s="153">
        <f>Population!G378+Population!H378+Population!I378+Population!J378+Population!K378+Population!N378</f>
        <v>73737</v>
      </c>
      <c r="V151" s="15">
        <f>[5]Population!G385</f>
        <v>1426</v>
      </c>
      <c r="W151" s="15">
        <v>0</v>
      </c>
      <c r="X151" s="89">
        <f t="shared" si="15"/>
        <v>141821</v>
      </c>
      <c r="Y151" s="65">
        <f t="shared" si="16"/>
        <v>1417694</v>
      </c>
    </row>
    <row r="152" spans="1:25" x14ac:dyDescent="0.25">
      <c r="A152" s="14">
        <v>43739</v>
      </c>
      <c r="B152" s="14"/>
      <c r="C152" s="66">
        <f t="shared" si="19"/>
        <v>150742</v>
      </c>
      <c r="D152" s="15">
        <f>19272+606</f>
        <v>19878</v>
      </c>
      <c r="E152" s="15">
        <v>50602</v>
      </c>
      <c r="F152" s="15">
        <v>1318</v>
      </c>
      <c r="G152" s="69">
        <f>Population!DK379+Population!DL379</f>
        <v>222640</v>
      </c>
      <c r="H152" s="59">
        <f>Population!DM379+Population!DN379</f>
        <v>64493</v>
      </c>
      <c r="I152" s="64">
        <f>Population!DP379</f>
        <v>106542</v>
      </c>
      <c r="J152" s="15">
        <f>Population!DR379</f>
        <v>13933</v>
      </c>
      <c r="K152" s="15">
        <f>Population!DO379+Population!DT379</f>
        <v>514274</v>
      </c>
      <c r="L152" s="15">
        <f>Population!DQ379</f>
        <v>1137</v>
      </c>
      <c r="M152" s="15">
        <f>Population!DS379</f>
        <v>42114</v>
      </c>
      <c r="N152" s="68">
        <f t="shared" si="13"/>
        <v>678000</v>
      </c>
      <c r="O152" s="63">
        <f>Population!DU379</f>
        <v>106476</v>
      </c>
      <c r="P152" s="15">
        <f>Population!DV379</f>
        <v>209514</v>
      </c>
      <c r="Q152" s="15">
        <f>Population!DW379</f>
        <v>7030</v>
      </c>
      <c r="R152" s="88">
        <f t="shared" si="18"/>
        <v>323020</v>
      </c>
      <c r="S152" s="88">
        <f t="shared" si="14"/>
        <v>1288153</v>
      </c>
      <c r="T152" s="17">
        <f>Population!DZ379</f>
        <v>67165</v>
      </c>
      <c r="U152" s="153">
        <f>Population!G379+Population!H379+Population!I379+Population!J379+Population!K379+Population!N379</f>
        <v>74393</v>
      </c>
      <c r="V152" s="15">
        <f>[5]Population!G386</f>
        <v>1456</v>
      </c>
      <c r="W152" s="15">
        <v>0</v>
      </c>
      <c r="X152" s="89">
        <f t="shared" si="15"/>
        <v>143014</v>
      </c>
      <c r="Y152" s="65">
        <f t="shared" si="16"/>
        <v>1431167</v>
      </c>
    </row>
    <row r="153" spans="1:25" x14ac:dyDescent="0.25">
      <c r="A153" s="14">
        <v>43770</v>
      </c>
      <c r="B153" s="14"/>
      <c r="C153" s="66">
        <f t="shared" si="19"/>
        <v>150536</v>
      </c>
      <c r="D153" s="15">
        <f>19316+610</f>
        <v>19926</v>
      </c>
      <c r="E153" s="15">
        <v>50780</v>
      </c>
      <c r="F153" s="15">
        <v>1327</v>
      </c>
      <c r="G153" s="69">
        <f>Population!DK380+Population!DL380</f>
        <v>222540</v>
      </c>
      <c r="H153" s="59">
        <f>Population!DM380+Population!DN380</f>
        <v>64803</v>
      </c>
      <c r="I153" s="64">
        <f>Population!DP380</f>
        <v>107149</v>
      </c>
      <c r="J153" s="15">
        <f>Population!DR380</f>
        <v>13671</v>
      </c>
      <c r="K153" s="15">
        <f>Population!DO380+Population!DT380</f>
        <v>515211</v>
      </c>
      <c r="L153" s="15">
        <f>Population!DQ380</f>
        <v>1284</v>
      </c>
      <c r="M153" s="15">
        <f>Population!DS380</f>
        <v>42963</v>
      </c>
      <c r="N153" s="68">
        <f t="shared" si="13"/>
        <v>680278</v>
      </c>
      <c r="O153" s="63">
        <f>Population!DU380</f>
        <v>107272</v>
      </c>
      <c r="P153" s="15">
        <f>Population!DV380</f>
        <v>210363</v>
      </c>
      <c r="Q153" s="15">
        <f>Population!DW380</f>
        <v>9235</v>
      </c>
      <c r="R153" s="88">
        <f t="shared" si="18"/>
        <v>326870</v>
      </c>
      <c r="S153" s="88">
        <f t="shared" si="14"/>
        <v>1294491</v>
      </c>
      <c r="T153" s="17">
        <f>Population!DZ380</f>
        <v>67404</v>
      </c>
      <c r="U153" s="153">
        <f>Population!G380+Population!H380+Population!I380+Population!J380+Population!K380+Population!N380</f>
        <v>74571</v>
      </c>
      <c r="V153" s="15">
        <f>[5]Population!G387</f>
        <v>1467</v>
      </c>
      <c r="W153" s="15">
        <v>0</v>
      </c>
      <c r="X153" s="89">
        <f t="shared" si="15"/>
        <v>143442</v>
      </c>
      <c r="Y153" s="65">
        <f t="shared" si="16"/>
        <v>1437933</v>
      </c>
    </row>
    <row r="154" spans="1:25" x14ac:dyDescent="0.25">
      <c r="A154" s="14">
        <v>43800</v>
      </c>
      <c r="B154" s="14"/>
      <c r="C154" s="66">
        <f t="shared" si="19"/>
        <v>149479</v>
      </c>
      <c r="D154" s="15">
        <f>19470+605</f>
        <v>20075</v>
      </c>
      <c r="E154" s="15">
        <v>51069</v>
      </c>
      <c r="F154" s="15">
        <v>1326</v>
      </c>
      <c r="G154" s="69">
        <f>Population!DK381+Population!DL381</f>
        <v>222569</v>
      </c>
      <c r="H154" s="59">
        <f>Population!DM381+Population!DN381</f>
        <v>64964</v>
      </c>
      <c r="I154" s="64">
        <f>Population!DP381</f>
        <v>107325</v>
      </c>
      <c r="J154" s="15">
        <f>Population!DR381</f>
        <v>13360</v>
      </c>
      <c r="K154" s="15">
        <f>Population!DO381+Population!DT381</f>
        <v>517140</v>
      </c>
      <c r="L154" s="15">
        <f>Population!DQ381</f>
        <v>1376</v>
      </c>
      <c r="M154" s="15">
        <f>Population!DS381</f>
        <v>43648</v>
      </c>
      <c r="N154" s="68">
        <f t="shared" si="13"/>
        <v>682849</v>
      </c>
      <c r="O154" s="63">
        <f>Population!DU381</f>
        <v>110918</v>
      </c>
      <c r="P154" s="15">
        <f>Population!DV381</f>
        <v>220727</v>
      </c>
      <c r="Q154" s="15">
        <f>Population!DW381</f>
        <v>11402</v>
      </c>
      <c r="R154" s="88">
        <f t="shared" si="18"/>
        <v>343047</v>
      </c>
      <c r="S154" s="88">
        <f t="shared" si="14"/>
        <v>1313429</v>
      </c>
      <c r="T154" s="17">
        <f>Population!DZ381</f>
        <v>70767</v>
      </c>
      <c r="U154" s="153">
        <f>Population!G381+Population!H381+Population!I381+Population!J381+Population!K381+Population!N381</f>
        <v>74315</v>
      </c>
      <c r="V154" s="15">
        <f>[5]Population!G388</f>
        <v>1466</v>
      </c>
      <c r="W154" s="15">
        <v>0</v>
      </c>
      <c r="X154" s="89">
        <f t="shared" si="15"/>
        <v>146548</v>
      </c>
      <c r="Y154" s="65">
        <f t="shared" si="16"/>
        <v>1459977</v>
      </c>
    </row>
    <row r="155" spans="1:25" x14ac:dyDescent="0.25">
      <c r="A155" s="14">
        <v>43831</v>
      </c>
      <c r="B155" s="14"/>
      <c r="C155" s="66">
        <f t="shared" si="19"/>
        <v>150895</v>
      </c>
      <c r="D155" s="15">
        <f>18732+593</f>
        <v>19325</v>
      </c>
      <c r="E155" s="15">
        <v>50000</v>
      </c>
      <c r="F155" s="15">
        <v>1252</v>
      </c>
      <c r="G155" s="69">
        <f>Population!DK382+Population!DL382</f>
        <v>221949</v>
      </c>
      <c r="H155" s="59">
        <f>Population!DM382+Population!DN382</f>
        <v>64820</v>
      </c>
      <c r="I155" s="64">
        <f>Population!DP382</f>
        <v>108002</v>
      </c>
      <c r="J155" s="15">
        <f>Population!DR382</f>
        <v>13158</v>
      </c>
      <c r="K155" s="15">
        <f>Population!DO382+Population!DT382</f>
        <v>521198</v>
      </c>
      <c r="L155" s="15">
        <f>Population!DQ382</f>
        <v>1484</v>
      </c>
      <c r="M155" s="15">
        <f>Population!DS382</f>
        <v>44140</v>
      </c>
      <c r="N155" s="68">
        <f t="shared" si="13"/>
        <v>687982</v>
      </c>
      <c r="O155" s="63">
        <f>Population!DU382</f>
        <v>116369</v>
      </c>
      <c r="P155" s="15">
        <f>Population!DV382</f>
        <v>241049</v>
      </c>
      <c r="Q155" s="15">
        <f>Population!DW382</f>
        <v>14680</v>
      </c>
      <c r="R155" s="88">
        <f t="shared" si="18"/>
        <v>372098</v>
      </c>
      <c r="S155" s="88">
        <f t="shared" si="14"/>
        <v>1346849</v>
      </c>
      <c r="T155" s="17">
        <f>Population!DZ382</f>
        <v>75187</v>
      </c>
      <c r="U155" s="153">
        <f>Population!G382+Population!H382+Population!I382+Population!J382+Population!K382+Population!N382</f>
        <v>74349</v>
      </c>
      <c r="V155" s="15">
        <f>[5]Population!G389</f>
        <v>1591</v>
      </c>
      <c r="W155" s="15">
        <v>0</v>
      </c>
      <c r="X155" s="89">
        <f t="shared" si="15"/>
        <v>151127</v>
      </c>
      <c r="Y155" s="65">
        <f t="shared" si="16"/>
        <v>1497976</v>
      </c>
    </row>
    <row r="156" spans="1:25" x14ac:dyDescent="0.25">
      <c r="A156" s="14">
        <v>43862</v>
      </c>
      <c r="B156" s="14"/>
      <c r="C156" s="66">
        <f t="shared" si="19"/>
        <v>149209</v>
      </c>
      <c r="D156" s="15">
        <f>19149+585</f>
        <v>19734</v>
      </c>
      <c r="E156" s="15">
        <v>51181</v>
      </c>
      <c r="F156" s="15">
        <v>1317</v>
      </c>
      <c r="G156" s="69">
        <f>Population!DK383+Population!DL383</f>
        <v>221472</v>
      </c>
      <c r="H156" s="59">
        <f>Population!DM383+Population!DN383</f>
        <v>64651</v>
      </c>
      <c r="I156" s="64">
        <f>Population!DP383</f>
        <v>107909</v>
      </c>
      <c r="J156" s="15">
        <f>Population!DR383</f>
        <v>13275</v>
      </c>
      <c r="K156" s="15">
        <f>Population!DO383+Population!DT383</f>
        <v>521131</v>
      </c>
      <c r="L156" s="15">
        <f>Population!DQ383</f>
        <v>1603</v>
      </c>
      <c r="M156" s="15">
        <f>Population!DS383</f>
        <v>45215</v>
      </c>
      <c r="N156" s="68">
        <f t="shared" si="13"/>
        <v>689133</v>
      </c>
      <c r="O156" s="63">
        <f>Population!DU383</f>
        <v>117421</v>
      </c>
      <c r="P156" s="15">
        <f>Population!DV383</f>
        <v>246301</v>
      </c>
      <c r="Q156" s="15">
        <f>Population!DW383</f>
        <v>18205</v>
      </c>
      <c r="R156" s="88">
        <f t="shared" si="18"/>
        <v>381927</v>
      </c>
      <c r="S156" s="88">
        <f t="shared" si="14"/>
        <v>1357183</v>
      </c>
      <c r="T156" s="17">
        <f>Population!DZ383</f>
        <v>75211</v>
      </c>
      <c r="U156" s="153">
        <f>Population!G383+Population!H383+Population!I383+Population!J383+Population!K383+Population!N383</f>
        <v>74943</v>
      </c>
      <c r="V156" s="15">
        <f>[5]Population!G390</f>
        <v>1719</v>
      </c>
      <c r="W156" s="15">
        <v>0</v>
      </c>
      <c r="X156" s="89">
        <f t="shared" si="15"/>
        <v>151873</v>
      </c>
      <c r="Y156" s="65">
        <f t="shared" si="16"/>
        <v>1509056</v>
      </c>
    </row>
    <row r="157" spans="1:25" x14ac:dyDescent="0.25">
      <c r="A157" s="14">
        <v>43891</v>
      </c>
      <c r="B157" s="14"/>
      <c r="C157" s="66">
        <f t="shared" si="19"/>
        <v>150150</v>
      </c>
      <c r="D157" s="15">
        <f>19269+572</f>
        <v>19841</v>
      </c>
      <c r="E157" s="15">
        <v>51199</v>
      </c>
      <c r="F157" s="15">
        <v>1306</v>
      </c>
      <c r="G157" s="69">
        <f>Population!DK384+Population!DL384</f>
        <v>221441</v>
      </c>
      <c r="H157" s="59">
        <f>Population!DM384+Population!DN384</f>
        <v>64416</v>
      </c>
      <c r="I157" s="64">
        <f>Population!DP384</f>
        <v>108369</v>
      </c>
      <c r="J157" s="15">
        <f>Population!DR384</f>
        <v>13168</v>
      </c>
      <c r="K157" s="15">
        <f>Population!DO384+Population!DT384</f>
        <v>521899</v>
      </c>
      <c r="L157" s="15">
        <f>Population!DQ384</f>
        <v>1632</v>
      </c>
      <c r="M157" s="15">
        <f>Population!DS384</f>
        <v>45893</v>
      </c>
      <c r="N157" s="68">
        <f t="shared" si="13"/>
        <v>690961</v>
      </c>
      <c r="O157" s="63">
        <f>Population!DU384</f>
        <v>117940</v>
      </c>
      <c r="P157" s="15">
        <f>Population!DV384</f>
        <v>250629</v>
      </c>
      <c r="Q157" s="15">
        <f>Population!DW384</f>
        <v>18420</v>
      </c>
      <c r="R157" s="88">
        <f t="shared" si="18"/>
        <v>386989</v>
      </c>
      <c r="S157" s="88">
        <f t="shared" si="14"/>
        <v>1363807</v>
      </c>
      <c r="T157" s="17">
        <f>Population!DZ384</f>
        <v>75329</v>
      </c>
      <c r="U157" s="153">
        <f>Population!G384+Population!H384+Population!I384+Population!J384+Population!K384+Population!N384</f>
        <v>75296</v>
      </c>
      <c r="V157" s="15">
        <f>[5]Population!G391</f>
        <v>1687</v>
      </c>
      <c r="W157" s="15">
        <v>0</v>
      </c>
      <c r="X157" s="89">
        <f t="shared" si="15"/>
        <v>152312</v>
      </c>
      <c r="Y157" s="65">
        <f t="shared" si="16"/>
        <v>1516119</v>
      </c>
    </row>
    <row r="158" spans="1:25" x14ac:dyDescent="0.25">
      <c r="A158" s="14">
        <v>43922</v>
      </c>
      <c r="B158" s="14"/>
      <c r="C158" s="66">
        <f t="shared" si="19"/>
        <v>154082</v>
      </c>
      <c r="D158" s="15">
        <f>19251+576</f>
        <v>19827</v>
      </c>
      <c r="E158" s="15">
        <v>51249</v>
      </c>
      <c r="F158" s="15">
        <v>1333</v>
      </c>
      <c r="G158" s="69">
        <f>Population!DK385+Population!DL385</f>
        <v>222496</v>
      </c>
      <c r="H158" s="59">
        <f>Population!DM385+Population!DN385</f>
        <v>64790</v>
      </c>
      <c r="I158" s="64">
        <f>Population!DP385</f>
        <v>109412</v>
      </c>
      <c r="J158" s="15">
        <f>Population!DR385</f>
        <v>13741</v>
      </c>
      <c r="K158" s="15">
        <f>Population!DO385+Population!DT385</f>
        <v>525735</v>
      </c>
      <c r="L158" s="15">
        <f>Population!DQ385</f>
        <v>1737</v>
      </c>
      <c r="M158" s="15">
        <f>Population!DS385</f>
        <v>46521</v>
      </c>
      <c r="N158" s="68">
        <f t="shared" si="13"/>
        <v>697146</v>
      </c>
      <c r="O158" s="63">
        <f>Population!DU385</f>
        <v>118821</v>
      </c>
      <c r="P158" s="15">
        <f>Population!DV385</f>
        <v>258022</v>
      </c>
      <c r="Q158" s="15">
        <f>Population!DW385</f>
        <v>19780</v>
      </c>
      <c r="R158" s="88">
        <f t="shared" si="18"/>
        <v>396623</v>
      </c>
      <c r="S158" s="88">
        <f t="shared" si="14"/>
        <v>1381055</v>
      </c>
      <c r="T158" s="17">
        <f>Population!DZ385</f>
        <v>75899</v>
      </c>
      <c r="U158" s="153">
        <f>Population!G385+Population!H385+Population!I385+Population!J385+Population!K385+Population!N385</f>
        <v>76074</v>
      </c>
      <c r="V158" s="15">
        <f>[5]Population!G392</f>
        <v>1563</v>
      </c>
      <c r="W158" s="15">
        <v>0</v>
      </c>
      <c r="X158" s="89">
        <f t="shared" si="15"/>
        <v>153536</v>
      </c>
      <c r="Y158" s="65">
        <f t="shared" si="16"/>
        <v>1534591</v>
      </c>
    </row>
    <row r="159" spans="1:25" x14ac:dyDescent="0.25">
      <c r="A159" s="14">
        <v>43952</v>
      </c>
      <c r="B159" s="14"/>
      <c r="C159" s="66">
        <f t="shared" si="19"/>
        <v>154220</v>
      </c>
      <c r="D159" s="15">
        <f>19251+574</f>
        <v>19825</v>
      </c>
      <c r="E159" s="15">
        <v>52001</v>
      </c>
      <c r="F159" s="15">
        <v>1387</v>
      </c>
      <c r="G159" s="69">
        <f>Population!DK386+Population!DL386</f>
        <v>226491</v>
      </c>
      <c r="H159" s="59">
        <f>Population!DM386+Population!DN386</f>
        <v>66320</v>
      </c>
      <c r="I159" s="64">
        <f>Population!DP386</f>
        <v>115774</v>
      </c>
      <c r="J159" s="15">
        <f>Population!DR386</f>
        <v>15770</v>
      </c>
      <c r="K159" s="15">
        <f>Population!DO386+Population!DT386</f>
        <v>542608</v>
      </c>
      <c r="L159" s="15">
        <f>Population!DQ386</f>
        <v>1710</v>
      </c>
      <c r="M159" s="15">
        <f>Population!DS386</f>
        <v>45224</v>
      </c>
      <c r="N159" s="68">
        <f t="shared" si="13"/>
        <v>721086</v>
      </c>
      <c r="O159" s="63">
        <f>Population!DU386</f>
        <v>122540</v>
      </c>
      <c r="P159" s="15">
        <f>Population!DV386</f>
        <v>274337</v>
      </c>
      <c r="Q159" s="15">
        <f>Population!DW386</f>
        <v>19614</v>
      </c>
      <c r="R159" s="88">
        <f t="shared" si="18"/>
        <v>416491</v>
      </c>
      <c r="S159" s="88">
        <f t="shared" si="14"/>
        <v>1430388</v>
      </c>
      <c r="T159" s="17">
        <f>Population!DZ386</f>
        <v>76873</v>
      </c>
      <c r="U159" s="153">
        <f>Population!G386+Population!H386+Population!I386+Population!J386+Population!K386+Population!N386</f>
        <v>76837</v>
      </c>
      <c r="V159" s="15">
        <f>[5]Population!G393</f>
        <v>1642</v>
      </c>
      <c r="W159" s="15">
        <v>0</v>
      </c>
      <c r="X159" s="89">
        <f t="shared" si="15"/>
        <v>155352</v>
      </c>
      <c r="Y159" s="65">
        <f t="shared" si="16"/>
        <v>1585740</v>
      </c>
    </row>
    <row r="160" spans="1:25" x14ac:dyDescent="0.25">
      <c r="A160" s="14">
        <v>43983</v>
      </c>
      <c r="B160" s="14"/>
      <c r="C160" s="94">
        <f>G162-D160-E160-F160</f>
        <v>154215</v>
      </c>
      <c r="D160" s="47">
        <f>19476+578</f>
        <v>20054</v>
      </c>
      <c r="E160" s="15">
        <v>52557</v>
      </c>
      <c r="F160" s="15">
        <v>1400</v>
      </c>
      <c r="G160" s="69">
        <f>Population!DK387+Population!DL387</f>
        <v>227433</v>
      </c>
      <c r="H160" s="59">
        <f>Population!DM387+Population!DN387</f>
        <v>66595</v>
      </c>
      <c r="I160" s="64">
        <f>Population!DP387</f>
        <v>118311</v>
      </c>
      <c r="J160" s="15">
        <f>Population!DR387</f>
        <v>16939</v>
      </c>
      <c r="K160" s="15">
        <f>Population!DO387+Population!DT387</f>
        <v>549695</v>
      </c>
      <c r="L160" s="15">
        <f>Population!DQ387</f>
        <v>1673</v>
      </c>
      <c r="M160" s="15">
        <f>Population!DS387</f>
        <v>45026</v>
      </c>
      <c r="N160" s="68">
        <f t="shared" si="13"/>
        <v>731644</v>
      </c>
      <c r="O160" s="63">
        <f>Population!DU387</f>
        <v>124160</v>
      </c>
      <c r="P160" s="15">
        <f>Population!DV387</f>
        <v>282588</v>
      </c>
      <c r="Q160" s="15">
        <f>Population!DW387</f>
        <v>19352</v>
      </c>
      <c r="R160" s="88">
        <f t="shared" si="18"/>
        <v>426100</v>
      </c>
      <c r="S160" s="88">
        <f t="shared" si="14"/>
        <v>1451772</v>
      </c>
      <c r="T160" s="17">
        <f>Population!DZ387</f>
        <v>77419</v>
      </c>
      <c r="U160" s="153">
        <f>Population!G387+Population!H387+Population!I387+Population!J387+Population!K387+Population!N387</f>
        <v>76671</v>
      </c>
      <c r="V160" s="15">
        <f>[5]Population!G394</f>
        <v>1772</v>
      </c>
      <c r="W160" s="15">
        <v>0</v>
      </c>
      <c r="X160" s="89">
        <f t="shared" si="15"/>
        <v>155862</v>
      </c>
      <c r="Y160" s="65">
        <f t="shared" si="16"/>
        <v>1607634</v>
      </c>
    </row>
    <row r="161" spans="1:25" x14ac:dyDescent="0.25">
      <c r="A161" s="14"/>
      <c r="B161" s="14"/>
      <c r="C161" s="66"/>
      <c r="D161" s="15"/>
      <c r="E161" s="15"/>
      <c r="F161" s="15"/>
      <c r="G161" s="69"/>
      <c r="H161" s="59"/>
      <c r="I161" s="64"/>
      <c r="J161" s="15"/>
      <c r="K161" s="15"/>
      <c r="L161" s="15"/>
      <c r="M161" s="15"/>
      <c r="N161" s="68"/>
      <c r="O161" s="63"/>
      <c r="P161" s="15"/>
      <c r="Q161" s="15"/>
      <c r="R161" s="88"/>
      <c r="S161" s="88"/>
      <c r="T161" s="17"/>
      <c r="U161" s="153"/>
      <c r="V161" s="17"/>
      <c r="W161" s="15"/>
      <c r="X161" s="89"/>
      <c r="Y161" s="65"/>
    </row>
    <row r="162" spans="1:25" x14ac:dyDescent="0.25">
      <c r="A162" s="14">
        <v>44013</v>
      </c>
      <c r="B162" s="14"/>
      <c r="C162" s="66">
        <f t="shared" ref="C162:C171" si="20">G164-D162-E162-F162</f>
        <v>155164</v>
      </c>
      <c r="D162" s="15">
        <f>19425+577</f>
        <v>20002</v>
      </c>
      <c r="E162" s="15">
        <v>52972</v>
      </c>
      <c r="F162" s="15">
        <v>1414</v>
      </c>
      <c r="G162" s="69">
        <f>Population!DK388+Population!DL388</f>
        <v>228226</v>
      </c>
      <c r="H162" s="59">
        <f>Population!DM388+Population!DN388</f>
        <v>66796</v>
      </c>
      <c r="I162" s="64">
        <f>Population!DP388</f>
        <v>120535</v>
      </c>
      <c r="J162" s="15">
        <f>Population!DR388</f>
        <v>18011</v>
      </c>
      <c r="K162" s="15">
        <f>Population!DO388+Population!DT388</f>
        <v>556991</v>
      </c>
      <c r="L162" s="15">
        <f>Population!DQ388</f>
        <v>1630</v>
      </c>
      <c r="M162" s="15">
        <f>Population!DS388</f>
        <v>44946</v>
      </c>
      <c r="N162" s="68">
        <f t="shared" si="13"/>
        <v>742113</v>
      </c>
      <c r="O162" s="63">
        <f>Population!DU388</f>
        <v>125736</v>
      </c>
      <c r="P162" s="15">
        <f>Population!DV388</f>
        <v>291267</v>
      </c>
      <c r="Q162" s="15">
        <f>Population!DW388</f>
        <v>19178</v>
      </c>
      <c r="R162" s="88">
        <f t="shared" si="18"/>
        <v>436181</v>
      </c>
      <c r="S162" s="88">
        <f t="shared" si="14"/>
        <v>1473316</v>
      </c>
      <c r="T162" s="17">
        <f>Population!DZ388</f>
        <v>77996</v>
      </c>
      <c r="U162" s="153">
        <f>Population!G388+Population!H388+Population!I388+Population!J388+Population!K388+Population!N388</f>
        <v>76574</v>
      </c>
      <c r="V162" s="15">
        <f>[5]Population!G395</f>
        <v>1841</v>
      </c>
      <c r="W162" s="15">
        <v>0</v>
      </c>
      <c r="X162" s="89">
        <f t="shared" si="15"/>
        <v>156411</v>
      </c>
      <c r="Y162" s="65">
        <f t="shared" si="16"/>
        <v>1629727</v>
      </c>
    </row>
    <row r="163" spans="1:25" x14ac:dyDescent="0.25">
      <c r="A163" s="14">
        <v>44044</v>
      </c>
      <c r="B163" s="14"/>
      <c r="C163" s="66">
        <f t="shared" si="20"/>
        <v>155538</v>
      </c>
      <c r="D163" s="15">
        <f>19456+583</f>
        <v>20039</v>
      </c>
      <c r="E163" s="15">
        <v>53142</v>
      </c>
      <c r="F163" s="15">
        <v>1402</v>
      </c>
      <c r="G163" s="69">
        <f>Population!DK389+Population!DL389</f>
        <v>229224</v>
      </c>
      <c r="H163" s="59">
        <f>Population!DM389+Population!DN389</f>
        <v>67011</v>
      </c>
      <c r="I163" s="64">
        <f>Population!DP389</f>
        <v>122711</v>
      </c>
      <c r="J163" s="15">
        <f>Population!DR389</f>
        <v>18737</v>
      </c>
      <c r="K163" s="15">
        <f>Population!DO389+Population!DT389</f>
        <v>560998</v>
      </c>
      <c r="L163" s="15">
        <f>Population!DQ389</f>
        <v>1621</v>
      </c>
      <c r="M163" s="15">
        <f>Population!DS389</f>
        <v>45371</v>
      </c>
      <c r="N163" s="68">
        <f t="shared" si="13"/>
        <v>749438</v>
      </c>
      <c r="O163" s="63">
        <f>Population!DU389</f>
        <v>127198</v>
      </c>
      <c r="P163" s="15">
        <f>Population!DV389</f>
        <v>302085</v>
      </c>
      <c r="Q163" s="15">
        <f>Population!DW389</f>
        <v>18956</v>
      </c>
      <c r="R163" s="88">
        <f t="shared" si="18"/>
        <v>448239</v>
      </c>
      <c r="S163" s="88">
        <f t="shared" si="14"/>
        <v>1493912</v>
      </c>
      <c r="T163" s="17">
        <f>Population!DZ389</f>
        <v>78089</v>
      </c>
      <c r="U163" s="153">
        <f>Population!G389+Population!H389+Population!I389+Population!J389+Population!K389+Population!N389</f>
        <v>77112</v>
      </c>
      <c r="V163" s="15">
        <f>[5]Population!G396</f>
        <v>1936</v>
      </c>
      <c r="W163" s="15">
        <v>0</v>
      </c>
      <c r="X163" s="89">
        <f t="shared" si="15"/>
        <v>157137</v>
      </c>
      <c r="Y163" s="65">
        <f t="shared" si="16"/>
        <v>1651049</v>
      </c>
    </row>
    <row r="164" spans="1:25" x14ac:dyDescent="0.25">
      <c r="A164" s="14">
        <v>44075</v>
      </c>
      <c r="B164" s="14"/>
      <c r="C164" s="66">
        <f t="shared" si="20"/>
        <v>155998</v>
      </c>
      <c r="D164" s="15">
        <f>19327+575</f>
        <v>19902</v>
      </c>
      <c r="E164" s="15">
        <v>53387</v>
      </c>
      <c r="F164" s="15">
        <v>1430</v>
      </c>
      <c r="G164" s="69">
        <f>Population!DK390+Population!DL390</f>
        <v>229552</v>
      </c>
      <c r="H164" s="59">
        <f>Population!DM390+Population!DN390</f>
        <v>67020</v>
      </c>
      <c r="I164" s="64">
        <f>Population!DP390</f>
        <v>124596</v>
      </c>
      <c r="J164" s="15">
        <f>Population!DR390</f>
        <v>18918</v>
      </c>
      <c r="K164" s="15">
        <f>Population!DO390+Population!DT390</f>
        <v>566635</v>
      </c>
      <c r="L164" s="15">
        <f>Population!DQ390</f>
        <v>1635</v>
      </c>
      <c r="M164" s="15">
        <f>Population!DS390</f>
        <v>45731</v>
      </c>
      <c r="N164" s="68">
        <f t="shared" si="13"/>
        <v>757515</v>
      </c>
      <c r="O164" s="63">
        <f>Population!DU390</f>
        <v>128844</v>
      </c>
      <c r="P164" s="15">
        <f>Population!DV390</f>
        <v>310904</v>
      </c>
      <c r="Q164" s="15">
        <f>Population!DW390</f>
        <v>18816</v>
      </c>
      <c r="R164" s="88">
        <f t="shared" si="18"/>
        <v>458564</v>
      </c>
      <c r="S164" s="88">
        <f t="shared" si="14"/>
        <v>1512651</v>
      </c>
      <c r="T164" s="17">
        <f>Population!DZ390</f>
        <v>78262</v>
      </c>
      <c r="U164" s="153">
        <f>Population!G390+Population!H390+Population!I390+Population!J390+Population!K390+Population!N390</f>
        <v>77063</v>
      </c>
      <c r="V164" s="15">
        <f>[5]Population!G397</f>
        <v>1739</v>
      </c>
      <c r="W164" s="15">
        <v>0</v>
      </c>
      <c r="X164" s="89">
        <f t="shared" si="15"/>
        <v>157064</v>
      </c>
      <c r="Y164" s="65">
        <f t="shared" si="16"/>
        <v>1669715</v>
      </c>
    </row>
    <row r="165" spans="1:25" x14ac:dyDescent="0.25">
      <c r="A165" s="14">
        <v>44105</v>
      </c>
      <c r="B165" s="14"/>
      <c r="C165" s="66">
        <f t="shared" si="20"/>
        <v>156712</v>
      </c>
      <c r="D165" s="15">
        <f>19222+575</f>
        <v>19797</v>
      </c>
      <c r="E165" s="15">
        <v>53414</v>
      </c>
      <c r="F165" s="15">
        <v>1439</v>
      </c>
      <c r="G165" s="69">
        <f>Population!DK391+Population!DL391</f>
        <v>230121</v>
      </c>
      <c r="H165" s="59">
        <f>Population!DM391+Population!DN391</f>
        <v>67030</v>
      </c>
      <c r="I165" s="64">
        <f>Population!DP391</f>
        <v>126847</v>
      </c>
      <c r="J165" s="15">
        <f>Population!DR391</f>
        <v>19504</v>
      </c>
      <c r="K165" s="15">
        <f>Population!DO391+Population!DT391</f>
        <v>573039</v>
      </c>
      <c r="L165" s="15">
        <f>Population!DQ391</f>
        <v>1633</v>
      </c>
      <c r="M165" s="15">
        <f>Population!DS391</f>
        <v>45407</v>
      </c>
      <c r="N165" s="68">
        <f t="shared" si="13"/>
        <v>766430</v>
      </c>
      <c r="O165" s="63">
        <f>Population!DU391</f>
        <v>130381</v>
      </c>
      <c r="P165" s="15">
        <f>Population!DV391</f>
        <v>320601</v>
      </c>
      <c r="Q165" s="15">
        <f>Population!DW391</f>
        <v>18711</v>
      </c>
      <c r="R165" s="88">
        <f t="shared" si="18"/>
        <v>469693</v>
      </c>
      <c r="S165" s="88">
        <f t="shared" si="14"/>
        <v>1533274</v>
      </c>
      <c r="T165" s="17">
        <f>Population!DZ391</f>
        <v>78176</v>
      </c>
      <c r="U165" s="153">
        <f>Population!G391+Population!H391+Population!I391+Population!J391+Population!K391+Population!N391</f>
        <v>77375</v>
      </c>
      <c r="V165" s="15">
        <f>[5]Population!G398</f>
        <v>1567</v>
      </c>
      <c r="W165" s="15">
        <v>0</v>
      </c>
      <c r="X165" s="89">
        <f t="shared" si="15"/>
        <v>157118</v>
      </c>
      <c r="Y165" s="65">
        <f t="shared" si="16"/>
        <v>1690392</v>
      </c>
    </row>
    <row r="166" spans="1:25" x14ac:dyDescent="0.25">
      <c r="A166" s="14">
        <v>44136</v>
      </c>
      <c r="B166" s="14"/>
      <c r="C166" s="66">
        <f t="shared" si="20"/>
        <v>156675</v>
      </c>
      <c r="D166" s="15">
        <f>19130+566</f>
        <v>19696</v>
      </c>
      <c r="E166" s="15">
        <v>53769</v>
      </c>
      <c r="F166" s="15">
        <v>1450</v>
      </c>
      <c r="G166" s="69">
        <f>Population!DK392+Population!DL392</f>
        <v>230717</v>
      </c>
      <c r="H166" s="59">
        <f>Population!DM392+Population!DN392</f>
        <v>67092</v>
      </c>
      <c r="I166" s="64">
        <f>Population!DP392</f>
        <v>128484</v>
      </c>
      <c r="J166" s="15">
        <f>Population!DR392</f>
        <v>20215</v>
      </c>
      <c r="K166" s="15">
        <f>Population!DO392+Population!DT392</f>
        <v>578468</v>
      </c>
      <c r="L166" s="15">
        <f>Population!DQ392</f>
        <v>1652</v>
      </c>
      <c r="M166" s="15">
        <f>Population!DS392</f>
        <v>45195</v>
      </c>
      <c r="N166" s="68">
        <f t="shared" si="13"/>
        <v>774014</v>
      </c>
      <c r="O166" s="63">
        <f>Population!DU392</f>
        <v>132110</v>
      </c>
      <c r="P166" s="15">
        <f>Population!DV392</f>
        <v>329215</v>
      </c>
      <c r="Q166" s="15">
        <f>Population!DW392</f>
        <v>18505</v>
      </c>
      <c r="R166" s="88">
        <f t="shared" si="18"/>
        <v>479830</v>
      </c>
      <c r="S166" s="88">
        <f t="shared" si="14"/>
        <v>1551653</v>
      </c>
      <c r="T166" s="17">
        <f>Population!DZ392</f>
        <v>78244</v>
      </c>
      <c r="U166" s="153">
        <f>Population!G392+Population!H392+Population!I392+Population!J392+Population!K392+Population!N392</f>
        <v>77987</v>
      </c>
      <c r="V166" s="15">
        <f>[5]Population!G399</f>
        <v>1505</v>
      </c>
      <c r="W166" s="15">
        <v>0</v>
      </c>
      <c r="X166" s="89">
        <f t="shared" si="15"/>
        <v>157736</v>
      </c>
      <c r="Y166" s="65">
        <f t="shared" si="16"/>
        <v>1709389</v>
      </c>
    </row>
    <row r="167" spans="1:25" x14ac:dyDescent="0.25">
      <c r="A167" s="14">
        <v>44166</v>
      </c>
      <c r="B167" s="14"/>
      <c r="C167" s="66">
        <f t="shared" si="20"/>
        <v>156376</v>
      </c>
      <c r="D167" s="15">
        <f>19029+562</f>
        <v>19591</v>
      </c>
      <c r="E167" s="15">
        <v>54134</v>
      </c>
      <c r="F167" s="15">
        <v>1457</v>
      </c>
      <c r="G167" s="69">
        <f>Population!DK393+Population!DL393</f>
        <v>231362</v>
      </c>
      <c r="H167" s="59">
        <f>Population!DM393+Population!DN393</f>
        <v>67122</v>
      </c>
      <c r="I167" s="64">
        <f>Population!DP393</f>
        <v>130390</v>
      </c>
      <c r="J167" s="15">
        <f>Population!DR393</f>
        <v>20563</v>
      </c>
      <c r="K167" s="15">
        <f>Population!DO393+Population!DT393</f>
        <v>583361</v>
      </c>
      <c r="L167" s="15">
        <f>Population!DQ393</f>
        <v>1649</v>
      </c>
      <c r="M167" s="15">
        <f>Population!DS393</f>
        <v>45421</v>
      </c>
      <c r="N167" s="68">
        <f t="shared" si="13"/>
        <v>781384</v>
      </c>
      <c r="O167" s="63">
        <f>Population!DU393</f>
        <v>134066</v>
      </c>
      <c r="P167" s="15">
        <f>Population!DV393</f>
        <v>341781</v>
      </c>
      <c r="Q167" s="15">
        <f>Population!DW393</f>
        <v>18393</v>
      </c>
      <c r="R167" s="88">
        <f t="shared" si="18"/>
        <v>494240</v>
      </c>
      <c r="S167" s="88">
        <f t="shared" si="14"/>
        <v>1574108</v>
      </c>
      <c r="T167" s="17">
        <f>Population!DZ393</f>
        <v>78999</v>
      </c>
      <c r="U167" s="153">
        <f>Population!G393+Population!H393+Population!I393+Population!J393+Population!K393+Population!N393</f>
        <v>78769</v>
      </c>
      <c r="V167" s="15">
        <f>[5]Population!G400</f>
        <v>1495</v>
      </c>
      <c r="W167" s="15">
        <v>0</v>
      </c>
      <c r="X167" s="89">
        <f t="shared" si="15"/>
        <v>159263</v>
      </c>
      <c r="Y167" s="65">
        <f t="shared" si="16"/>
        <v>1733371</v>
      </c>
    </row>
    <row r="168" spans="1:25" x14ac:dyDescent="0.25">
      <c r="A168" s="14">
        <v>44197</v>
      </c>
      <c r="B168" s="14"/>
      <c r="C168" s="66">
        <f t="shared" si="20"/>
        <v>156824</v>
      </c>
      <c r="D168" s="15">
        <f>18659+562</f>
        <v>19221</v>
      </c>
      <c r="E168" s="15">
        <v>54344</v>
      </c>
      <c r="F168" s="15">
        <v>1475</v>
      </c>
      <c r="G168" s="69">
        <f>Population!DK394+Population!DL394</f>
        <v>231590</v>
      </c>
      <c r="H168" s="59">
        <f>Population!DM394+Population!DN394</f>
        <v>67013</v>
      </c>
      <c r="I168" s="64">
        <f>Population!DP394</f>
        <v>132417</v>
      </c>
      <c r="J168" s="15">
        <f>Population!DR394</f>
        <v>20961</v>
      </c>
      <c r="K168" s="15">
        <f>Population!DO394+Population!DT394</f>
        <v>588886</v>
      </c>
      <c r="L168" s="15">
        <f>Population!DQ394</f>
        <v>1618</v>
      </c>
      <c r="M168" s="15">
        <f>Population!DS394</f>
        <v>45743</v>
      </c>
      <c r="N168" s="68">
        <f t="shared" si="13"/>
        <v>789625</v>
      </c>
      <c r="O168" s="63">
        <f>Population!DU394</f>
        <v>136220</v>
      </c>
      <c r="P168" s="15">
        <f>Population!DV394</f>
        <v>356686</v>
      </c>
      <c r="Q168" s="15">
        <f>Population!DW394</f>
        <v>18213</v>
      </c>
      <c r="R168" s="88">
        <f t="shared" si="18"/>
        <v>511119</v>
      </c>
      <c r="S168" s="88">
        <f t="shared" si="14"/>
        <v>1599347</v>
      </c>
      <c r="T168" s="17">
        <f>Population!DZ394</f>
        <v>79937</v>
      </c>
      <c r="U168" s="153">
        <f>Population!G394+Population!H394+Population!I394+Population!J394+Population!K394+Population!N394</f>
        <v>79598</v>
      </c>
      <c r="V168" s="15">
        <f>[5]Population!G401</f>
        <v>1529</v>
      </c>
      <c r="W168" s="15">
        <v>0</v>
      </c>
      <c r="X168" s="89">
        <f t="shared" si="15"/>
        <v>161064</v>
      </c>
      <c r="Y168" s="65">
        <f t="shared" si="16"/>
        <v>1760411</v>
      </c>
    </row>
    <row r="169" spans="1:25" x14ac:dyDescent="0.25">
      <c r="A169" s="14">
        <v>44228</v>
      </c>
      <c r="B169" s="14"/>
      <c r="C169" s="66">
        <f t="shared" si="20"/>
        <v>157742</v>
      </c>
      <c r="D169" s="15">
        <f>18356+569</f>
        <v>18925</v>
      </c>
      <c r="E169" s="15">
        <v>54572</v>
      </c>
      <c r="F169" s="15">
        <v>1473</v>
      </c>
      <c r="G169" s="69">
        <f>Population!DK395+Population!DL395</f>
        <v>231558</v>
      </c>
      <c r="H169" s="59">
        <f>Population!DM395+Population!DN395</f>
        <v>66976</v>
      </c>
      <c r="I169" s="64">
        <f>Population!DP395</f>
        <v>133948</v>
      </c>
      <c r="J169" s="15">
        <f>Population!DR395</f>
        <v>21344</v>
      </c>
      <c r="K169" s="15">
        <f>Population!DO395+Population!DT395</f>
        <v>592839</v>
      </c>
      <c r="L169" s="15">
        <f>Population!DQ395</f>
        <v>1610</v>
      </c>
      <c r="M169" s="15">
        <f>Population!DS395</f>
        <v>45853</v>
      </c>
      <c r="N169" s="68">
        <f t="shared" si="13"/>
        <v>795594</v>
      </c>
      <c r="O169" s="63">
        <f>Population!DU395</f>
        <v>137671</v>
      </c>
      <c r="P169" s="15">
        <f>Population!DV395</f>
        <v>365013</v>
      </c>
      <c r="Q169" s="15">
        <f>Population!DW395</f>
        <v>18027</v>
      </c>
      <c r="R169" s="88">
        <f t="shared" si="18"/>
        <v>520711</v>
      </c>
      <c r="S169" s="88">
        <f t="shared" si="14"/>
        <v>1614839</v>
      </c>
      <c r="T169" s="17">
        <f>Population!DZ395</f>
        <v>80362</v>
      </c>
      <c r="U169" s="153">
        <f>Population!G395+Population!H395+Population!I395+Population!J395+Population!K395+Population!N395</f>
        <v>80087</v>
      </c>
      <c r="V169" s="15">
        <f>[5]Population!G402</f>
        <v>1572</v>
      </c>
      <c r="W169" s="15">
        <v>0</v>
      </c>
      <c r="X169" s="89">
        <f t="shared" si="15"/>
        <v>162021</v>
      </c>
      <c r="Y169" s="65">
        <f t="shared" si="16"/>
        <v>1776860</v>
      </c>
    </row>
    <row r="170" spans="1:25" x14ac:dyDescent="0.25">
      <c r="A170" s="14">
        <v>44256</v>
      </c>
      <c r="B170" s="14"/>
      <c r="C170" s="66">
        <f t="shared" si="20"/>
        <v>158559</v>
      </c>
      <c r="D170" s="15">
        <f>18175+556</f>
        <v>18731</v>
      </c>
      <c r="E170" s="15">
        <v>54589</v>
      </c>
      <c r="F170" s="15">
        <v>1490</v>
      </c>
      <c r="G170" s="69">
        <f>Population!DK396+Population!DL396</f>
        <v>231864</v>
      </c>
      <c r="H170" s="59">
        <f>Population!DM396+Population!DN396</f>
        <v>66908</v>
      </c>
      <c r="I170" s="64">
        <f>Population!DP396</f>
        <v>135660</v>
      </c>
      <c r="J170" s="15">
        <f>Population!DR396</f>
        <v>21493</v>
      </c>
      <c r="K170" s="15">
        <f>Population!DO396+Population!DT396</f>
        <v>596153</v>
      </c>
      <c r="L170" s="15">
        <f>Population!DQ396</f>
        <v>1604</v>
      </c>
      <c r="M170" s="15">
        <f>Population!DS396</f>
        <v>45928</v>
      </c>
      <c r="N170" s="68">
        <f t="shared" si="13"/>
        <v>800838</v>
      </c>
      <c r="O170" s="63">
        <f>Population!DU396</f>
        <v>138859</v>
      </c>
      <c r="P170" s="15">
        <f>Population!DV396</f>
        <v>372214</v>
      </c>
      <c r="Q170" s="15">
        <f>Population!DW396</f>
        <v>17928</v>
      </c>
      <c r="R170" s="88">
        <f t="shared" si="18"/>
        <v>529001</v>
      </c>
      <c r="S170" s="88">
        <f t="shared" si="14"/>
        <v>1628611</v>
      </c>
      <c r="T170" s="17">
        <f>Population!DZ396</f>
        <v>80762</v>
      </c>
      <c r="U170" s="153">
        <f>Population!G396+Population!H396+Population!I396+Population!J396+Population!K396+Population!N396</f>
        <v>80505</v>
      </c>
      <c r="V170" s="15">
        <f>[5]Population!G403</f>
        <v>1629</v>
      </c>
      <c r="W170" s="15">
        <v>0</v>
      </c>
      <c r="X170" s="89">
        <f t="shared" si="15"/>
        <v>162896</v>
      </c>
      <c r="Y170" s="65">
        <f t="shared" si="16"/>
        <v>1791507</v>
      </c>
    </row>
    <row r="171" spans="1:25" x14ac:dyDescent="0.25">
      <c r="A171" s="14">
        <v>44287</v>
      </c>
      <c r="B171" s="14"/>
      <c r="C171" s="66">
        <f t="shared" si="20"/>
        <v>158585</v>
      </c>
      <c r="D171" s="15">
        <f>18423+554</f>
        <v>18977</v>
      </c>
      <c r="E171" s="15">
        <v>54700</v>
      </c>
      <c r="F171" s="15">
        <v>1491</v>
      </c>
      <c r="G171" s="69">
        <f>Population!DK397+Population!DL397</f>
        <v>232712</v>
      </c>
      <c r="H171" s="59">
        <f>Population!DM397+Population!DN397</f>
        <v>66962</v>
      </c>
      <c r="I171" s="64">
        <f>Population!DP397</f>
        <v>136986</v>
      </c>
      <c r="J171" s="15">
        <f>Population!DR397</f>
        <v>21895</v>
      </c>
      <c r="K171" s="15">
        <f>Population!DO397+Population!DT397</f>
        <v>600277</v>
      </c>
      <c r="L171" s="15">
        <f>Population!DQ397</f>
        <v>1580</v>
      </c>
      <c r="M171" s="15">
        <f>Population!DS397</f>
        <v>46179</v>
      </c>
      <c r="N171" s="68">
        <f t="shared" si="13"/>
        <v>806917</v>
      </c>
      <c r="O171" s="63">
        <f>Population!DU397</f>
        <v>140442</v>
      </c>
      <c r="P171" s="15">
        <f>Population!DV397</f>
        <v>380476</v>
      </c>
      <c r="Q171" s="15">
        <f>Population!DW397</f>
        <v>17742</v>
      </c>
      <c r="R171" s="88">
        <f t="shared" si="18"/>
        <v>538660</v>
      </c>
      <c r="S171" s="88">
        <f t="shared" si="14"/>
        <v>1645251</v>
      </c>
      <c r="T171" s="17">
        <f>Population!DZ397</f>
        <v>81284</v>
      </c>
      <c r="U171" s="153">
        <f>Population!G397+Population!H397+Population!I397+Population!J397+Population!K397+Population!N397</f>
        <v>80811</v>
      </c>
      <c r="V171" s="15">
        <f>[5]Population!G404</f>
        <v>1624</v>
      </c>
      <c r="W171" s="15">
        <v>0</v>
      </c>
      <c r="X171" s="89">
        <f t="shared" si="15"/>
        <v>163719</v>
      </c>
      <c r="Y171" s="65">
        <f t="shared" si="16"/>
        <v>1808970</v>
      </c>
    </row>
    <row r="172" spans="1:25" x14ac:dyDescent="0.25">
      <c r="A172" s="14">
        <v>44317</v>
      </c>
      <c r="B172" s="14"/>
      <c r="C172" s="66">
        <f>G175-D172-E172-F172</f>
        <v>157872</v>
      </c>
      <c r="D172" s="15">
        <f>18594+532</f>
        <v>19126</v>
      </c>
      <c r="E172" s="15">
        <v>54969</v>
      </c>
      <c r="F172" s="15">
        <v>1499</v>
      </c>
      <c r="G172" s="69">
        <f>Population!DK398+Population!DL398</f>
        <v>233369</v>
      </c>
      <c r="H172" s="59">
        <f>Population!DM398+Population!DN398</f>
        <v>66883</v>
      </c>
      <c r="I172" s="64">
        <f>Population!DP398</f>
        <v>138173</v>
      </c>
      <c r="J172" s="15">
        <f>Population!DR398</f>
        <v>22308</v>
      </c>
      <c r="K172" s="15">
        <f>Population!DO398+Population!DT398</f>
        <v>603635</v>
      </c>
      <c r="L172" s="15">
        <f>Population!DQ398</f>
        <v>1570</v>
      </c>
      <c r="M172" s="15">
        <f>Population!DS398</f>
        <v>46349</v>
      </c>
      <c r="N172" s="68">
        <f t="shared" si="13"/>
        <v>812035</v>
      </c>
      <c r="O172" s="63">
        <f>Population!DU398</f>
        <v>141959</v>
      </c>
      <c r="P172" s="15">
        <f>Population!DV398</f>
        <v>388049</v>
      </c>
      <c r="Q172" s="15">
        <f>Population!DW398</f>
        <v>17630</v>
      </c>
      <c r="R172" s="88">
        <f t="shared" si="18"/>
        <v>547638</v>
      </c>
      <c r="S172" s="88">
        <f t="shared" si="14"/>
        <v>1659925</v>
      </c>
      <c r="T172" s="17">
        <f>Population!DZ398</f>
        <v>81897</v>
      </c>
      <c r="U172" s="153">
        <f>Population!G398+Population!H398+Population!I398+Population!J398+Population!K398+Population!N398</f>
        <v>80826</v>
      </c>
      <c r="V172" s="15">
        <f>[5]Population!G405</f>
        <v>1636</v>
      </c>
      <c r="W172" s="15">
        <v>0</v>
      </c>
      <c r="X172" s="89">
        <f t="shared" si="15"/>
        <v>164359</v>
      </c>
      <c r="Y172" s="65">
        <f t="shared" si="16"/>
        <v>1824284</v>
      </c>
    </row>
    <row r="173" spans="1:25" x14ac:dyDescent="0.25">
      <c r="A173" s="14">
        <v>44348</v>
      </c>
      <c r="B173" s="14"/>
      <c r="C173" s="66">
        <f>G176-D173-E173-F173</f>
        <v>157881</v>
      </c>
      <c r="D173" s="15">
        <f>18786+532</f>
        <v>19318</v>
      </c>
      <c r="E173" s="15">
        <v>55117</v>
      </c>
      <c r="F173" s="15">
        <v>1492</v>
      </c>
      <c r="G173" s="69">
        <f>Population!DK399+Population!DL399</f>
        <v>233753</v>
      </c>
      <c r="H173" s="59">
        <f>Population!DM399+Population!DN399</f>
        <v>66795</v>
      </c>
      <c r="I173" s="64">
        <f>Population!DP399</f>
        <v>139518</v>
      </c>
      <c r="J173" s="15">
        <f>Population!DR399</f>
        <v>22760</v>
      </c>
      <c r="K173" s="15">
        <f>Population!DO399+Population!DT399</f>
        <v>607400</v>
      </c>
      <c r="L173" s="15">
        <f>Population!DQ399</f>
        <v>1546</v>
      </c>
      <c r="M173" s="15">
        <f>Population!DS399</f>
        <v>46728</v>
      </c>
      <c r="N173" s="68">
        <f t="shared" si="13"/>
        <v>817952</v>
      </c>
      <c r="O173" s="63">
        <f>Population!DU399</f>
        <v>143186</v>
      </c>
      <c r="P173" s="15">
        <f>Population!DV399</f>
        <v>394579</v>
      </c>
      <c r="Q173" s="15">
        <f>Population!DW399</f>
        <v>17458</v>
      </c>
      <c r="R173" s="88">
        <f t="shared" si="18"/>
        <v>555223</v>
      </c>
      <c r="S173" s="88">
        <f t="shared" si="14"/>
        <v>1673723</v>
      </c>
      <c r="T173" s="17">
        <f>Population!DZ399</f>
        <v>82630</v>
      </c>
      <c r="U173" s="153">
        <f>Population!G399+Population!H399+Population!I399+Population!J399+Population!K399+Population!N399</f>
        <v>80759</v>
      </c>
      <c r="V173" s="15">
        <f>[5]Population!G406</f>
        <v>1682</v>
      </c>
      <c r="W173" s="15">
        <v>0</v>
      </c>
      <c r="X173" s="89">
        <f t="shared" si="15"/>
        <v>165071</v>
      </c>
      <c r="Y173" s="65">
        <f t="shared" si="16"/>
        <v>1838794</v>
      </c>
    </row>
    <row r="174" spans="1:25" x14ac:dyDescent="0.25">
      <c r="A174" s="14"/>
      <c r="B174" s="14"/>
      <c r="C174" s="66"/>
      <c r="D174" s="15"/>
      <c r="E174" s="15"/>
      <c r="F174" s="15"/>
      <c r="G174" s="69"/>
      <c r="H174" s="59"/>
      <c r="I174" s="64"/>
      <c r="J174" s="15"/>
      <c r="K174" s="15"/>
      <c r="L174" s="15"/>
      <c r="M174" s="15"/>
      <c r="N174" s="68"/>
      <c r="O174" s="63"/>
      <c r="P174" s="15"/>
      <c r="Q174" s="15"/>
      <c r="R174" s="88"/>
      <c r="S174" s="88"/>
      <c r="T174" s="17"/>
      <c r="U174" s="153"/>
      <c r="W174" s="15"/>
      <c r="X174" s="89"/>
      <c r="Y174" s="65"/>
    </row>
    <row r="175" spans="1:25" x14ac:dyDescent="0.25">
      <c r="A175" s="14">
        <v>44378</v>
      </c>
      <c r="B175" s="14"/>
      <c r="C175" s="66">
        <f t="shared" ref="C175:C183" si="21">G178-D175-E175-F175</f>
        <v>158697</v>
      </c>
      <c r="D175" s="15">
        <f>18897+513</f>
        <v>19410</v>
      </c>
      <c r="E175" s="15">
        <v>55297</v>
      </c>
      <c r="F175" s="15">
        <v>1508</v>
      </c>
      <c r="G175" s="69">
        <f>Population!DK400+Population!DL400</f>
        <v>233466</v>
      </c>
      <c r="H175" s="59">
        <f>Population!DM400+Population!DN400</f>
        <v>66432</v>
      </c>
      <c r="I175" s="64">
        <f>Population!DP400</f>
        <v>140894</v>
      </c>
      <c r="J175" s="15">
        <f>Population!DR400</f>
        <v>23300</v>
      </c>
      <c r="K175" s="15">
        <f>Population!DO400+Population!DT400</f>
        <v>611748</v>
      </c>
      <c r="L175" s="15">
        <f>Population!DQ400</f>
        <v>1544</v>
      </c>
      <c r="M175" s="15">
        <f>Population!DS400</f>
        <v>47101</v>
      </c>
      <c r="N175" s="68">
        <f t="shared" si="13"/>
        <v>824587</v>
      </c>
      <c r="O175" s="63">
        <f>Population!DU400</f>
        <v>144279</v>
      </c>
      <c r="P175" s="15">
        <f>Population!DV400</f>
        <v>400861</v>
      </c>
      <c r="Q175" s="15">
        <f>Population!DW400</f>
        <v>17408</v>
      </c>
      <c r="R175" s="88">
        <f t="shared" si="18"/>
        <v>562548</v>
      </c>
      <c r="S175" s="88">
        <f t="shared" si="14"/>
        <v>1687033</v>
      </c>
      <c r="T175" s="17">
        <f>Population!DZ400</f>
        <v>83237</v>
      </c>
      <c r="U175" s="153">
        <f>Population!G400+Population!H400+Population!I400+Population!J400+Population!K400+Population!N400</f>
        <v>80556</v>
      </c>
      <c r="V175" s="15">
        <f>[5]Population!G407</f>
        <v>1701</v>
      </c>
      <c r="W175" s="15">
        <v>20</v>
      </c>
      <c r="X175" s="89">
        <f t="shared" si="15"/>
        <v>165514</v>
      </c>
      <c r="Y175" s="65">
        <f t="shared" si="16"/>
        <v>1852547</v>
      </c>
    </row>
    <row r="176" spans="1:25" x14ac:dyDescent="0.25">
      <c r="A176" s="14">
        <v>44409</v>
      </c>
      <c r="B176" s="14"/>
      <c r="C176" s="66">
        <f t="shared" si="21"/>
        <v>159155</v>
      </c>
      <c r="D176" s="15">
        <f>18952+540</f>
        <v>19492</v>
      </c>
      <c r="E176" s="15">
        <v>55333</v>
      </c>
      <c r="F176" s="15">
        <v>1523</v>
      </c>
      <c r="G176" s="69">
        <f>Population!DK401+Population!DL401</f>
        <v>233808</v>
      </c>
      <c r="H176" s="59">
        <f>Population!DM401+Population!DN401</f>
        <v>66294</v>
      </c>
      <c r="I176" s="64">
        <f>Population!DP401</f>
        <v>142676</v>
      </c>
      <c r="J176" s="15">
        <f>Population!DR401</f>
        <v>23875</v>
      </c>
      <c r="K176" s="15">
        <f>Population!DO401+Population!DT401</f>
        <v>616897</v>
      </c>
      <c r="L176" s="15">
        <f>Population!DQ401</f>
        <v>1548</v>
      </c>
      <c r="M176" s="15">
        <f>Population!DS401</f>
        <v>47276</v>
      </c>
      <c r="N176" s="68">
        <f t="shared" si="13"/>
        <v>832272</v>
      </c>
      <c r="O176" s="63">
        <f>Population!DU401</f>
        <v>145418</v>
      </c>
      <c r="P176" s="15">
        <f>Population!DV401</f>
        <v>408229</v>
      </c>
      <c r="Q176" s="15">
        <f>Population!DW401</f>
        <v>17268</v>
      </c>
      <c r="R176" s="88">
        <f t="shared" si="18"/>
        <v>570915</v>
      </c>
      <c r="S176" s="88">
        <f t="shared" si="14"/>
        <v>1703289</v>
      </c>
      <c r="T176" s="17">
        <f>Population!DZ401</f>
        <v>84121</v>
      </c>
      <c r="U176" s="153">
        <f>Population!G401+Population!H401+Population!I401+Population!J401+Population!K401+Population!N401</f>
        <v>80650</v>
      </c>
      <c r="V176" s="67">
        <v>1785</v>
      </c>
      <c r="W176" s="15">
        <v>544</v>
      </c>
      <c r="X176" s="89">
        <f t="shared" si="15"/>
        <v>167100</v>
      </c>
      <c r="Y176" s="65">
        <f t="shared" si="16"/>
        <v>1870389</v>
      </c>
    </row>
    <row r="177" spans="1:25" x14ac:dyDescent="0.25">
      <c r="A177" s="14">
        <v>44440</v>
      </c>
      <c r="B177" s="14"/>
      <c r="C177" s="66">
        <f t="shared" si="21"/>
        <v>159387</v>
      </c>
      <c r="D177" s="15">
        <f>18938+530</f>
        <v>19468</v>
      </c>
      <c r="E177" s="15">
        <v>55404</v>
      </c>
      <c r="F177" s="15">
        <v>1527</v>
      </c>
      <c r="G177" s="69">
        <f>Population!DK402+Population!DL402</f>
        <v>234277</v>
      </c>
      <c r="H177" s="59">
        <f>Population!DM402+Population!DN402</f>
        <v>66303</v>
      </c>
      <c r="I177" s="64">
        <f>Population!DP402</f>
        <v>144356</v>
      </c>
      <c r="J177" s="15">
        <f>Population!DR402</f>
        <v>24239</v>
      </c>
      <c r="K177" s="15">
        <f>Population!DO402+Population!DT402</f>
        <v>621846</v>
      </c>
      <c r="L177" s="15">
        <f>Population!DQ402</f>
        <v>1541</v>
      </c>
      <c r="M177" s="15">
        <f>Population!DS402</f>
        <v>47616</v>
      </c>
      <c r="N177" s="68">
        <f t="shared" si="13"/>
        <v>839598</v>
      </c>
      <c r="O177" s="63">
        <f>Population!DU402</f>
        <v>146771</v>
      </c>
      <c r="P177" s="15">
        <f>Population!DV402</f>
        <v>417376</v>
      </c>
      <c r="Q177" s="15">
        <f>Population!DW402</f>
        <v>17134</v>
      </c>
      <c r="R177" s="88">
        <f t="shared" si="18"/>
        <v>581281</v>
      </c>
      <c r="S177" s="88">
        <f t="shared" si="14"/>
        <v>1721459</v>
      </c>
      <c r="T177" s="17">
        <f>Population!DZ402</f>
        <v>85275</v>
      </c>
      <c r="U177" s="153">
        <f>Population!G402+Population!H402+Population!I402+Population!J402+Population!K402+Population!N402</f>
        <v>80400</v>
      </c>
      <c r="V177" s="67">
        <v>1820</v>
      </c>
      <c r="W177" s="15">
        <v>1319</v>
      </c>
      <c r="X177" s="89">
        <f t="shared" si="15"/>
        <v>168814</v>
      </c>
      <c r="Y177" s="65">
        <f t="shared" si="16"/>
        <v>1890273</v>
      </c>
    </row>
    <row r="178" spans="1:25" x14ac:dyDescent="0.25">
      <c r="A178" s="14">
        <v>44470</v>
      </c>
      <c r="B178" s="14"/>
      <c r="C178" s="66">
        <f t="shared" si="21"/>
        <v>159384</v>
      </c>
      <c r="D178" s="15">
        <f>19066+530</f>
        <v>19596</v>
      </c>
      <c r="E178" s="15">
        <v>55659</v>
      </c>
      <c r="F178" s="15">
        <v>1548</v>
      </c>
      <c r="G178" s="69">
        <f>Population!DK403+Population!DL403</f>
        <v>234912</v>
      </c>
      <c r="H178" s="59">
        <f>Population!DM403+Population!DN403</f>
        <v>66285</v>
      </c>
      <c r="I178" s="64">
        <f>Population!DP403</f>
        <v>145895</v>
      </c>
      <c r="J178" s="15">
        <f>Population!DR403</f>
        <v>24548</v>
      </c>
      <c r="K178" s="15">
        <f>Population!DO403+Population!DT403</f>
        <v>626507</v>
      </c>
      <c r="L178" s="15">
        <f>Population!DQ403</f>
        <v>1533</v>
      </c>
      <c r="M178" s="15">
        <f>Population!DS403</f>
        <v>47913</v>
      </c>
      <c r="N178" s="68">
        <f t="shared" si="13"/>
        <v>846396</v>
      </c>
      <c r="O178" s="63">
        <f>Population!DU403</f>
        <v>147966</v>
      </c>
      <c r="P178" s="15">
        <f>Population!DV403</f>
        <v>425193</v>
      </c>
      <c r="Q178" s="15">
        <f>Population!DW403</f>
        <v>17008</v>
      </c>
      <c r="R178" s="88">
        <f t="shared" si="18"/>
        <v>590167</v>
      </c>
      <c r="S178" s="88">
        <f t="shared" si="14"/>
        <v>1737760</v>
      </c>
      <c r="T178" s="17">
        <f>Population!DZ403</f>
        <v>86355</v>
      </c>
      <c r="U178" s="153">
        <f>Population!G403+Population!H403+Population!I403+Population!J403+Population!K403+Population!N403</f>
        <v>80181</v>
      </c>
      <c r="V178" s="67">
        <v>1838</v>
      </c>
      <c r="W178" s="15">
        <v>1885</v>
      </c>
      <c r="X178" s="89">
        <f t="shared" si="15"/>
        <v>170259</v>
      </c>
      <c r="Y178" s="65">
        <f t="shared" si="16"/>
        <v>1908019</v>
      </c>
    </row>
    <row r="179" spans="1:25" x14ac:dyDescent="0.25">
      <c r="A179" s="14">
        <v>44501</v>
      </c>
      <c r="B179" s="14"/>
      <c r="C179" s="66">
        <f t="shared" si="21"/>
        <v>158211</v>
      </c>
      <c r="D179" s="15">
        <f>19108+530</f>
        <v>19638</v>
      </c>
      <c r="E179" s="15">
        <v>55962</v>
      </c>
      <c r="F179" s="15">
        <v>1541</v>
      </c>
      <c r="G179" s="69">
        <f>Population!DK404+Population!DL404</f>
        <v>235503</v>
      </c>
      <c r="H179" s="59">
        <f>Population!DM404+Population!DN404</f>
        <v>66281</v>
      </c>
      <c r="I179" s="64">
        <f>Population!DP404</f>
        <v>147371</v>
      </c>
      <c r="J179" s="15">
        <f>Population!DR404</f>
        <v>24834</v>
      </c>
      <c r="K179" s="15">
        <f>Population!DO404+Population!DT404</f>
        <v>629830</v>
      </c>
      <c r="L179" s="15">
        <f>Population!DQ404</f>
        <v>1517</v>
      </c>
      <c r="M179" s="15">
        <f>Population!DS404</f>
        <v>48089</v>
      </c>
      <c r="N179" s="68">
        <f t="shared" si="13"/>
        <v>851641</v>
      </c>
      <c r="O179" s="63">
        <f>Population!DU404</f>
        <v>148759</v>
      </c>
      <c r="P179" s="15">
        <f>Population!DV404</f>
        <v>432070</v>
      </c>
      <c r="Q179" s="15">
        <f>Population!DW404</f>
        <v>16856</v>
      </c>
      <c r="R179" s="88">
        <f t="shared" si="18"/>
        <v>597685</v>
      </c>
      <c r="S179" s="88">
        <f t="shared" si="14"/>
        <v>1751110</v>
      </c>
      <c r="T179" s="17">
        <f>Population!DZ404</f>
        <v>87470</v>
      </c>
      <c r="U179" s="153">
        <f>Population!G404+Population!H404+Population!I404+Population!J404+Population!K404+Population!N404</f>
        <v>80102</v>
      </c>
      <c r="V179" s="67">
        <v>1834</v>
      </c>
      <c r="W179" s="15">
        <v>2347</v>
      </c>
      <c r="X179" s="89">
        <f t="shared" si="15"/>
        <v>171753</v>
      </c>
      <c r="Y179" s="65">
        <f t="shared" si="16"/>
        <v>1922863</v>
      </c>
    </row>
    <row r="180" spans="1:25" x14ac:dyDescent="0.25">
      <c r="A180" s="14">
        <v>44531</v>
      </c>
      <c r="B180" s="14"/>
      <c r="C180" s="66">
        <f t="shared" si="21"/>
        <v>159496</v>
      </c>
      <c r="D180" s="15">
        <f>19047+512</f>
        <v>19559</v>
      </c>
      <c r="E180" s="15">
        <v>56086</v>
      </c>
      <c r="F180" s="15">
        <v>1549</v>
      </c>
      <c r="G180" s="69">
        <f>Population!DK405+Population!DL405</f>
        <v>235786</v>
      </c>
      <c r="H180" s="59">
        <f>Population!DM405+Population!DN405</f>
        <v>66197</v>
      </c>
      <c r="I180" s="64">
        <f>Population!DP405</f>
        <v>150575</v>
      </c>
      <c r="J180" s="15">
        <f>Population!DR405</f>
        <v>21599</v>
      </c>
      <c r="K180" s="15">
        <f>Population!DO405+Population!DT405</f>
        <v>633808</v>
      </c>
      <c r="L180" s="15">
        <f>Population!DQ405</f>
        <v>1518</v>
      </c>
      <c r="M180" s="15">
        <f>Population!DS405</f>
        <v>48308</v>
      </c>
      <c r="N180" s="68">
        <f t="shared" si="13"/>
        <v>855808</v>
      </c>
      <c r="O180" s="63">
        <f>Population!DU405</f>
        <v>151968</v>
      </c>
      <c r="P180" s="15">
        <f>Population!DV405</f>
        <v>442032</v>
      </c>
      <c r="Q180" s="15">
        <f>Population!DW405</f>
        <v>16729</v>
      </c>
      <c r="R180" s="88">
        <f t="shared" si="18"/>
        <v>610729</v>
      </c>
      <c r="S180" s="88">
        <f t="shared" si="14"/>
        <v>1768520</v>
      </c>
      <c r="T180" s="17">
        <f>Population!DZ405</f>
        <v>88544</v>
      </c>
      <c r="U180" s="153">
        <f>Population!G405+Population!H405+Population!I405+Population!J405+Population!K405+Population!N405</f>
        <v>80070</v>
      </c>
      <c r="V180" s="67">
        <v>1884</v>
      </c>
      <c r="W180" s="15">
        <v>2611</v>
      </c>
      <c r="X180" s="89">
        <f t="shared" si="15"/>
        <v>173109</v>
      </c>
      <c r="Y180" s="65">
        <f t="shared" si="16"/>
        <v>1941629</v>
      </c>
    </row>
    <row r="181" spans="1:25" x14ac:dyDescent="0.25">
      <c r="A181" s="14">
        <v>44562</v>
      </c>
      <c r="B181" s="14"/>
      <c r="C181" s="66">
        <f t="shared" si="21"/>
        <v>159440</v>
      </c>
      <c r="D181" s="15">
        <f>19067+520</f>
        <v>19587</v>
      </c>
      <c r="E181" s="15">
        <v>56250</v>
      </c>
      <c r="F181" s="15">
        <v>1556</v>
      </c>
      <c r="G181" s="69">
        <f>Population!DK406+Population!DL406</f>
        <v>236187</v>
      </c>
      <c r="H181" s="59">
        <f>Population!DM406+Population!DN406</f>
        <v>66237</v>
      </c>
      <c r="I181" s="64">
        <f>Population!DP406</f>
        <v>152502</v>
      </c>
      <c r="J181" s="15">
        <f>Population!DR406</f>
        <v>22073</v>
      </c>
      <c r="K181" s="15">
        <f>Population!DO406+Population!DT406</f>
        <v>638923</v>
      </c>
      <c r="L181" s="15">
        <f>Population!DQ406</f>
        <v>1518</v>
      </c>
      <c r="M181" s="15">
        <f>Population!DS406</f>
        <v>48732</v>
      </c>
      <c r="N181" s="68">
        <f t="shared" si="13"/>
        <v>863748</v>
      </c>
      <c r="O181" s="63">
        <f>Population!DU406</f>
        <v>153391</v>
      </c>
      <c r="P181" s="15">
        <f>Population!DV406</f>
        <v>451796</v>
      </c>
      <c r="Q181" s="15">
        <f>Population!DW406</f>
        <v>16613</v>
      </c>
      <c r="R181" s="88">
        <f t="shared" si="18"/>
        <v>621800</v>
      </c>
      <c r="S181" s="88">
        <f t="shared" si="14"/>
        <v>1787972</v>
      </c>
      <c r="T181" s="17">
        <f>Population!DZ406</f>
        <v>90110</v>
      </c>
      <c r="U181" s="153">
        <f>Population!G406+Population!H406+Population!I406+Population!J406+Population!K406+Population!N406</f>
        <v>80160</v>
      </c>
      <c r="V181" s="67">
        <v>1962</v>
      </c>
      <c r="W181" s="15">
        <v>2840</v>
      </c>
      <c r="X181" s="89">
        <f t="shared" si="15"/>
        <v>175072</v>
      </c>
      <c r="Y181" s="65">
        <f t="shared" si="16"/>
        <v>1963044</v>
      </c>
    </row>
    <row r="182" spans="1:25" x14ac:dyDescent="0.25">
      <c r="A182" s="14">
        <v>44593</v>
      </c>
      <c r="B182" s="14"/>
      <c r="C182" s="66">
        <f t="shared" si="21"/>
        <v>160426</v>
      </c>
      <c r="D182" s="15">
        <f>18965+519</f>
        <v>19484</v>
      </c>
      <c r="E182" s="15">
        <v>56223</v>
      </c>
      <c r="F182" s="15">
        <v>1548</v>
      </c>
      <c r="G182" s="69">
        <f>Population!DK407+Population!DL407</f>
        <v>235352</v>
      </c>
      <c r="H182" s="59">
        <f>Population!DM407+Population!DN407</f>
        <v>66136</v>
      </c>
      <c r="I182" s="64">
        <f>Population!DP407</f>
        <v>154127</v>
      </c>
      <c r="J182" s="15">
        <f>Population!DR407</f>
        <v>21824</v>
      </c>
      <c r="K182" s="15">
        <f>Population!DO407+Population!DT407</f>
        <v>643570</v>
      </c>
      <c r="L182" s="15">
        <f>Population!DQ407</f>
        <v>1526</v>
      </c>
      <c r="M182" s="15">
        <f>Population!DS407</f>
        <v>49213</v>
      </c>
      <c r="N182" s="68">
        <f t="shared" si="13"/>
        <v>870260</v>
      </c>
      <c r="O182" s="63">
        <f>Population!DU407</f>
        <v>154868</v>
      </c>
      <c r="P182" s="15">
        <f>Population!DV407</f>
        <v>459739</v>
      </c>
      <c r="Q182" s="15">
        <f>Population!DW407</f>
        <v>16441</v>
      </c>
      <c r="R182" s="88">
        <f t="shared" si="18"/>
        <v>631048</v>
      </c>
      <c r="S182" s="88">
        <f t="shared" si="14"/>
        <v>1802796</v>
      </c>
      <c r="T182" s="17">
        <f>Population!DZ407</f>
        <v>91219</v>
      </c>
      <c r="U182" s="153">
        <f>Population!G407+Population!H407+Population!I407+Population!J407+Population!K407+Population!N407</f>
        <v>80399</v>
      </c>
      <c r="V182" s="67">
        <v>2008</v>
      </c>
      <c r="W182" s="15">
        <v>2994</v>
      </c>
      <c r="X182" s="89">
        <f t="shared" si="15"/>
        <v>176620</v>
      </c>
      <c r="Y182" s="65">
        <f t="shared" si="16"/>
        <v>1979416</v>
      </c>
    </row>
    <row r="183" spans="1:25" x14ac:dyDescent="0.25">
      <c r="A183" s="14">
        <v>44621</v>
      </c>
      <c r="B183" s="14"/>
      <c r="C183" s="66">
        <f t="shared" si="21"/>
        <v>160626</v>
      </c>
      <c r="D183" s="15">
        <f>18958+527</f>
        <v>19485</v>
      </c>
      <c r="E183" s="15">
        <v>56249</v>
      </c>
      <c r="F183" s="15">
        <v>1551</v>
      </c>
      <c r="G183" s="69">
        <f>Population!DK408+Population!DL408</f>
        <v>236690</v>
      </c>
      <c r="H183" s="59">
        <f>Population!DM408+Population!DN408</f>
        <v>65963</v>
      </c>
      <c r="I183" s="64">
        <f>Population!DP408</f>
        <v>155366</v>
      </c>
      <c r="J183" s="15">
        <f>Population!DR408</f>
        <v>21646</v>
      </c>
      <c r="K183" s="15">
        <f>Population!DO408+Population!DT408</f>
        <v>646779</v>
      </c>
      <c r="L183" s="15">
        <f>Population!DQ408</f>
        <v>1542</v>
      </c>
      <c r="M183" s="15">
        <f>Population!DS408</f>
        <v>49484</v>
      </c>
      <c r="N183" s="68">
        <f t="shared" si="13"/>
        <v>874817</v>
      </c>
      <c r="O183" s="63">
        <f>Population!DU408</f>
        <v>156003</v>
      </c>
      <c r="P183" s="15">
        <f>Population!DV408</f>
        <v>465007</v>
      </c>
      <c r="Q183" s="15">
        <f>Population!DW408</f>
        <v>16430</v>
      </c>
      <c r="R183" s="88">
        <f t="shared" si="18"/>
        <v>637440</v>
      </c>
      <c r="S183" s="88">
        <f t="shared" si="14"/>
        <v>1814910</v>
      </c>
      <c r="T183" s="17">
        <f>Population!DZ408</f>
        <v>92160</v>
      </c>
      <c r="U183" s="153">
        <f>Population!G408+Population!H408+Population!I408+Population!J408+Population!K408+Population!N408</f>
        <v>80461</v>
      </c>
      <c r="V183" s="67">
        <v>1996</v>
      </c>
      <c r="W183" s="15">
        <v>3195</v>
      </c>
      <c r="X183" s="89">
        <f t="shared" si="15"/>
        <v>177812</v>
      </c>
      <c r="Y183" s="65">
        <f t="shared" si="16"/>
        <v>1992722</v>
      </c>
    </row>
    <row r="184" spans="1:25" x14ac:dyDescent="0.25">
      <c r="A184" s="14">
        <v>44652</v>
      </c>
      <c r="B184" s="14"/>
      <c r="C184" s="66">
        <f>G188-D184-E184-F184</f>
        <v>160947</v>
      </c>
      <c r="D184" s="15">
        <f>19087+536</f>
        <v>19623</v>
      </c>
      <c r="E184" s="15">
        <v>56473</v>
      </c>
      <c r="F184" s="15">
        <v>1557</v>
      </c>
      <c r="G184" s="69">
        <f>Population!DK409+Population!DL409</f>
        <v>236833</v>
      </c>
      <c r="H184" s="59">
        <f>Population!DM409+Population!DN409</f>
        <v>65830</v>
      </c>
      <c r="I184" s="64">
        <f>Population!DP409</f>
        <v>156606</v>
      </c>
      <c r="J184" s="15">
        <f>Population!DR409</f>
        <v>24709</v>
      </c>
      <c r="K184" s="15">
        <f>Population!DO409+Population!DT409</f>
        <v>651216</v>
      </c>
      <c r="L184" s="15">
        <f>Population!DQ409</f>
        <v>1554</v>
      </c>
      <c r="M184" s="15">
        <f>Population!DS409</f>
        <v>50216</v>
      </c>
      <c r="N184" s="68">
        <f t="shared" si="13"/>
        <v>884301</v>
      </c>
      <c r="O184" s="63">
        <f>Population!DU409</f>
        <v>156966</v>
      </c>
      <c r="P184" s="15">
        <f>Population!DV409</f>
        <v>473054</v>
      </c>
      <c r="Q184" s="15">
        <f>Population!DW409</f>
        <v>16355</v>
      </c>
      <c r="R184" s="88">
        <f t="shared" si="18"/>
        <v>646375</v>
      </c>
      <c r="S184" s="88">
        <f t="shared" si="14"/>
        <v>1833339</v>
      </c>
      <c r="T184" s="17">
        <f>Population!DZ409</f>
        <v>92500</v>
      </c>
      <c r="U184" s="153">
        <f>Population!G409+Population!H409+Population!I409+Population!J409+Population!K409+Population!N409</f>
        <v>81348</v>
      </c>
      <c r="V184" s="67">
        <v>2145</v>
      </c>
      <c r="W184" s="15">
        <v>3825</v>
      </c>
      <c r="X184" s="89">
        <f t="shared" si="15"/>
        <v>179818</v>
      </c>
      <c r="Y184" s="65">
        <f t="shared" si="16"/>
        <v>2013157</v>
      </c>
    </row>
    <row r="185" spans="1:25" x14ac:dyDescent="0.25">
      <c r="A185" s="14">
        <v>44682</v>
      </c>
      <c r="B185" s="14"/>
      <c r="C185" s="66">
        <f>G189-D185-E185-F185</f>
        <v>161366</v>
      </c>
      <c r="D185" s="15">
        <f>18986+480</f>
        <v>19466</v>
      </c>
      <c r="E185" s="15">
        <v>56793</v>
      </c>
      <c r="F185" s="15">
        <v>1557</v>
      </c>
      <c r="G185" s="69">
        <f>Population!DK410+Population!DL410</f>
        <v>237681</v>
      </c>
      <c r="H185" s="59">
        <f>Population!DM410+Population!DN410</f>
        <v>65825</v>
      </c>
      <c r="I185" s="64">
        <f>Population!DP410</f>
        <v>157482</v>
      </c>
      <c r="J185" s="15">
        <f>Population!DR410</f>
        <v>21488</v>
      </c>
      <c r="K185" s="15">
        <f>Population!DO410+Population!DT410</f>
        <v>653185</v>
      </c>
      <c r="L185" s="15">
        <f>Population!DQ410</f>
        <v>1546</v>
      </c>
      <c r="M185" s="15">
        <f>Population!DS410</f>
        <v>49272</v>
      </c>
      <c r="N185" s="68">
        <f t="shared" si="13"/>
        <v>882973</v>
      </c>
      <c r="O185" s="63">
        <f>Population!DU410</f>
        <v>158970</v>
      </c>
      <c r="P185" s="15">
        <f>Population!DV410</f>
        <v>482669</v>
      </c>
      <c r="Q185" s="15">
        <f>Population!DW410</f>
        <v>16313</v>
      </c>
      <c r="R185" s="88">
        <f t="shared" si="18"/>
        <v>657952</v>
      </c>
      <c r="S185" s="88">
        <f t="shared" si="14"/>
        <v>1844431</v>
      </c>
      <c r="T185" s="17">
        <f>Population!DZ410</f>
        <v>94061</v>
      </c>
      <c r="U185" s="153">
        <f>Population!G410+Population!H410+Population!I410+Population!J410+Population!K410+Population!N410</f>
        <v>79681</v>
      </c>
      <c r="V185" s="67">
        <v>2082</v>
      </c>
      <c r="W185" s="15">
        <v>3826</v>
      </c>
      <c r="X185" s="89">
        <f t="shared" si="15"/>
        <v>179650</v>
      </c>
      <c r="Y185" s="65">
        <f t="shared" si="16"/>
        <v>2024081</v>
      </c>
    </row>
    <row r="186" spans="1:25" x14ac:dyDescent="0.25">
      <c r="A186" s="14">
        <v>44713</v>
      </c>
      <c r="B186" s="14"/>
      <c r="C186" s="66">
        <f>G190-D186-E186-F186</f>
        <v>161011</v>
      </c>
      <c r="D186" s="15">
        <f>18915+508</f>
        <v>19423</v>
      </c>
      <c r="E186" s="15">
        <v>57006</v>
      </c>
      <c r="F186" s="15">
        <v>1565</v>
      </c>
      <c r="G186" s="69">
        <f>Population!DK411+Population!DL411</f>
        <v>237911</v>
      </c>
      <c r="H186" s="59">
        <f>Population!DM411+Population!DN411</f>
        <v>65694</v>
      </c>
      <c r="I186" s="64">
        <f>Population!DP411</f>
        <v>157986</v>
      </c>
      <c r="J186" s="15">
        <f>Population!DR411</f>
        <v>21221</v>
      </c>
      <c r="K186" s="15">
        <f>Population!DO411+Population!DT411</f>
        <v>655387</v>
      </c>
      <c r="L186" s="15">
        <f>Population!DQ411</f>
        <v>1593</v>
      </c>
      <c r="M186" s="15">
        <f>Population!DS411</f>
        <v>48927</v>
      </c>
      <c r="N186" s="68">
        <f t="shared" si="13"/>
        <v>885114</v>
      </c>
      <c r="O186" s="63">
        <f>Population!DU411</f>
        <v>160112</v>
      </c>
      <c r="P186" s="15">
        <f>Population!DV411</f>
        <v>488587</v>
      </c>
      <c r="Q186" s="15">
        <f>Population!DW411</f>
        <v>16455</v>
      </c>
      <c r="R186" s="88">
        <f t="shared" si="18"/>
        <v>665154</v>
      </c>
      <c r="S186" s="88">
        <f t="shared" si="14"/>
        <v>1853873</v>
      </c>
      <c r="T186" s="17">
        <f>Population!DZ411</f>
        <v>94733</v>
      </c>
      <c r="U186" s="153">
        <f>Population!G411+Population!H411+Population!I411+Population!J411+Population!K411+Population!N411</f>
        <v>78707</v>
      </c>
      <c r="V186" s="67">
        <v>2071</v>
      </c>
      <c r="W186" s="15">
        <v>4024</v>
      </c>
      <c r="X186" s="89">
        <f t="shared" si="15"/>
        <v>179535</v>
      </c>
      <c r="Y186" s="65">
        <f t="shared" si="16"/>
        <v>2033408</v>
      </c>
    </row>
    <row r="187" spans="1:25" x14ac:dyDescent="0.25">
      <c r="A187" s="14"/>
      <c r="B187" s="14"/>
      <c r="C187" s="66"/>
      <c r="D187" s="15"/>
      <c r="E187" s="15"/>
      <c r="F187" s="15"/>
      <c r="G187" s="69"/>
      <c r="H187" s="59"/>
      <c r="I187" s="64"/>
      <c r="J187" s="15"/>
      <c r="K187" s="15"/>
      <c r="L187" s="15"/>
      <c r="M187" s="15"/>
      <c r="N187" s="68"/>
      <c r="O187" s="63"/>
      <c r="P187" s="15"/>
      <c r="Q187" s="15"/>
      <c r="R187" s="88"/>
      <c r="S187" s="88"/>
      <c r="T187" s="17"/>
      <c r="U187" s="153"/>
      <c r="V187" s="67"/>
      <c r="W187" s="15"/>
      <c r="X187" s="89"/>
      <c r="Y187" s="65"/>
    </row>
    <row r="188" spans="1:25" x14ac:dyDescent="0.25">
      <c r="A188" s="14">
        <v>44743</v>
      </c>
      <c r="B188" s="14"/>
      <c r="C188" s="66">
        <f t="shared" ref="C188:C195" si="22">G192-D188-E188-F188</f>
        <v>160924</v>
      </c>
      <c r="D188" s="15">
        <f>19006+497</f>
        <v>19503</v>
      </c>
      <c r="E188" s="15">
        <v>57236</v>
      </c>
      <c r="F188" s="15">
        <v>1583</v>
      </c>
      <c r="G188" s="69">
        <f>Population!DK412+Population!DL412</f>
        <v>238600</v>
      </c>
      <c r="H188" s="59">
        <f>Population!DM412+Population!DN412</f>
        <v>65646</v>
      </c>
      <c r="I188" s="64">
        <f>Population!DP412</f>
        <v>159478</v>
      </c>
      <c r="J188" s="15">
        <f>Population!DR412</f>
        <v>21366</v>
      </c>
      <c r="K188" s="15">
        <f>Population!DO412+Population!DT412</f>
        <v>659336</v>
      </c>
      <c r="L188" s="15">
        <f>Population!DQ412</f>
        <v>1600</v>
      </c>
      <c r="M188" s="15">
        <f>Population!DS412</f>
        <v>49305</v>
      </c>
      <c r="N188" s="68">
        <f t="shared" si="13"/>
        <v>891085</v>
      </c>
      <c r="O188" s="63">
        <f>Population!DU412</f>
        <v>161101</v>
      </c>
      <c r="P188" s="15">
        <f>Population!DV412</f>
        <v>493760</v>
      </c>
      <c r="Q188" s="15">
        <f>Population!DW412</f>
        <v>16482</v>
      </c>
      <c r="R188" s="88">
        <f t="shared" si="18"/>
        <v>671343</v>
      </c>
      <c r="S188" s="88">
        <f t="shared" si="14"/>
        <v>1866674</v>
      </c>
      <c r="T188" s="17">
        <f>Population!DZ412</f>
        <v>95450</v>
      </c>
      <c r="U188" s="153">
        <f>Population!G412+Population!H412+Population!I412+Population!J412+Population!K412+Population!N412</f>
        <v>78850</v>
      </c>
      <c r="V188" s="67">
        <v>2097</v>
      </c>
      <c r="W188" s="15">
        <v>4211</v>
      </c>
      <c r="X188" s="89">
        <f t="shared" si="15"/>
        <v>180608</v>
      </c>
      <c r="Y188" s="65">
        <f t="shared" si="16"/>
        <v>2047282</v>
      </c>
    </row>
    <row r="189" spans="1:25" x14ac:dyDescent="0.25">
      <c r="A189" s="14">
        <v>44774</v>
      </c>
      <c r="B189" s="14"/>
      <c r="C189" s="58">
        <f t="shared" si="22"/>
        <v>160914</v>
      </c>
      <c r="D189" s="18">
        <f>19146+531</f>
        <v>19677</v>
      </c>
      <c r="E189" s="18">
        <v>57568</v>
      </c>
      <c r="F189" s="18">
        <v>1602</v>
      </c>
      <c r="G189" s="69">
        <f>Population!DK413+Population!DL413</f>
        <v>239182</v>
      </c>
      <c r="H189" s="59">
        <f>Population!DM413+Population!DN413</f>
        <v>65538</v>
      </c>
      <c r="I189" s="64">
        <f>Population!DP413</f>
        <v>160538</v>
      </c>
      <c r="J189" s="15">
        <f>Population!DR413</f>
        <v>22318</v>
      </c>
      <c r="K189" s="15">
        <f>Population!DO413+Population!DT413</f>
        <v>662866</v>
      </c>
      <c r="L189" s="15">
        <f>Population!DQ413</f>
        <v>2146</v>
      </c>
      <c r="M189" s="15">
        <f>Population!DS413</f>
        <v>49329</v>
      </c>
      <c r="N189" s="68">
        <f t="shared" si="13"/>
        <v>897197</v>
      </c>
      <c r="O189" s="63">
        <f>Population!DU413</f>
        <v>161700</v>
      </c>
      <c r="P189" s="15">
        <f>Population!DV413</f>
        <v>499595</v>
      </c>
      <c r="Q189" s="15">
        <f>Population!DW413</f>
        <v>16725</v>
      </c>
      <c r="R189" s="88">
        <f t="shared" si="18"/>
        <v>678020</v>
      </c>
      <c r="S189" s="88">
        <f t="shared" si="14"/>
        <v>1879937</v>
      </c>
      <c r="T189" s="17">
        <f>Population!DZ413</f>
        <v>96294</v>
      </c>
      <c r="U189" s="153">
        <f>Population!G413+Population!H413+Population!I413+Population!J413+Population!K413+Population!N413</f>
        <v>79051</v>
      </c>
      <c r="V189" s="67">
        <v>2358</v>
      </c>
      <c r="W189" s="15">
        <v>4371</v>
      </c>
      <c r="X189" s="89">
        <f t="shared" si="15"/>
        <v>182074</v>
      </c>
      <c r="Y189" s="65">
        <f t="shared" si="16"/>
        <v>2062011</v>
      </c>
    </row>
    <row r="190" spans="1:25" x14ac:dyDescent="0.25">
      <c r="A190" s="14">
        <v>44805</v>
      </c>
      <c r="B190" s="14"/>
      <c r="C190" s="66">
        <f t="shared" si="22"/>
        <v>160986</v>
      </c>
      <c r="D190" s="15">
        <f>19154+510</f>
        <v>19664</v>
      </c>
      <c r="E190" s="15">
        <v>57838</v>
      </c>
      <c r="F190" s="15">
        <v>1604</v>
      </c>
      <c r="G190" s="69">
        <f>Population!DK414+Population!DL414</f>
        <v>239005</v>
      </c>
      <c r="H190" s="59">
        <f>Population!DM414+Population!DN414</f>
        <v>65234</v>
      </c>
      <c r="I190" s="64">
        <f>Population!DP414</f>
        <v>160422</v>
      </c>
      <c r="J190" s="15">
        <f>Population!DR414</f>
        <v>22604</v>
      </c>
      <c r="K190" s="15">
        <f>Population!DO414+Population!DT414</f>
        <v>664630</v>
      </c>
      <c r="L190" s="15">
        <f>Population!DQ414</f>
        <v>3844</v>
      </c>
      <c r="M190" s="15">
        <f>Population!DS414</f>
        <v>49427</v>
      </c>
      <c r="N190" s="68">
        <f t="shared" si="13"/>
        <v>900927</v>
      </c>
      <c r="O190" s="63">
        <f>Population!DU414</f>
        <v>161897</v>
      </c>
      <c r="P190" s="15">
        <f>Population!DV414</f>
        <v>506025</v>
      </c>
      <c r="Q190" s="15">
        <f>Population!DW414</f>
        <v>17482</v>
      </c>
      <c r="R190" s="88">
        <f t="shared" si="18"/>
        <v>685404</v>
      </c>
      <c r="S190" s="88">
        <f t="shared" si="14"/>
        <v>1890570</v>
      </c>
      <c r="T190" s="17">
        <f>Population!DZ414</f>
        <v>97236</v>
      </c>
      <c r="U190" s="153">
        <f>Population!G414+Population!H414+Population!I414+Population!J414+Population!K414+Population!N414</f>
        <v>79441</v>
      </c>
      <c r="V190" s="67">
        <v>2474</v>
      </c>
      <c r="W190" s="15">
        <v>4470</v>
      </c>
      <c r="X190" s="89">
        <f t="shared" si="15"/>
        <v>183621</v>
      </c>
      <c r="Y190" s="65">
        <f t="shared" si="16"/>
        <v>2074191</v>
      </c>
    </row>
    <row r="191" spans="1:25" x14ac:dyDescent="0.25">
      <c r="A191" s="14">
        <v>44835</v>
      </c>
      <c r="B191" s="14"/>
      <c r="C191" s="66">
        <f t="shared" si="22"/>
        <v>160675</v>
      </c>
      <c r="D191" s="15">
        <f>19219+538</f>
        <v>19757</v>
      </c>
      <c r="E191" s="15">
        <v>58173</v>
      </c>
      <c r="F191" s="15">
        <v>1610</v>
      </c>
      <c r="G191" s="69">
        <f>Population!DK415+Population!DL415</f>
        <v>239014</v>
      </c>
      <c r="H191" s="59">
        <f>Population!DM415+Population!DN415</f>
        <v>65053</v>
      </c>
      <c r="I191" s="64">
        <f>Population!DP415</f>
        <v>160234</v>
      </c>
      <c r="J191" s="15">
        <f>Population!DR415</f>
        <v>23401</v>
      </c>
      <c r="K191" s="15">
        <f>Population!DO415+Population!DT415</f>
        <v>665596</v>
      </c>
      <c r="L191" s="15">
        <f>Population!DQ415</f>
        <v>5092</v>
      </c>
      <c r="M191" s="15">
        <f>Population!DS415</f>
        <v>49156</v>
      </c>
      <c r="N191" s="68">
        <f t="shared" si="13"/>
        <v>903479</v>
      </c>
      <c r="O191" s="63">
        <f>Population!DU415</f>
        <v>162305</v>
      </c>
      <c r="P191" s="15">
        <f>Population!DV415</f>
        <v>511078</v>
      </c>
      <c r="Q191" s="15">
        <f>Population!DW415</f>
        <v>18312</v>
      </c>
      <c r="R191" s="88">
        <f t="shared" si="18"/>
        <v>691695</v>
      </c>
      <c r="S191" s="88">
        <f t="shared" si="14"/>
        <v>1899241</v>
      </c>
      <c r="T191" s="17">
        <f>Population!DZ415</f>
        <v>98069</v>
      </c>
      <c r="U191" s="153">
        <f>Population!G415+Population!H415+Population!I415+Population!J415+Population!K415+Population!N415</f>
        <v>80000</v>
      </c>
      <c r="V191" s="67">
        <v>2569</v>
      </c>
      <c r="W191" s="15">
        <v>4650</v>
      </c>
      <c r="X191" s="89">
        <f t="shared" si="15"/>
        <v>185288</v>
      </c>
      <c r="Y191" s="65">
        <f t="shared" si="16"/>
        <v>2084529</v>
      </c>
    </row>
    <row r="192" spans="1:25" x14ac:dyDescent="0.25">
      <c r="A192" s="14">
        <v>44866</v>
      </c>
      <c r="B192" s="14"/>
      <c r="C192" s="66">
        <f t="shared" si="22"/>
        <v>160900</v>
      </c>
      <c r="D192" s="15">
        <f>19298+533</f>
        <v>19831</v>
      </c>
      <c r="E192" s="15">
        <v>58461</v>
      </c>
      <c r="F192" s="15">
        <v>1626</v>
      </c>
      <c r="G192" s="69">
        <f>Population!DK416+Population!DL416</f>
        <v>239246</v>
      </c>
      <c r="H192" s="59">
        <f>Population!DM416+Population!DN416</f>
        <v>64930</v>
      </c>
      <c r="I192" s="64">
        <f>Population!DP416</f>
        <v>160465</v>
      </c>
      <c r="J192" s="15">
        <f>Population!DR416</f>
        <v>24231</v>
      </c>
      <c r="K192" s="15">
        <f>Population!DO416+Population!DT416</f>
        <v>668086</v>
      </c>
      <c r="L192" s="15">
        <f>Population!DQ416</f>
        <v>6269</v>
      </c>
      <c r="M192" s="15">
        <f>Population!DS416</f>
        <v>49227</v>
      </c>
      <c r="N192" s="68">
        <f t="shared" si="13"/>
        <v>908278</v>
      </c>
      <c r="O192" s="63">
        <f>Population!DU416</f>
        <v>162923</v>
      </c>
      <c r="P192" s="15">
        <f>Population!DV416</f>
        <v>516955</v>
      </c>
      <c r="Q192" s="15">
        <f>Population!DW416</f>
        <v>19379</v>
      </c>
      <c r="R192" s="88">
        <f t="shared" si="18"/>
        <v>699257</v>
      </c>
      <c r="S192" s="88">
        <f t="shared" si="14"/>
        <v>1911711</v>
      </c>
      <c r="T192" s="17">
        <f>Population!DZ416</f>
        <v>99009</v>
      </c>
      <c r="U192" s="153">
        <f>Population!G416+Population!H416+Population!I416+Population!J416+Population!K416+Population!N416</f>
        <v>80580</v>
      </c>
      <c r="V192" s="67">
        <v>2677</v>
      </c>
      <c r="W192" s="15">
        <v>4560</v>
      </c>
      <c r="X192" s="89">
        <f t="shared" si="15"/>
        <v>186826</v>
      </c>
      <c r="Y192" s="65">
        <f t="shared" si="16"/>
        <v>2098537</v>
      </c>
    </row>
    <row r="193" spans="1:25" x14ac:dyDescent="0.25">
      <c r="A193" s="14">
        <v>44896</v>
      </c>
      <c r="B193" s="14"/>
      <c r="C193" s="66">
        <f t="shared" si="22"/>
        <v>160908</v>
      </c>
      <c r="D193" s="15">
        <f>19383+534</f>
        <v>19917</v>
      </c>
      <c r="E193" s="15">
        <v>58835</v>
      </c>
      <c r="F193" s="15">
        <v>1675</v>
      </c>
      <c r="G193" s="69">
        <f>Population!DK417+Population!DL417</f>
        <v>239761</v>
      </c>
      <c r="H193" s="59">
        <f>Population!DM417+Population!DN417</f>
        <v>64865</v>
      </c>
      <c r="I193" s="64">
        <f>Population!DP417</f>
        <v>160834</v>
      </c>
      <c r="J193" s="15">
        <f>Population!DR417</f>
        <v>25149</v>
      </c>
      <c r="K193" s="15">
        <f>Population!DO417+Population!DT417</f>
        <v>670599</v>
      </c>
      <c r="L193" s="15">
        <f>Population!DQ417</f>
        <v>7214</v>
      </c>
      <c r="M193" s="15">
        <f>Population!DS417</f>
        <v>49561</v>
      </c>
      <c r="N193" s="68">
        <f t="shared" si="13"/>
        <v>913357</v>
      </c>
      <c r="O193" s="63">
        <f>Population!DU417</f>
        <v>164045</v>
      </c>
      <c r="P193" s="15">
        <f>Population!DV417</f>
        <v>525797</v>
      </c>
      <c r="Q193" s="15">
        <f>Population!DW417</f>
        <v>20458</v>
      </c>
      <c r="R193" s="88">
        <f t="shared" si="18"/>
        <v>710300</v>
      </c>
      <c r="S193" s="88">
        <f t="shared" si="14"/>
        <v>1928283</v>
      </c>
      <c r="T193" s="17">
        <f>Population!DZ417</f>
        <v>100602</v>
      </c>
      <c r="U193" s="153">
        <f>Population!G417+Population!H417+Population!I417+Population!J417+Population!K417+Population!N417</f>
        <v>81227</v>
      </c>
      <c r="V193" s="67">
        <v>2805</v>
      </c>
      <c r="W193" s="15">
        <v>4509</v>
      </c>
      <c r="X193" s="89">
        <f t="shared" si="15"/>
        <v>189143</v>
      </c>
      <c r="Y193" s="65">
        <f t="shared" si="16"/>
        <v>2117426</v>
      </c>
    </row>
    <row r="194" spans="1:25" x14ac:dyDescent="0.25">
      <c r="A194" s="14">
        <v>44927</v>
      </c>
      <c r="B194" s="14"/>
      <c r="C194" s="66">
        <f t="shared" si="22"/>
        <v>159462</v>
      </c>
      <c r="D194" s="15">
        <f>19271+533</f>
        <v>19804</v>
      </c>
      <c r="E194" s="15">
        <v>58979</v>
      </c>
      <c r="F194" s="15">
        <v>1661</v>
      </c>
      <c r="G194" s="69">
        <f>Population!DK418+Population!DL418</f>
        <v>240092</v>
      </c>
      <c r="H194" s="59">
        <f>Population!DM418+Population!DN418</f>
        <v>64855</v>
      </c>
      <c r="I194" s="64">
        <f>Population!DP418</f>
        <v>161475</v>
      </c>
      <c r="J194" s="15">
        <f>Population!DR418</f>
        <v>25937</v>
      </c>
      <c r="K194" s="15">
        <f>Population!DO418+Population!DT418</f>
        <v>673760</v>
      </c>
      <c r="L194" s="15">
        <f>Population!DQ418</f>
        <v>8373</v>
      </c>
      <c r="M194" s="15">
        <f>Population!DS418</f>
        <v>49994</v>
      </c>
      <c r="N194" s="68">
        <f t="shared" si="13"/>
        <v>919539</v>
      </c>
      <c r="O194" s="63">
        <f>Population!DU418</f>
        <v>165405</v>
      </c>
      <c r="P194" s="15">
        <f>Population!DV418</f>
        <v>536042</v>
      </c>
      <c r="Q194" s="15">
        <f>Population!DW418</f>
        <v>21586</v>
      </c>
      <c r="R194" s="88">
        <f t="shared" si="18"/>
        <v>723033</v>
      </c>
      <c r="S194" s="88">
        <f t="shared" si="14"/>
        <v>1947519</v>
      </c>
      <c r="T194" s="17">
        <f>Population!DZ418</f>
        <v>102578</v>
      </c>
      <c r="U194" s="153">
        <f>Population!G418+Population!H418+Population!I418+Population!J418+Population!K418+Population!N418</f>
        <v>81595</v>
      </c>
      <c r="V194" s="67">
        <v>2917</v>
      </c>
      <c r="W194" s="15">
        <v>4543</v>
      </c>
      <c r="X194" s="89">
        <f t="shared" si="15"/>
        <v>191633</v>
      </c>
      <c r="Y194" s="65">
        <f t="shared" si="16"/>
        <v>2139152</v>
      </c>
    </row>
    <row r="195" spans="1:25" x14ac:dyDescent="0.25">
      <c r="A195" s="14">
        <v>44958</v>
      </c>
      <c r="B195" s="14"/>
      <c r="C195" s="66">
        <f t="shared" si="22"/>
        <v>158786</v>
      </c>
      <c r="D195" s="15">
        <f>19346+530</f>
        <v>19876</v>
      </c>
      <c r="E195" s="15">
        <v>59228</v>
      </c>
      <c r="F195" s="15">
        <v>1672</v>
      </c>
      <c r="G195" s="69">
        <f>Population!DK419+Population!DL419</f>
        <v>240215</v>
      </c>
      <c r="H195" s="59">
        <f>Population!DM419+Population!DN419</f>
        <v>64690</v>
      </c>
      <c r="I195" s="64">
        <f>Population!DP419</f>
        <v>162323</v>
      </c>
      <c r="J195" s="15">
        <f>Population!DR419</f>
        <v>26806</v>
      </c>
      <c r="K195" s="15">
        <f>Population!DO419+Population!DT419</f>
        <v>677759</v>
      </c>
      <c r="L195" s="15">
        <f>Population!DQ419</f>
        <v>9436</v>
      </c>
      <c r="M195" s="15">
        <f>Population!DS419</f>
        <v>50352</v>
      </c>
      <c r="N195" s="68">
        <f t="shared" si="13"/>
        <v>926676</v>
      </c>
      <c r="O195" s="63">
        <f>Population!DU419</f>
        <v>166389</v>
      </c>
      <c r="P195" s="15">
        <f>Population!DV419</f>
        <v>543249</v>
      </c>
      <c r="Q195" s="15">
        <f>Population!DW419</f>
        <v>22772</v>
      </c>
      <c r="R195" s="88">
        <f t="shared" si="18"/>
        <v>732410</v>
      </c>
      <c r="S195" s="88">
        <f t="shared" si="14"/>
        <v>1963991</v>
      </c>
      <c r="T195" s="17">
        <f>Population!DZ419</f>
        <v>103611</v>
      </c>
      <c r="U195" s="153">
        <f>Population!G419+Population!H419+Population!I419+Population!J419+Population!K419+Population!N419</f>
        <v>82372</v>
      </c>
      <c r="V195" s="67">
        <v>3085</v>
      </c>
      <c r="W195" s="15">
        <v>4674</v>
      </c>
      <c r="X195" s="89">
        <f t="shared" si="15"/>
        <v>193742</v>
      </c>
      <c r="Y195" s="65">
        <f t="shared" si="16"/>
        <v>2157733</v>
      </c>
    </row>
    <row r="196" spans="1:25" x14ac:dyDescent="0.25">
      <c r="A196" s="14">
        <v>44986</v>
      </c>
      <c r="B196" s="14"/>
      <c r="C196" s="66">
        <f>G201-D196-E196-F196</f>
        <v>155986</v>
      </c>
      <c r="D196" s="15">
        <f>19339+524</f>
        <v>19863</v>
      </c>
      <c r="E196" s="15">
        <v>59272</v>
      </c>
      <c r="F196" s="15">
        <v>1667</v>
      </c>
      <c r="G196" s="69">
        <f>Population!DK420+Population!DL420</f>
        <v>240818</v>
      </c>
      <c r="H196" s="59">
        <f>Population!DM420+Population!DN420</f>
        <v>64641</v>
      </c>
      <c r="I196" s="64">
        <f>Population!DP420</f>
        <v>162351</v>
      </c>
      <c r="J196" s="15">
        <f>Population!DR420</f>
        <v>27622</v>
      </c>
      <c r="K196" s="15">
        <f>Population!DO420+Population!DT420</f>
        <v>680124</v>
      </c>
      <c r="L196" s="15">
        <f>Population!DQ420</f>
        <v>10773</v>
      </c>
      <c r="M196" s="15">
        <f>Population!DS420</f>
        <v>50573</v>
      </c>
      <c r="N196" s="68">
        <f t="shared" si="13"/>
        <v>931443</v>
      </c>
      <c r="O196" s="63">
        <f>Population!DU420</f>
        <v>167160</v>
      </c>
      <c r="P196" s="15">
        <f>Population!DV420</f>
        <v>547400</v>
      </c>
      <c r="Q196" s="15">
        <f>Population!DW420</f>
        <v>23659</v>
      </c>
      <c r="R196" s="88">
        <f t="shared" si="18"/>
        <v>738219</v>
      </c>
      <c r="S196" s="88">
        <f t="shared" si="14"/>
        <v>1975121</v>
      </c>
      <c r="T196" s="17">
        <f>Population!DZ420</f>
        <v>104316</v>
      </c>
      <c r="U196" s="153">
        <f>Population!G420+Population!H420+Population!I420+Population!J420+Population!K420+Population!N420</f>
        <v>82750</v>
      </c>
      <c r="V196" s="67">
        <v>3126</v>
      </c>
      <c r="W196" s="15">
        <v>4590</v>
      </c>
      <c r="X196" s="89">
        <f t="shared" si="15"/>
        <v>194782</v>
      </c>
      <c r="Y196" s="65">
        <f t="shared" si="16"/>
        <v>2169903</v>
      </c>
    </row>
    <row r="197" spans="1:25" x14ac:dyDescent="0.25">
      <c r="A197" s="14">
        <v>45017</v>
      </c>
      <c r="B197" s="14"/>
      <c r="C197" s="66">
        <f>G202-D197-E197-F197</f>
        <v>152002</v>
      </c>
      <c r="D197" s="15">
        <f>19698+518</f>
        <v>20216</v>
      </c>
      <c r="E197" s="15">
        <v>60043</v>
      </c>
      <c r="F197" s="15">
        <v>1713</v>
      </c>
      <c r="G197" s="69">
        <f>Population!DK421+Population!DL421</f>
        <v>241335</v>
      </c>
      <c r="H197" s="59">
        <f>Population!DM421+Population!DN421</f>
        <v>64676</v>
      </c>
      <c r="I197" s="64">
        <f>Population!DP421</f>
        <v>162738</v>
      </c>
      <c r="J197" s="15">
        <f>Population!DR421</f>
        <v>28214</v>
      </c>
      <c r="K197" s="15">
        <f>Population!DO421+Population!DT421</f>
        <v>683589</v>
      </c>
      <c r="L197" s="15">
        <f>Population!DQ421</f>
        <v>11921</v>
      </c>
      <c r="M197" s="15">
        <f>Population!DS421</f>
        <v>50612</v>
      </c>
      <c r="N197" s="68">
        <f t="shared" si="13"/>
        <v>937074</v>
      </c>
      <c r="O197" s="63">
        <f>Population!DU421</f>
        <v>168379</v>
      </c>
      <c r="P197" s="15">
        <f>Population!DV421</f>
        <v>552779</v>
      </c>
      <c r="Q197" s="15">
        <f>Population!DW421</f>
        <v>24757</v>
      </c>
      <c r="R197" s="88">
        <f t="shared" si="18"/>
        <v>745915</v>
      </c>
      <c r="S197" s="88">
        <f t="shared" si="14"/>
        <v>1989000</v>
      </c>
      <c r="T197" s="17">
        <f>Population!DZ421</f>
        <v>105034</v>
      </c>
      <c r="U197" s="153">
        <f>Population!G421+Population!H421+Population!I421+Population!J421+Population!K421+Population!N421</f>
        <v>83384</v>
      </c>
      <c r="V197" s="67">
        <v>3202</v>
      </c>
      <c r="W197" s="15">
        <v>4688</v>
      </c>
      <c r="X197" s="89">
        <f t="shared" si="15"/>
        <v>196308</v>
      </c>
      <c r="Y197" s="65">
        <f t="shared" si="16"/>
        <v>2185308</v>
      </c>
    </row>
    <row r="198" spans="1:25" x14ac:dyDescent="0.25">
      <c r="A198" s="14">
        <v>45047</v>
      </c>
      <c r="B198" s="14"/>
      <c r="C198" s="66">
        <f>G203-D198-E198-F198</f>
        <v>150241</v>
      </c>
      <c r="D198" s="47">
        <f>19481+518</f>
        <v>19999</v>
      </c>
      <c r="E198" s="15">
        <v>60301</v>
      </c>
      <c r="F198" s="15">
        <v>1716</v>
      </c>
      <c r="G198" s="69">
        <f>Population!DK422+Population!DL422</f>
        <v>239906</v>
      </c>
      <c r="H198" s="59">
        <f>Population!DM422+Population!DN422</f>
        <v>64446</v>
      </c>
      <c r="I198" s="64">
        <f>Population!DP422</f>
        <v>160748</v>
      </c>
      <c r="J198" s="15">
        <f>Population!DR422</f>
        <v>29044</v>
      </c>
      <c r="K198" s="15">
        <f>Population!DO422+Population!DT422</f>
        <v>682708</v>
      </c>
      <c r="L198" s="15">
        <f>Population!DQ422</f>
        <v>12766</v>
      </c>
      <c r="M198" s="15">
        <f>Population!DS422</f>
        <v>51153</v>
      </c>
      <c r="N198" s="68">
        <f t="shared" si="13"/>
        <v>936419</v>
      </c>
      <c r="O198" s="63">
        <f>Population!DU422</f>
        <v>169049</v>
      </c>
      <c r="P198" s="15">
        <f>Population!DV422</f>
        <v>556573</v>
      </c>
      <c r="Q198" s="15">
        <f>Population!DW422</f>
        <v>25608</v>
      </c>
      <c r="R198" s="88">
        <f t="shared" si="18"/>
        <v>751230</v>
      </c>
      <c r="S198" s="88">
        <f t="shared" si="14"/>
        <v>1992001</v>
      </c>
      <c r="T198" s="17">
        <f>Population!DZ422</f>
        <v>105539</v>
      </c>
      <c r="U198" s="153">
        <f>Population!G422+Population!H422+Population!I422+Population!J422+Population!K422+Population!N422</f>
        <v>83090</v>
      </c>
      <c r="V198" s="67">
        <v>3212</v>
      </c>
      <c r="W198" s="15">
        <v>4732</v>
      </c>
      <c r="X198" s="89">
        <f t="shared" si="15"/>
        <v>196573</v>
      </c>
      <c r="Y198" s="65">
        <f t="shared" si="16"/>
        <v>2188574</v>
      </c>
    </row>
    <row r="199" spans="1:25" x14ac:dyDescent="0.25">
      <c r="A199" s="14">
        <v>45078</v>
      </c>
      <c r="B199" s="14"/>
      <c r="C199" s="66">
        <f>G204-D199-E199-F199</f>
        <v>150130</v>
      </c>
      <c r="D199" s="15">
        <f>19600+498</f>
        <v>20098</v>
      </c>
      <c r="E199" s="15">
        <v>60627</v>
      </c>
      <c r="F199" s="15">
        <v>1738</v>
      </c>
      <c r="G199" s="69">
        <f>Population!DK423+Population!DL423</f>
        <v>239562</v>
      </c>
      <c r="H199" s="59">
        <f>Population!DM423+Population!DN423</f>
        <v>64467</v>
      </c>
      <c r="I199" s="64">
        <f>Population!DP423</f>
        <v>158656</v>
      </c>
      <c r="J199" s="15">
        <f>Population!DR423</f>
        <v>29358</v>
      </c>
      <c r="K199" s="15">
        <f>Population!DO423+Population!DT423</f>
        <v>676220</v>
      </c>
      <c r="L199" s="15">
        <f>Population!DQ423</f>
        <v>13572</v>
      </c>
      <c r="M199" s="15">
        <f>Population!DS423</f>
        <v>52385</v>
      </c>
      <c r="N199" s="68">
        <f t="shared" ref="N199:N215" si="23">SUM(I199:M199)</f>
        <v>930191</v>
      </c>
      <c r="O199" s="63">
        <f>Population!DU423</f>
        <v>166717</v>
      </c>
      <c r="P199" s="15">
        <f>Population!DV423</f>
        <v>551669</v>
      </c>
      <c r="Q199" s="15">
        <f>Population!DW423</f>
        <v>26534</v>
      </c>
      <c r="R199" s="88">
        <f t="shared" si="18"/>
        <v>744920</v>
      </c>
      <c r="S199" s="88">
        <f t="shared" ref="S199:S215" si="24">G199+N199+R199+H199</f>
        <v>1979140</v>
      </c>
      <c r="T199" s="17">
        <f>Population!DZ423</f>
        <v>104483</v>
      </c>
      <c r="U199" s="153">
        <f>Population!G423+Population!H423+Population!I423+Population!J423+Population!K423+Population!N423</f>
        <v>83532</v>
      </c>
      <c r="V199" s="67">
        <v>3201</v>
      </c>
      <c r="W199" s="15">
        <v>4748</v>
      </c>
      <c r="X199" s="89">
        <f t="shared" ref="X199:X215" si="25">SUM(T199:W199)</f>
        <v>195964</v>
      </c>
      <c r="Y199" s="65">
        <f t="shared" ref="Y199:Y215" si="26">S199+X199</f>
        <v>2175104</v>
      </c>
    </row>
    <row r="200" spans="1:25" x14ac:dyDescent="0.25">
      <c r="A200" s="14"/>
      <c r="B200" s="14"/>
      <c r="C200" s="66"/>
      <c r="D200" s="15"/>
      <c r="E200" s="15"/>
      <c r="F200" s="15"/>
      <c r="G200" s="69"/>
      <c r="H200" s="59"/>
      <c r="I200" s="64"/>
      <c r="J200" s="15"/>
      <c r="K200" s="15"/>
      <c r="L200" s="15"/>
      <c r="M200" s="15"/>
      <c r="N200" s="68"/>
      <c r="O200" s="63"/>
      <c r="P200" s="15"/>
      <c r="Q200" s="15"/>
      <c r="R200" s="88"/>
      <c r="S200" s="88"/>
      <c r="T200" s="17"/>
      <c r="U200" s="67"/>
      <c r="V200" s="16"/>
      <c r="W200" s="15"/>
      <c r="X200" s="89"/>
      <c r="Y200" s="65"/>
    </row>
    <row r="201" spans="1:25" x14ac:dyDescent="0.25">
      <c r="A201" s="14">
        <v>45108</v>
      </c>
      <c r="B201" s="14"/>
      <c r="C201" s="66">
        <f t="shared" ref="C201:C207" si="27">G206-D201-E201-F201</f>
        <v>149659</v>
      </c>
      <c r="D201" s="15">
        <f>19612+481</f>
        <v>20093</v>
      </c>
      <c r="E201" s="15">
        <v>60454</v>
      </c>
      <c r="F201" s="15">
        <v>1740</v>
      </c>
      <c r="G201" s="69">
        <f>Population!DK424+Population!DL424</f>
        <v>236788</v>
      </c>
      <c r="H201" s="59">
        <f>Population!DM424+Population!DN424</f>
        <v>62802</v>
      </c>
      <c r="I201" s="64">
        <f>Population!DP424</f>
        <v>156821</v>
      </c>
      <c r="J201" s="15">
        <f>Population!DR424</f>
        <v>29207</v>
      </c>
      <c r="K201" s="15">
        <f>Population!DO424+Population!DT424</f>
        <v>666811</v>
      </c>
      <c r="L201" s="15">
        <f>Population!DQ424</f>
        <v>14198</v>
      </c>
      <c r="M201" s="15">
        <f>Population!DS424</f>
        <v>52072</v>
      </c>
      <c r="N201" s="68">
        <f t="shared" si="23"/>
        <v>919109</v>
      </c>
      <c r="O201" s="63">
        <f>Population!DU424</f>
        <v>163676</v>
      </c>
      <c r="P201" s="15">
        <f>Population!DV424</f>
        <v>546611</v>
      </c>
      <c r="Q201" s="15">
        <f>Population!DW424</f>
        <v>27371</v>
      </c>
      <c r="R201" s="88">
        <f t="shared" si="18"/>
        <v>737658</v>
      </c>
      <c r="S201" s="88">
        <f t="shared" si="24"/>
        <v>1956357</v>
      </c>
      <c r="T201" s="17">
        <f>Population!DZ424</f>
        <v>102046</v>
      </c>
      <c r="U201" s="153">
        <f>Population!G424+Population!H424+Population!I424+Population!J424+Population!K424+Population!N424</f>
        <v>83330</v>
      </c>
      <c r="V201" s="67">
        <v>3222</v>
      </c>
      <c r="W201" s="15">
        <v>4770</v>
      </c>
      <c r="X201" s="89">
        <f t="shared" si="25"/>
        <v>193368</v>
      </c>
      <c r="Y201" s="65">
        <f t="shared" si="26"/>
        <v>2149725</v>
      </c>
    </row>
    <row r="202" spans="1:25" x14ac:dyDescent="0.25">
      <c r="A202" s="14">
        <v>45139</v>
      </c>
      <c r="B202" s="14"/>
      <c r="C202" s="66">
        <f t="shared" si="27"/>
        <v>149993</v>
      </c>
      <c r="D202" s="15">
        <f>19802+513</f>
        <v>20315</v>
      </c>
      <c r="E202" s="15">
        <v>59525</v>
      </c>
      <c r="F202" s="15">
        <v>1713</v>
      </c>
      <c r="G202" s="69">
        <f>Population!DK425+Population!DL425</f>
        <v>233974</v>
      </c>
      <c r="H202" s="59">
        <f>Population!DM425+Population!DN425</f>
        <v>61180</v>
      </c>
      <c r="I202" s="64">
        <f>Population!DP425</f>
        <v>155285</v>
      </c>
      <c r="J202" s="15">
        <f>Population!DR425</f>
        <v>28984</v>
      </c>
      <c r="K202" s="15">
        <f>Population!DO425+Population!DT425</f>
        <v>657294</v>
      </c>
      <c r="L202" s="15">
        <f>Population!DQ425</f>
        <v>14774</v>
      </c>
      <c r="M202" s="15">
        <f>Population!DS425</f>
        <v>51892</v>
      </c>
      <c r="N202" s="68">
        <f t="shared" si="23"/>
        <v>908229</v>
      </c>
      <c r="O202" s="63">
        <f>Population!DU425</f>
        <v>160164</v>
      </c>
      <c r="P202" s="15">
        <f>Population!DV425</f>
        <v>541379</v>
      </c>
      <c r="Q202" s="15">
        <f>Population!DW425</f>
        <v>28224</v>
      </c>
      <c r="R202" s="88">
        <f t="shared" si="18"/>
        <v>729767</v>
      </c>
      <c r="S202" s="88">
        <f t="shared" si="24"/>
        <v>1933150</v>
      </c>
      <c r="T202" s="17">
        <f>Population!DZ425</f>
        <v>99674</v>
      </c>
      <c r="U202" s="153">
        <f>Population!G425+Population!H425+Population!I425+Population!J425+Population!K425+Population!N425</f>
        <v>83045</v>
      </c>
      <c r="V202" s="67">
        <v>3220</v>
      </c>
      <c r="W202" s="15">
        <v>4721</v>
      </c>
      <c r="X202" s="89">
        <f t="shared" si="25"/>
        <v>190660</v>
      </c>
      <c r="Y202" s="65">
        <f t="shared" si="26"/>
        <v>2123810</v>
      </c>
    </row>
    <row r="203" spans="1:25" x14ac:dyDescent="0.25">
      <c r="A203" s="14">
        <v>45170</v>
      </c>
      <c r="B203" s="14"/>
      <c r="C203" s="66">
        <f t="shared" si="27"/>
        <v>148959</v>
      </c>
      <c r="D203" s="15">
        <f>19855+497</f>
        <v>20352</v>
      </c>
      <c r="E203" s="15">
        <v>59968</v>
      </c>
      <c r="F203" s="15">
        <v>1720</v>
      </c>
      <c r="G203" s="69">
        <f>Population!DK426+Population!DL426</f>
        <v>232257</v>
      </c>
      <c r="H203" s="59">
        <f>Population!DM426+Population!DN426</f>
        <v>61586</v>
      </c>
      <c r="I203" s="64">
        <f>Population!DP426</f>
        <v>153226</v>
      </c>
      <c r="J203" s="15">
        <f>Population!DR426</f>
        <v>28890</v>
      </c>
      <c r="K203" s="15">
        <f>Population!DO426+Population!DT426</f>
        <v>645387</v>
      </c>
      <c r="L203" s="15">
        <f>Population!DQ426</f>
        <v>15602</v>
      </c>
      <c r="M203" s="15">
        <f>Population!DS426</f>
        <v>52079</v>
      </c>
      <c r="N203" s="68">
        <f t="shared" si="23"/>
        <v>895184</v>
      </c>
      <c r="O203" s="63">
        <f>Population!DU426</f>
        <v>155956</v>
      </c>
      <c r="P203" s="15">
        <f>Population!DV426</f>
        <v>535543</v>
      </c>
      <c r="Q203" s="15">
        <f>Population!DW426</f>
        <v>28900</v>
      </c>
      <c r="R203" s="88">
        <f t="shared" si="18"/>
        <v>720399</v>
      </c>
      <c r="S203" s="88">
        <f t="shared" si="24"/>
        <v>1909426</v>
      </c>
      <c r="T203" s="17">
        <f>Population!DZ426</f>
        <v>97114</v>
      </c>
      <c r="U203" s="153">
        <f>Population!G426+Population!H426+Population!I426+Population!J426+Population!K426+Population!N426</f>
        <v>83250</v>
      </c>
      <c r="V203" s="67">
        <v>3380</v>
      </c>
      <c r="W203" s="15">
        <v>4603</v>
      </c>
      <c r="X203" s="89">
        <f t="shared" si="25"/>
        <v>188347</v>
      </c>
      <c r="Y203" s="65">
        <f t="shared" si="26"/>
        <v>2097773</v>
      </c>
    </row>
    <row r="204" spans="1:25" x14ac:dyDescent="0.25">
      <c r="A204" s="14">
        <v>45200</v>
      </c>
      <c r="B204" s="14"/>
      <c r="C204" s="66">
        <f t="shared" si="27"/>
        <v>148309</v>
      </c>
      <c r="D204" s="15">
        <f>19204+506</f>
        <v>19710</v>
      </c>
      <c r="E204" s="15">
        <v>59894</v>
      </c>
      <c r="F204" s="15">
        <v>1784</v>
      </c>
      <c r="G204" s="69">
        <f>Population!DK427+Population!DL427</f>
        <v>232593</v>
      </c>
      <c r="H204" s="59">
        <f>Population!DM427+Population!DN427</f>
        <v>62546</v>
      </c>
      <c r="I204" s="64">
        <f>Population!DP427</f>
        <v>155391</v>
      </c>
      <c r="J204" s="15">
        <f>Population!DR427</f>
        <v>29925</v>
      </c>
      <c r="K204" s="15">
        <f>Population!DO427+Population!DT427</f>
        <v>656062</v>
      </c>
      <c r="L204" s="15">
        <f>Population!DQ427</f>
        <v>16520</v>
      </c>
      <c r="M204" s="15">
        <f>Population!DS427</f>
        <v>53292</v>
      </c>
      <c r="N204" s="68">
        <f t="shared" si="23"/>
        <v>911190</v>
      </c>
      <c r="O204" s="63">
        <f>Population!DU427</f>
        <v>158627</v>
      </c>
      <c r="P204" s="15">
        <f>Population!DV427</f>
        <v>548506</v>
      </c>
      <c r="Q204" s="15">
        <f>Population!DW427</f>
        <v>29834</v>
      </c>
      <c r="R204" s="88">
        <f t="shared" si="18"/>
        <v>736967</v>
      </c>
      <c r="S204" s="88">
        <f t="shared" si="24"/>
        <v>1943296</v>
      </c>
      <c r="T204" s="17">
        <f>Population!DZ427</f>
        <v>100486</v>
      </c>
      <c r="U204" s="153">
        <f>Population!G427+Population!H427+Population!I427+Population!J427+Population!K427+Population!N427</f>
        <v>88456</v>
      </c>
      <c r="V204" s="67">
        <v>3366</v>
      </c>
      <c r="W204" s="15">
        <v>4657</v>
      </c>
      <c r="X204" s="89">
        <f t="shared" si="25"/>
        <v>196965</v>
      </c>
      <c r="Y204" s="65">
        <f t="shared" si="26"/>
        <v>2140261</v>
      </c>
    </row>
    <row r="205" spans="1:25" x14ac:dyDescent="0.25">
      <c r="A205" s="14">
        <v>45231</v>
      </c>
      <c r="B205" s="14"/>
      <c r="C205" s="66">
        <f t="shared" si="27"/>
        <v>144401</v>
      </c>
      <c r="D205" s="15">
        <f>19383+512</f>
        <v>19895</v>
      </c>
      <c r="E205" s="15">
        <v>60315</v>
      </c>
      <c r="F205" s="15">
        <v>1789</v>
      </c>
      <c r="G205" s="69">
        <f>Population!DK428+Population!DL428</f>
        <v>232957</v>
      </c>
      <c r="H205" s="59">
        <f>Population!DM428+Population!DN428</f>
        <v>63389</v>
      </c>
      <c r="I205" s="64">
        <f>Population!DP428</f>
        <v>152777</v>
      </c>
      <c r="J205" s="15">
        <f>Population!DR428</f>
        <v>30091</v>
      </c>
      <c r="K205" s="15">
        <f>Population!DO428+Population!DT428</f>
        <v>643647</v>
      </c>
      <c r="L205" s="15">
        <f>Population!DQ428</f>
        <v>17308</v>
      </c>
      <c r="M205" s="15">
        <f>Population!DS428</f>
        <v>54147</v>
      </c>
      <c r="N205" s="68">
        <f t="shared" si="23"/>
        <v>897970</v>
      </c>
      <c r="O205" s="63">
        <f>Population!DU428</f>
        <v>153444</v>
      </c>
      <c r="P205" s="15">
        <f>Population!DV428</f>
        <v>537858</v>
      </c>
      <c r="Q205" s="15">
        <f>Population!DW428</f>
        <v>30778</v>
      </c>
      <c r="R205" s="88">
        <f t="shared" si="18"/>
        <v>722080</v>
      </c>
      <c r="S205" s="88">
        <f t="shared" si="24"/>
        <v>1916396</v>
      </c>
      <c r="T205" s="17">
        <f>Population!DZ428</f>
        <v>97861</v>
      </c>
      <c r="U205" s="153">
        <f>Population!G428+Population!H428+Population!I428+Population!J428+Population!K428+Population!N428</f>
        <v>89663</v>
      </c>
      <c r="V205" s="67">
        <v>3499</v>
      </c>
      <c r="W205" s="15">
        <v>4591</v>
      </c>
      <c r="X205" s="89">
        <f t="shared" si="25"/>
        <v>195614</v>
      </c>
      <c r="Y205" s="65">
        <f t="shared" si="26"/>
        <v>2112010</v>
      </c>
    </row>
    <row r="206" spans="1:25" x14ac:dyDescent="0.25">
      <c r="A206" s="14">
        <v>45261</v>
      </c>
      <c r="B206" s="14"/>
      <c r="C206" s="66">
        <f t="shared" si="27"/>
        <v>143523</v>
      </c>
      <c r="D206" s="15">
        <v>19703</v>
      </c>
      <c r="E206" s="15">
        <v>60446</v>
      </c>
      <c r="F206" s="15">
        <v>1845</v>
      </c>
      <c r="G206" s="69">
        <f>Population!DK429+Population!DL429</f>
        <v>231946</v>
      </c>
      <c r="H206" s="59">
        <f>Population!DM429+Population!DN429</f>
        <v>63852</v>
      </c>
      <c r="I206" s="64">
        <f>Population!DP429</f>
        <v>151910</v>
      </c>
      <c r="J206" s="15">
        <f>Population!DR429</f>
        <v>30206</v>
      </c>
      <c r="K206" s="15">
        <f>Population!DO429+Population!DT429</f>
        <v>637441</v>
      </c>
      <c r="L206" s="15">
        <f>Population!DQ429</f>
        <v>18187</v>
      </c>
      <c r="M206" s="15">
        <f>Population!DS429</f>
        <v>54999</v>
      </c>
      <c r="N206" s="68">
        <f t="shared" si="23"/>
        <v>892743</v>
      </c>
      <c r="O206" s="63">
        <f>Population!DU429</f>
        <v>151507</v>
      </c>
      <c r="P206" s="15">
        <f>Population!DV429</f>
        <v>536202</v>
      </c>
      <c r="Q206" s="15">
        <f>Population!DW429</f>
        <v>31694</v>
      </c>
      <c r="R206" s="88">
        <f t="shared" si="18"/>
        <v>719403</v>
      </c>
      <c r="S206" s="88">
        <f t="shared" si="24"/>
        <v>1907944</v>
      </c>
      <c r="T206" s="17">
        <f>Population!DZ429</f>
        <v>97085</v>
      </c>
      <c r="U206" s="153">
        <f>Population!G429+Population!H429+Population!I429+Population!J429+Population!K429+Population!N429</f>
        <v>92938</v>
      </c>
      <c r="V206" s="67">
        <v>3520</v>
      </c>
      <c r="W206" s="15">
        <v>4481</v>
      </c>
      <c r="X206" s="89">
        <f t="shared" si="25"/>
        <v>198024</v>
      </c>
      <c r="Y206" s="65">
        <f t="shared" si="26"/>
        <v>2105968</v>
      </c>
    </row>
    <row r="207" spans="1:25" x14ac:dyDescent="0.25">
      <c r="A207" s="14">
        <v>45292</v>
      </c>
      <c r="B207" s="14"/>
      <c r="C207" s="66">
        <f t="shared" si="27"/>
        <v>144083</v>
      </c>
      <c r="D207" s="15">
        <v>19585</v>
      </c>
      <c r="E207" s="15">
        <v>60337</v>
      </c>
      <c r="F207" s="15">
        <v>1806</v>
      </c>
      <c r="G207" s="69">
        <f>Population!DK430+Population!DL430</f>
        <v>231546</v>
      </c>
      <c r="H207" s="59">
        <f>Population!DM430+Population!DN430</f>
        <v>64352</v>
      </c>
      <c r="I207" s="64">
        <f>Population!DP430</f>
        <v>151103</v>
      </c>
      <c r="J207" s="15">
        <f>Population!DR430</f>
        <v>30497</v>
      </c>
      <c r="K207" s="15">
        <f>Population!DO430+Population!DT430</f>
        <v>633398</v>
      </c>
      <c r="L207" s="15">
        <f>Population!DQ430</f>
        <v>19468</v>
      </c>
      <c r="M207" s="15">
        <f>Population!DS430</f>
        <v>56007</v>
      </c>
      <c r="N207" s="68">
        <f t="shared" si="23"/>
        <v>890473</v>
      </c>
      <c r="O207" s="63">
        <f>Population!DU430</f>
        <v>150937</v>
      </c>
      <c r="P207" s="15">
        <f>Population!DV430</f>
        <v>538116</v>
      </c>
      <c r="Q207" s="15">
        <f>Population!DW430</f>
        <v>32653</v>
      </c>
      <c r="R207" s="88">
        <f t="shared" ref="R207:R215" si="28">SUM(O207:Q207)</f>
        <v>721706</v>
      </c>
      <c r="S207" s="88">
        <f t="shared" si="24"/>
        <v>1908077</v>
      </c>
      <c r="T207" s="17">
        <f>Population!DZ430</f>
        <v>97077</v>
      </c>
      <c r="U207" s="153">
        <f>Population!G430+Population!H430+Population!I430+Population!J430+Population!K430+Population!N430</f>
        <v>95906</v>
      </c>
      <c r="V207" s="15">
        <v>3632</v>
      </c>
      <c r="W207" s="15">
        <v>4344</v>
      </c>
      <c r="X207" s="89">
        <f t="shared" si="25"/>
        <v>200959</v>
      </c>
      <c r="Y207" s="65">
        <f t="shared" si="26"/>
        <v>2109036</v>
      </c>
    </row>
    <row r="208" spans="1:25" x14ac:dyDescent="0.25">
      <c r="A208" s="14">
        <v>45323</v>
      </c>
      <c r="B208" s="14"/>
      <c r="C208" s="66">
        <f>G214-D208-E208-F208</f>
        <v>142108</v>
      </c>
      <c r="D208" s="15">
        <v>19809</v>
      </c>
      <c r="E208" s="15">
        <v>60967</v>
      </c>
      <c r="F208" s="15">
        <v>1818</v>
      </c>
      <c r="G208" s="69">
        <f>Population!DK431+Population!DL431</f>
        <v>230999</v>
      </c>
      <c r="H208" s="59">
        <f>Population!DM431+Population!DN431</f>
        <v>64849</v>
      </c>
      <c r="I208" s="64">
        <f>Population!DP431</f>
        <v>150753</v>
      </c>
      <c r="J208" s="15">
        <f>Population!DR431</f>
        <v>30779</v>
      </c>
      <c r="K208" s="15">
        <f>Population!DO431+Population!DT431</f>
        <v>628988</v>
      </c>
      <c r="L208" s="15">
        <f>Population!DQ431</f>
        <v>20712</v>
      </c>
      <c r="M208" s="15">
        <f>Population!DS431</f>
        <v>56632</v>
      </c>
      <c r="N208" s="68">
        <f t="shared" si="23"/>
        <v>887864</v>
      </c>
      <c r="O208" s="63">
        <f>Population!DU431</f>
        <v>149474</v>
      </c>
      <c r="P208" s="15">
        <f>Population!DV431</f>
        <v>538490</v>
      </c>
      <c r="Q208" s="15">
        <f>Population!DW431</f>
        <v>33703</v>
      </c>
      <c r="R208" s="88">
        <f t="shared" si="28"/>
        <v>721667</v>
      </c>
      <c r="S208" s="88">
        <f t="shared" si="24"/>
        <v>1905379</v>
      </c>
      <c r="T208" s="17">
        <f>Population!DZ431</f>
        <v>96335</v>
      </c>
      <c r="U208" s="153">
        <f>Population!G431+Population!H431+Population!I431+Population!J431+Population!K431+Population!N431</f>
        <v>99421</v>
      </c>
      <c r="V208" s="15">
        <v>3765</v>
      </c>
      <c r="W208" s="15">
        <v>4147</v>
      </c>
      <c r="X208" s="89">
        <f t="shared" si="25"/>
        <v>203668</v>
      </c>
      <c r="Y208" s="65">
        <f t="shared" si="26"/>
        <v>2109047</v>
      </c>
    </row>
    <row r="209" spans="1:27" x14ac:dyDescent="0.25">
      <c r="A209" s="14">
        <v>45352</v>
      </c>
      <c r="B209" s="14"/>
      <c r="C209" s="66">
        <f>G215-D209-E209-F209</f>
        <v>142379</v>
      </c>
      <c r="D209" s="15">
        <v>19807</v>
      </c>
      <c r="E209" s="15">
        <v>60875</v>
      </c>
      <c r="F209" s="15">
        <v>1805</v>
      </c>
      <c r="G209" s="69">
        <f>Population!DK432+Population!DL432</f>
        <v>229697</v>
      </c>
      <c r="H209" s="59">
        <f>Population!DM432+Population!DN432</f>
        <v>65430</v>
      </c>
      <c r="I209" s="64">
        <f>Population!DP432</f>
        <v>149192</v>
      </c>
      <c r="J209" s="15">
        <f>Population!DR432</f>
        <v>30928</v>
      </c>
      <c r="K209" s="15">
        <f>Population!DO432+Population!DT432</f>
        <v>621005</v>
      </c>
      <c r="L209" s="15">
        <f>Population!DQ432</f>
        <v>21775</v>
      </c>
      <c r="M209" s="15">
        <f>Population!DS432</f>
        <v>57008</v>
      </c>
      <c r="N209" s="68">
        <f t="shared" si="23"/>
        <v>879908</v>
      </c>
      <c r="O209" s="63">
        <f>Population!DU432</f>
        <v>146148</v>
      </c>
      <c r="P209" s="15">
        <f>Population!DV432</f>
        <v>530241</v>
      </c>
      <c r="Q209" s="15">
        <f>Population!DW432</f>
        <v>34823</v>
      </c>
      <c r="R209" s="88">
        <f t="shared" si="28"/>
        <v>711212</v>
      </c>
      <c r="S209" s="88">
        <f t="shared" si="24"/>
        <v>1886247</v>
      </c>
      <c r="T209" s="17">
        <f>Population!DZ432</f>
        <v>94729</v>
      </c>
      <c r="U209" s="153">
        <f>Population!G432+Population!H432+Population!I432+Population!J432+Population!K432+Population!N432</f>
        <v>101682</v>
      </c>
      <c r="V209" s="15">
        <v>3732</v>
      </c>
      <c r="W209" s="15">
        <v>4148</v>
      </c>
      <c r="X209" s="89">
        <f t="shared" si="25"/>
        <v>204291</v>
      </c>
      <c r="Y209" s="65">
        <f t="shared" si="26"/>
        <v>2090538</v>
      </c>
    </row>
    <row r="210" spans="1:27" x14ac:dyDescent="0.25">
      <c r="A210" s="14">
        <v>45383</v>
      </c>
      <c r="B210" s="14"/>
      <c r="C210" s="66">
        <f>G210-D210-E210-F210</f>
        <v>144795</v>
      </c>
      <c r="D210" s="15">
        <v>19168</v>
      </c>
      <c r="E210" s="15">
        <v>60678</v>
      </c>
      <c r="F210" s="15">
        <v>1759</v>
      </c>
      <c r="G210" s="69">
        <f>Population!DK433+Population!DL433</f>
        <v>226400</v>
      </c>
      <c r="H210" s="59">
        <f>Population!DM433+Population!DN433</f>
        <v>64814</v>
      </c>
      <c r="I210" s="64">
        <f>Population!DP433</f>
        <v>143806</v>
      </c>
      <c r="J210" s="15">
        <f>Population!DR433</f>
        <v>30982</v>
      </c>
      <c r="K210" s="15">
        <f>Population!DO433+Population!DT433</f>
        <v>604475</v>
      </c>
      <c r="L210" s="15">
        <f>Population!DQ433</f>
        <v>22555</v>
      </c>
      <c r="M210" s="15">
        <f>Population!DS433</f>
        <v>53091</v>
      </c>
      <c r="N210" s="68">
        <f t="shared" si="23"/>
        <v>854909</v>
      </c>
      <c r="O210" s="63">
        <f>Population!DU433</f>
        <v>138422</v>
      </c>
      <c r="P210" s="15">
        <f>Population!DV433</f>
        <v>503986</v>
      </c>
      <c r="Q210" s="15">
        <f>Population!DW433</f>
        <v>35159</v>
      </c>
      <c r="R210" s="88">
        <f t="shared" si="28"/>
        <v>677567</v>
      </c>
      <c r="S210" s="88">
        <f t="shared" si="24"/>
        <v>1823690</v>
      </c>
      <c r="T210" s="17">
        <f>Population!DZ433</f>
        <v>91170</v>
      </c>
      <c r="U210" s="153">
        <f>Population!G433+Population!H433+Population!I433+Population!J433+Population!K433+Population!N433</f>
        <v>100129</v>
      </c>
      <c r="V210" s="15">
        <v>3748</v>
      </c>
      <c r="W210" s="15">
        <v>4217</v>
      </c>
      <c r="X210" s="89">
        <f t="shared" si="25"/>
        <v>199264</v>
      </c>
      <c r="Y210" s="65">
        <f t="shared" si="26"/>
        <v>2022954</v>
      </c>
    </row>
    <row r="211" spans="1:27" x14ac:dyDescent="0.25">
      <c r="A211" s="14">
        <v>45413</v>
      </c>
      <c r="B211" s="14"/>
      <c r="C211" s="66">
        <f t="shared" ref="C211:C216" si="29">G211-D211-E211-F211</f>
        <v>142507</v>
      </c>
      <c r="D211" s="15">
        <v>19568</v>
      </c>
      <c r="E211" s="15">
        <v>61665</v>
      </c>
      <c r="F211" s="15">
        <v>1777</v>
      </c>
      <c r="G211" s="69">
        <f>Population!DK434+Population!DL434</f>
        <v>225517</v>
      </c>
      <c r="H211" s="59">
        <f>Population!DM434+Population!DN434</f>
        <v>66043</v>
      </c>
      <c r="I211" s="64">
        <f>Population!DP434</f>
        <v>143634</v>
      </c>
      <c r="J211" s="15">
        <f>Population!DR434</f>
        <v>27899</v>
      </c>
      <c r="K211" s="15">
        <f>Population!DO434+Population!DT434</f>
        <v>592428</v>
      </c>
      <c r="L211" s="15">
        <f>Population!DQ434</f>
        <v>23200</v>
      </c>
      <c r="M211" s="15">
        <f>Population!DS434</f>
        <v>53568</v>
      </c>
      <c r="N211" s="68">
        <f t="shared" si="23"/>
        <v>840729</v>
      </c>
      <c r="O211" s="63">
        <f>Population!DU434</f>
        <v>136208</v>
      </c>
      <c r="P211" s="15">
        <f>Population!DV434</f>
        <v>499483</v>
      </c>
      <c r="Q211" s="15">
        <f>Population!DW434</f>
        <v>36821</v>
      </c>
      <c r="R211" s="88">
        <f t="shared" si="28"/>
        <v>672512</v>
      </c>
      <c r="S211" s="88">
        <f t="shared" si="24"/>
        <v>1804801</v>
      </c>
      <c r="T211" s="17">
        <f>Population!DZ434</f>
        <v>90203</v>
      </c>
      <c r="U211" s="153">
        <f>Population!G434+Population!H434+Population!I434+Population!J434+Population!K434+Population!N434</f>
        <v>99679</v>
      </c>
      <c r="V211" s="15">
        <v>3667</v>
      </c>
      <c r="W211" s="15">
        <v>4315</v>
      </c>
      <c r="X211" s="89">
        <f t="shared" si="25"/>
        <v>197864</v>
      </c>
      <c r="Y211" s="65">
        <f t="shared" si="26"/>
        <v>2002665</v>
      </c>
    </row>
    <row r="212" spans="1:27" x14ac:dyDescent="0.25">
      <c r="A212" s="14">
        <v>45444</v>
      </c>
      <c r="B212" s="14"/>
      <c r="C212" s="66">
        <f t="shared" si="29"/>
        <v>144151</v>
      </c>
      <c r="D212" s="15">
        <v>19193</v>
      </c>
      <c r="E212" s="15">
        <v>60703</v>
      </c>
      <c r="F212" s="15">
        <v>1764</v>
      </c>
      <c r="G212" s="69">
        <f>Population!DK435+Population!DL435</f>
        <v>225811</v>
      </c>
      <c r="H212" s="59">
        <f>Population!DM435+Population!DN435</f>
        <v>67157</v>
      </c>
      <c r="I212" s="64">
        <f>Population!DP435</f>
        <v>142125</v>
      </c>
      <c r="J212" s="15">
        <f>Population!DR435</f>
        <v>28653</v>
      </c>
      <c r="K212" s="15">
        <f>Population!DO435+Population!DT435</f>
        <v>590825</v>
      </c>
      <c r="L212" s="15">
        <f>Population!DQ435</f>
        <v>23966</v>
      </c>
      <c r="M212" s="15">
        <f>Population!DS435</f>
        <v>53162</v>
      </c>
      <c r="N212" s="68">
        <f t="shared" si="23"/>
        <v>838731</v>
      </c>
      <c r="O212" s="63">
        <f>Population!DU435</f>
        <v>134105</v>
      </c>
      <c r="P212" s="15">
        <f>Population!DV435</f>
        <v>492546</v>
      </c>
      <c r="Q212" s="15">
        <f>Population!DW435</f>
        <v>37888</v>
      </c>
      <c r="R212" s="88">
        <f t="shared" si="28"/>
        <v>664539</v>
      </c>
      <c r="S212" s="88">
        <f t="shared" si="24"/>
        <v>1796238</v>
      </c>
      <c r="T212" s="17">
        <f>Population!DZ435</f>
        <v>92496</v>
      </c>
      <c r="U212" s="153">
        <f>Population!G435+Population!H435+Population!I435+Population!J435+Population!K435+Population!N435</f>
        <v>98035</v>
      </c>
      <c r="V212" s="15">
        <v>3844</v>
      </c>
      <c r="W212" s="15">
        <v>4394</v>
      </c>
      <c r="X212" s="89">
        <f t="shared" si="25"/>
        <v>198769</v>
      </c>
      <c r="Y212" s="65">
        <f t="shared" si="26"/>
        <v>1995007</v>
      </c>
    </row>
    <row r="213" spans="1:27" ht="9" customHeight="1" x14ac:dyDescent="0.25">
      <c r="A213" s="14"/>
      <c r="B213" s="14"/>
      <c r="C213" s="66"/>
      <c r="D213" s="15"/>
      <c r="E213" s="15"/>
      <c r="F213" s="15"/>
      <c r="G213" s="69"/>
      <c r="H213" s="59"/>
      <c r="I213" s="64"/>
      <c r="J213" s="15"/>
      <c r="K213" s="15"/>
      <c r="L213" s="15"/>
      <c r="M213" s="15"/>
      <c r="N213" s="68"/>
      <c r="O213" s="63"/>
      <c r="P213" s="15"/>
      <c r="Q213" s="15"/>
      <c r="R213" s="88"/>
      <c r="S213" s="88"/>
      <c r="T213" s="17"/>
      <c r="U213" s="153"/>
      <c r="W213" s="15"/>
      <c r="X213" s="89"/>
      <c r="Y213" s="65"/>
    </row>
    <row r="214" spans="1:27" ht="15.6" customHeight="1" x14ac:dyDescent="0.25">
      <c r="A214" s="14">
        <v>45474</v>
      </c>
      <c r="B214" s="14"/>
      <c r="C214" s="66">
        <f t="shared" si="29"/>
        <v>142906</v>
      </c>
      <c r="D214" s="15">
        <v>19243</v>
      </c>
      <c r="E214" s="15">
        <v>60733</v>
      </c>
      <c r="F214" s="15">
        <v>1820</v>
      </c>
      <c r="G214" s="69">
        <f>Population!DK436+Population!DL436</f>
        <v>224702</v>
      </c>
      <c r="H214" s="59">
        <f>Population!DM436+Population!DN436</f>
        <v>67156</v>
      </c>
      <c r="I214" s="64">
        <f>Population!DP436</f>
        <v>141024</v>
      </c>
      <c r="J214" s="15">
        <f>Population!DR436</f>
        <v>29056</v>
      </c>
      <c r="K214" s="15">
        <f>Population!DO436+Population!DT436</f>
        <v>589390</v>
      </c>
      <c r="L214" s="15">
        <f>Population!DQ436</f>
        <v>24310</v>
      </c>
      <c r="M214" s="15">
        <f>Population!DS436</f>
        <v>52532</v>
      </c>
      <c r="N214" s="68">
        <f t="shared" si="23"/>
        <v>836312</v>
      </c>
      <c r="O214" s="63">
        <f>Population!DU436</f>
        <v>132023</v>
      </c>
      <c r="P214" s="15">
        <f>Population!DV436</f>
        <v>487720</v>
      </c>
      <c r="Q214" s="15">
        <f>Population!DW436</f>
        <v>38556</v>
      </c>
      <c r="R214" s="88">
        <f t="shared" si="28"/>
        <v>658299</v>
      </c>
      <c r="S214" s="88">
        <f t="shared" si="24"/>
        <v>1786469</v>
      </c>
      <c r="T214" s="17">
        <f>Population!DZ436</f>
        <v>93612</v>
      </c>
      <c r="U214" s="153">
        <f>Population!G436+Population!H436+Population!I436+Population!J436+Population!K436+Population!N436</f>
        <v>96502</v>
      </c>
      <c r="V214" s="67">
        <f>Population!F436</f>
        <v>3966</v>
      </c>
      <c r="W214" s="15">
        <f>Population!CS436+Population!CT436</f>
        <v>4428</v>
      </c>
      <c r="X214" s="89">
        <f t="shared" si="25"/>
        <v>198508</v>
      </c>
      <c r="Y214" s="65">
        <f t="shared" si="26"/>
        <v>1984977</v>
      </c>
    </row>
    <row r="215" spans="1:27" ht="13.2" customHeight="1" x14ac:dyDescent="0.25">
      <c r="A215" s="14">
        <v>45505</v>
      </c>
      <c r="B215" s="14"/>
      <c r="C215" s="58">
        <f t="shared" si="29"/>
        <v>142283</v>
      </c>
      <c r="D215" s="18">
        <f>18756+497</f>
        <v>19253</v>
      </c>
      <c r="E215" s="18">
        <v>61514</v>
      </c>
      <c r="F215" s="18">
        <v>1816</v>
      </c>
      <c r="G215" s="156">
        <f>Population!DK437+Population!DL437</f>
        <v>224866</v>
      </c>
      <c r="H215" s="59">
        <f>Population!DM437+Population!DN437</f>
        <v>67169</v>
      </c>
      <c r="I215" s="64">
        <f>Population!DP437</f>
        <v>140802</v>
      </c>
      <c r="J215" s="18">
        <f>Population!DR437</f>
        <v>28313</v>
      </c>
      <c r="K215" s="18">
        <f>Population!DO437+Population!DT437</f>
        <v>587429</v>
      </c>
      <c r="L215" s="18">
        <f>Population!DQ437</f>
        <v>25085</v>
      </c>
      <c r="M215" s="18">
        <f>Population!DS437</f>
        <v>52109</v>
      </c>
      <c r="N215" s="68">
        <f t="shared" si="23"/>
        <v>833738</v>
      </c>
      <c r="O215" s="63">
        <f>Population!DU437</f>
        <v>131414</v>
      </c>
      <c r="P215" s="18">
        <f>Population!DV437</f>
        <v>489476</v>
      </c>
      <c r="Q215" s="18">
        <f>Population!DW437</f>
        <v>39609</v>
      </c>
      <c r="R215" s="88">
        <f t="shared" si="28"/>
        <v>660499</v>
      </c>
      <c r="S215" s="88">
        <f t="shared" si="24"/>
        <v>1786272</v>
      </c>
      <c r="T215" s="17">
        <f>Population!DZ437</f>
        <v>94335</v>
      </c>
      <c r="U215" s="153">
        <f>Population!G437+Population!H437+Population!I437+Population!J437+Population!K437+Population!N437</f>
        <v>94568</v>
      </c>
      <c r="V215" s="67">
        <f>Population!F437</f>
        <v>3973</v>
      </c>
      <c r="W215" s="15">
        <f>Population!CS437+Population!CT437</f>
        <v>4508</v>
      </c>
      <c r="X215" s="89">
        <f t="shared" si="25"/>
        <v>197384</v>
      </c>
      <c r="Y215" s="65">
        <f t="shared" si="26"/>
        <v>1983656</v>
      </c>
    </row>
    <row r="216" spans="1:27" ht="13.95" customHeight="1" x14ac:dyDescent="0.25">
      <c r="A216" s="14">
        <v>45536</v>
      </c>
      <c r="B216" s="14"/>
      <c r="C216" s="66">
        <f t="shared" si="29"/>
        <v>142051</v>
      </c>
      <c r="D216" s="15">
        <f>18772+500</f>
        <v>19272</v>
      </c>
      <c r="E216" s="15">
        <v>61775</v>
      </c>
      <c r="F216" s="15">
        <v>1861</v>
      </c>
      <c r="G216" s="156">
        <f>Population!DK438+Population!DL438</f>
        <v>224959</v>
      </c>
      <c r="H216" s="59">
        <f>Population!DM438+Population!DN438</f>
        <v>67318</v>
      </c>
      <c r="I216" s="64">
        <f>Population!DP438</f>
        <v>140062</v>
      </c>
      <c r="J216" s="18">
        <f>Population!DR438</f>
        <v>28368</v>
      </c>
      <c r="K216" s="18">
        <f>Population!DO438+Population!DT438</f>
        <v>586547</v>
      </c>
      <c r="L216" s="18">
        <f>Population!DQ438</f>
        <v>25829</v>
      </c>
      <c r="M216" s="18">
        <f>Population!DS438</f>
        <v>52347</v>
      </c>
      <c r="N216" s="68">
        <f t="shared" ref="N216" si="30">SUM(I216:M216)</f>
        <v>833153</v>
      </c>
      <c r="O216" s="63">
        <f>Population!DU438</f>
        <v>130138</v>
      </c>
      <c r="P216" s="18">
        <f>Population!DV438</f>
        <v>488593</v>
      </c>
      <c r="Q216" s="18">
        <f>Population!DW438</f>
        <v>41285</v>
      </c>
      <c r="R216" s="88">
        <f t="shared" ref="R216" si="31">SUM(O216:Q216)</f>
        <v>660016</v>
      </c>
      <c r="S216" s="88">
        <f t="shared" ref="S216" si="32">G216+N216+R216+H216</f>
        <v>1785446</v>
      </c>
      <c r="T216" s="17">
        <f>Population!DZ438</f>
        <v>95429</v>
      </c>
      <c r="U216" s="153">
        <f>Population!G438+Population!H438+Population!I438+Population!J438+Population!K438+Population!N438</f>
        <v>93841</v>
      </c>
      <c r="V216" s="67">
        <f>Population!F438</f>
        <v>4090</v>
      </c>
      <c r="W216" s="15">
        <f>Population!CS438+Population!CT438</f>
        <v>4506</v>
      </c>
      <c r="X216" s="89">
        <f t="shared" ref="X216" si="33">SUM(T216:W216)</f>
        <v>197866</v>
      </c>
      <c r="Y216" s="65">
        <f t="shared" ref="Y216" si="34">S216+X216</f>
        <v>1983312</v>
      </c>
      <c r="AA216" s="32"/>
    </row>
    <row r="217" spans="1:27" ht="12.6" customHeight="1" x14ac:dyDescent="0.25">
      <c r="A217" s="14">
        <v>45566</v>
      </c>
      <c r="B217" s="14"/>
      <c r="C217" s="66"/>
      <c r="D217" s="15"/>
      <c r="E217" s="15"/>
      <c r="F217" s="15"/>
      <c r="G217" s="69"/>
      <c r="H217" s="59"/>
      <c r="I217" s="64"/>
      <c r="J217" s="15"/>
      <c r="K217" s="15"/>
      <c r="L217" s="15"/>
      <c r="M217" s="15"/>
      <c r="N217" s="68"/>
      <c r="O217" s="63"/>
      <c r="P217" s="15"/>
      <c r="Q217" s="16">
        <f>Population!DW439</f>
        <v>0</v>
      </c>
      <c r="R217" s="88"/>
      <c r="S217" s="88"/>
      <c r="T217" s="17"/>
      <c r="U217" s="17"/>
      <c r="V217" s="67"/>
      <c r="W217" s="15"/>
      <c r="X217" s="89"/>
      <c r="Y217" s="65"/>
    </row>
    <row r="218" spans="1:27" ht="12.6" customHeight="1" x14ac:dyDescent="0.25">
      <c r="A218" s="14">
        <v>45597</v>
      </c>
      <c r="B218" s="14"/>
      <c r="C218" s="66"/>
      <c r="D218" s="15"/>
      <c r="E218" s="15"/>
      <c r="F218" s="15"/>
      <c r="G218" s="69"/>
      <c r="H218" s="59"/>
      <c r="I218" s="64"/>
      <c r="J218" s="15"/>
      <c r="K218" s="15"/>
      <c r="L218" s="15"/>
      <c r="M218" s="15"/>
      <c r="N218" s="68"/>
      <c r="O218" s="63"/>
      <c r="P218" s="15"/>
      <c r="Q218" s="16">
        <f>Population!DW440</f>
        <v>0</v>
      </c>
      <c r="R218" s="88"/>
      <c r="S218" s="88"/>
      <c r="T218" s="17"/>
      <c r="U218" s="17"/>
      <c r="V218" s="67"/>
      <c r="W218" s="15"/>
      <c r="X218" s="89"/>
      <c r="Y218" s="65"/>
    </row>
    <row r="219" spans="1:27" x14ac:dyDescent="0.25">
      <c r="A219" s="14">
        <v>45627</v>
      </c>
      <c r="B219" s="14"/>
      <c r="C219" s="66"/>
      <c r="D219" s="15"/>
      <c r="E219" s="15"/>
      <c r="F219" s="15"/>
      <c r="G219" s="69"/>
      <c r="H219" s="59"/>
      <c r="I219" s="64"/>
      <c r="J219" s="15"/>
      <c r="L219" s="15"/>
      <c r="M219" s="15"/>
      <c r="N219" s="68"/>
      <c r="O219" s="63"/>
      <c r="P219" s="15"/>
      <c r="Q219" s="16">
        <f>Population!DW441</f>
        <v>0</v>
      </c>
      <c r="R219" s="88"/>
      <c r="S219" s="88"/>
      <c r="T219" s="17"/>
      <c r="U219" s="17"/>
      <c r="V219" s="67"/>
      <c r="W219" s="15"/>
      <c r="X219" s="89"/>
      <c r="Y219" s="65"/>
    </row>
    <row r="220" spans="1:27" x14ac:dyDescent="0.25">
      <c r="A220" s="14">
        <v>45658</v>
      </c>
      <c r="B220" s="14"/>
      <c r="C220" s="66"/>
      <c r="D220" s="15"/>
      <c r="E220" s="15"/>
      <c r="F220" s="15"/>
      <c r="G220" s="69"/>
      <c r="H220" s="59"/>
      <c r="I220" s="64"/>
      <c r="J220" s="15"/>
      <c r="K220" s="15"/>
      <c r="L220" s="15"/>
      <c r="M220" s="15"/>
      <c r="N220" s="68"/>
      <c r="O220" s="63"/>
      <c r="P220" s="15"/>
      <c r="Q220" s="16">
        <f>Population!DW442</f>
        <v>0</v>
      </c>
      <c r="R220" s="88"/>
      <c r="S220" s="88"/>
      <c r="T220" s="17"/>
      <c r="U220" s="17"/>
      <c r="V220" s="67"/>
      <c r="W220" s="15"/>
      <c r="X220" s="89"/>
      <c r="Y220" s="65"/>
    </row>
    <row r="221" spans="1:27" x14ac:dyDescent="0.25">
      <c r="A221" s="14">
        <v>45689</v>
      </c>
      <c r="B221" s="14"/>
      <c r="C221" s="66"/>
      <c r="D221" s="15"/>
      <c r="E221" s="15"/>
      <c r="F221" s="15"/>
      <c r="G221" s="69"/>
      <c r="H221" s="59"/>
      <c r="I221" s="64"/>
      <c r="J221" s="15"/>
      <c r="K221" s="15"/>
      <c r="L221" s="15"/>
      <c r="M221" s="15"/>
      <c r="N221" s="68"/>
      <c r="O221" s="63"/>
      <c r="P221" s="15"/>
      <c r="Q221" s="16">
        <f>Population!DW443</f>
        <v>0</v>
      </c>
      <c r="R221" s="88"/>
      <c r="S221" s="88"/>
      <c r="T221" s="17"/>
      <c r="U221" s="17"/>
      <c r="V221" s="67"/>
      <c r="W221" s="15"/>
      <c r="X221" s="89"/>
      <c r="Y221" s="65"/>
    </row>
    <row r="222" spans="1:27" x14ac:dyDescent="0.25">
      <c r="A222" s="14">
        <v>45717</v>
      </c>
      <c r="B222" s="14"/>
      <c r="C222" s="66"/>
      <c r="D222" s="15"/>
      <c r="E222" s="15"/>
      <c r="F222" s="15"/>
      <c r="G222" s="69"/>
      <c r="H222" s="59"/>
      <c r="I222" s="64"/>
      <c r="J222" s="15"/>
      <c r="K222" s="15"/>
      <c r="L222" s="15"/>
      <c r="M222" s="15"/>
      <c r="N222" s="68"/>
      <c r="O222" s="63"/>
      <c r="P222" s="15"/>
      <c r="Q222" s="16"/>
      <c r="R222" s="88"/>
      <c r="S222" s="88"/>
      <c r="T222" s="17"/>
      <c r="U222" s="17"/>
      <c r="V222" s="67"/>
      <c r="W222" s="15"/>
      <c r="X222" s="89"/>
      <c r="Y222" s="65"/>
    </row>
    <row r="223" spans="1:27" x14ac:dyDescent="0.25">
      <c r="A223" s="14">
        <v>45748</v>
      </c>
      <c r="B223" s="14"/>
      <c r="C223" s="66"/>
      <c r="D223" s="15"/>
      <c r="E223" s="15"/>
      <c r="F223" s="15"/>
      <c r="G223" s="69"/>
      <c r="H223" s="59"/>
      <c r="I223" s="64"/>
      <c r="J223" s="15"/>
      <c r="K223" s="15"/>
      <c r="L223" s="15"/>
      <c r="M223" s="15"/>
      <c r="N223" s="68"/>
      <c r="O223" s="63"/>
      <c r="P223" s="15"/>
      <c r="Q223" s="16"/>
      <c r="R223" s="88"/>
      <c r="S223" s="88"/>
      <c r="T223" s="17"/>
      <c r="U223" s="17"/>
      <c r="V223" s="67"/>
      <c r="W223" s="15"/>
      <c r="X223" s="89"/>
      <c r="Y223" s="65"/>
    </row>
    <row r="224" spans="1:27" x14ac:dyDescent="0.25">
      <c r="A224" s="14">
        <v>45778</v>
      </c>
      <c r="B224" s="14"/>
      <c r="C224" s="66"/>
      <c r="D224" s="15"/>
      <c r="E224" s="15"/>
      <c r="F224" s="15"/>
      <c r="G224" s="69"/>
      <c r="H224" s="59"/>
      <c r="I224" s="64"/>
      <c r="J224" s="15"/>
      <c r="K224" s="15"/>
      <c r="L224" s="15"/>
      <c r="M224" s="15"/>
      <c r="N224" s="68"/>
      <c r="O224" s="63"/>
      <c r="P224" s="15"/>
      <c r="Q224" s="16"/>
      <c r="R224" s="88"/>
      <c r="S224" s="88"/>
      <c r="T224" s="17"/>
      <c r="U224" s="17"/>
      <c r="V224" s="67"/>
      <c r="W224" s="15"/>
      <c r="X224" s="89"/>
      <c r="Y224" s="65"/>
    </row>
    <row r="225" spans="1:26" x14ac:dyDescent="0.25">
      <c r="A225" s="14">
        <v>45809</v>
      </c>
      <c r="B225" s="14"/>
      <c r="C225" s="66"/>
      <c r="D225" s="15"/>
      <c r="E225" s="15"/>
      <c r="F225" s="15"/>
      <c r="G225" s="69"/>
      <c r="H225" s="59"/>
      <c r="I225" s="64"/>
      <c r="J225" s="15"/>
      <c r="K225" s="15"/>
      <c r="L225" s="15"/>
      <c r="M225" s="15"/>
      <c r="N225" s="68"/>
      <c r="O225" s="63"/>
      <c r="P225" s="15"/>
      <c r="Q225" s="16"/>
      <c r="R225" s="88"/>
      <c r="S225" s="88"/>
      <c r="T225" s="17"/>
      <c r="U225" s="17"/>
      <c r="V225" s="67"/>
      <c r="W225" s="15"/>
      <c r="X225" s="89"/>
      <c r="Y225" s="65"/>
    </row>
    <row r="226" spans="1:26" x14ac:dyDescent="0.25">
      <c r="A226" s="14"/>
      <c r="B226" s="14"/>
      <c r="C226" s="15"/>
      <c r="D226" s="15"/>
      <c r="E226" s="15"/>
      <c r="F226" s="15"/>
      <c r="G226" s="69"/>
      <c r="H226" s="59"/>
      <c r="I226" s="64"/>
      <c r="J226" s="15"/>
      <c r="K226" s="15"/>
      <c r="L226" s="15"/>
      <c r="M226" s="15"/>
      <c r="N226" s="16"/>
      <c r="O226" s="16"/>
      <c r="P226" s="16"/>
      <c r="Q226" s="18"/>
      <c r="R226" s="16"/>
      <c r="S226" s="16"/>
      <c r="T226" s="17"/>
      <c r="U226" s="17"/>
      <c r="V226" s="15"/>
      <c r="W226" s="15"/>
      <c r="X226" s="16"/>
      <c r="Y226" s="39"/>
    </row>
    <row r="227" spans="1:26" x14ac:dyDescent="0.25">
      <c r="A227" s="36" t="s">
        <v>102</v>
      </c>
      <c r="B227" s="36"/>
      <c r="G227" s="69"/>
      <c r="H227" s="59"/>
      <c r="I227" s="15"/>
      <c r="K227" s="15"/>
      <c r="L227" s="15"/>
      <c r="Q227" s="18"/>
      <c r="T227" s="17"/>
      <c r="U227" s="17"/>
      <c r="V227" s="15"/>
      <c r="W227" s="15"/>
    </row>
    <row r="228" spans="1:26" x14ac:dyDescent="0.25">
      <c r="A228" s="165" t="s">
        <v>326</v>
      </c>
      <c r="B228" s="165"/>
      <c r="C228" s="166">
        <f>AVERAGE(C136:C147)</f>
        <v>153482.58333333334</v>
      </c>
      <c r="D228" s="166">
        <f t="shared" ref="D228:Y228" si="35">AVERAGE(D136:D147)</f>
        <v>19649.083333333332</v>
      </c>
      <c r="E228" s="166">
        <f t="shared" si="35"/>
        <v>49135.916666666664</v>
      </c>
      <c r="F228" s="166">
        <f t="shared" si="35"/>
        <v>1236.1666666666667</v>
      </c>
      <c r="G228" s="166">
        <f t="shared" si="35"/>
        <v>223503.75</v>
      </c>
      <c r="H228" s="166">
        <f t="shared" si="35"/>
        <v>62199.916666666664</v>
      </c>
      <c r="I228" s="166">
        <f t="shared" si="35"/>
        <v>112338.16666666667</v>
      </c>
      <c r="J228" s="166">
        <f t="shared" si="35"/>
        <v>15111.5</v>
      </c>
      <c r="K228" s="166">
        <f t="shared" si="35"/>
        <v>506812.25</v>
      </c>
      <c r="L228" s="166">
        <f t="shared" si="35"/>
        <v>9067.75</v>
      </c>
      <c r="M228" s="166">
        <f t="shared" si="35"/>
        <v>88732.5</v>
      </c>
      <c r="N228" s="166">
        <f t="shared" si="35"/>
        <v>732062.16666666663</v>
      </c>
      <c r="O228" s="166">
        <f t="shared" si="35"/>
        <v>44312.166666666664</v>
      </c>
      <c r="P228" s="166">
        <f t="shared" si="35"/>
        <v>76912.833333333328</v>
      </c>
      <c r="Q228" s="166">
        <f t="shared" si="35"/>
        <v>2129.8333333333335</v>
      </c>
      <c r="R228" s="166">
        <f t="shared" si="35"/>
        <v>122289.91666666667</v>
      </c>
      <c r="S228" s="166">
        <f t="shared" si="35"/>
        <v>1140055.75</v>
      </c>
      <c r="T228" s="166">
        <f t="shared" si="35"/>
        <v>64641.416666666664</v>
      </c>
      <c r="U228" s="166">
        <f t="shared" si="35"/>
        <v>71324.75</v>
      </c>
      <c r="V228" s="166">
        <f t="shared" si="35"/>
        <v>1202</v>
      </c>
      <c r="W228" s="166">
        <f t="shared" si="35"/>
        <v>0</v>
      </c>
      <c r="X228" s="166">
        <f t="shared" si="35"/>
        <v>137168.16666666666</v>
      </c>
      <c r="Y228" s="166">
        <f t="shared" si="35"/>
        <v>1277223.9166666667</v>
      </c>
    </row>
    <row r="229" spans="1:26" s="5" customFormat="1" x14ac:dyDescent="0.25">
      <c r="A229" s="165" t="s">
        <v>168</v>
      </c>
      <c r="B229" s="165"/>
      <c r="C229" s="166">
        <f>AVERAGE(C149:C160)</f>
        <v>151464.91666666666</v>
      </c>
      <c r="D229" s="166">
        <f t="shared" ref="D229:Y229" si="36">AVERAGE(D149:D160)</f>
        <v>19845.666666666668</v>
      </c>
      <c r="E229" s="166">
        <f t="shared" si="36"/>
        <v>50880.166666666664</v>
      </c>
      <c r="F229" s="166">
        <f t="shared" si="36"/>
        <v>1316.6666666666667</v>
      </c>
      <c r="G229" s="166">
        <f t="shared" si="36"/>
        <v>223036.5</v>
      </c>
      <c r="H229" s="166">
        <f t="shared" si="36"/>
        <v>64880.25</v>
      </c>
      <c r="I229" s="166">
        <f t="shared" si="36"/>
        <v>108704.5</v>
      </c>
      <c r="J229" s="166">
        <f t="shared" si="36"/>
        <v>14170.75</v>
      </c>
      <c r="K229" s="166">
        <f t="shared" si="36"/>
        <v>522458.33333333331</v>
      </c>
      <c r="L229" s="166">
        <f t="shared" si="36"/>
        <v>1408.5</v>
      </c>
      <c r="M229" s="166">
        <f t="shared" si="36"/>
        <v>43787.5</v>
      </c>
      <c r="N229" s="166">
        <f t="shared" si="36"/>
        <v>690529.58333333337</v>
      </c>
      <c r="O229" s="166">
        <f t="shared" si="36"/>
        <v>112513.33333333333</v>
      </c>
      <c r="P229" s="166">
        <f t="shared" si="36"/>
        <v>231695.83333333334</v>
      </c>
      <c r="Q229" s="166">
        <f t="shared" si="36"/>
        <v>12667</v>
      </c>
      <c r="R229" s="166">
        <f t="shared" si="36"/>
        <v>356876.16666666669</v>
      </c>
      <c r="S229" s="166">
        <f t="shared" si="36"/>
        <v>1335322.5</v>
      </c>
      <c r="T229" s="166">
        <f t="shared" si="36"/>
        <v>71743.333333333328</v>
      </c>
      <c r="U229" s="166">
        <f t="shared" si="36"/>
        <v>74669.166666666672</v>
      </c>
      <c r="V229" s="166">
        <f t="shared" si="36"/>
        <v>1547.5</v>
      </c>
      <c r="W229" s="166">
        <f t="shared" si="36"/>
        <v>0</v>
      </c>
      <c r="X229" s="166">
        <f t="shared" si="36"/>
        <v>147960</v>
      </c>
      <c r="Y229" s="166">
        <f t="shared" si="36"/>
        <v>1483282.5</v>
      </c>
    </row>
    <row r="230" spans="1:26" s="5" customFormat="1" x14ac:dyDescent="0.25">
      <c r="A230" s="165" t="s">
        <v>181</v>
      </c>
      <c r="B230" s="165"/>
      <c r="C230" s="166">
        <f>AVERAGE(C162:C173)</f>
        <v>156993.83333333334</v>
      </c>
      <c r="D230" s="166">
        <f t="shared" ref="D230:Y230" si="37">AVERAGE(D162:D173)</f>
        <v>19443.75</v>
      </c>
      <c r="E230" s="166">
        <f t="shared" si="37"/>
        <v>54092.416666666664</v>
      </c>
      <c r="F230" s="166">
        <f t="shared" si="37"/>
        <v>1459.3333333333333</v>
      </c>
      <c r="G230" s="166">
        <f t="shared" si="37"/>
        <v>231170.66666666666</v>
      </c>
      <c r="H230" s="166">
        <f t="shared" si="37"/>
        <v>66967.333333333328</v>
      </c>
      <c r="I230" s="166">
        <f t="shared" si="37"/>
        <v>130855.41666666667</v>
      </c>
      <c r="J230" s="166">
        <f t="shared" si="37"/>
        <v>20559.083333333332</v>
      </c>
      <c r="K230" s="166">
        <f t="shared" si="37"/>
        <v>584056.83333333337</v>
      </c>
      <c r="L230" s="166">
        <f t="shared" si="37"/>
        <v>1612.3333333333333</v>
      </c>
      <c r="M230" s="166">
        <f t="shared" si="37"/>
        <v>45737.583333333336</v>
      </c>
      <c r="N230" s="166">
        <f t="shared" si="37"/>
        <v>782821.25</v>
      </c>
      <c r="O230" s="166">
        <f t="shared" si="37"/>
        <v>134722.66666666666</v>
      </c>
      <c r="P230" s="166">
        <f t="shared" si="37"/>
        <v>346072.5</v>
      </c>
      <c r="Q230" s="166">
        <f t="shared" si="37"/>
        <v>18296.416666666668</v>
      </c>
      <c r="R230" s="166">
        <f t="shared" si="37"/>
        <v>499091.58333333331</v>
      </c>
      <c r="S230" s="166">
        <f t="shared" si="37"/>
        <v>1580050.8333333333</v>
      </c>
      <c r="T230" s="166">
        <f t="shared" si="37"/>
        <v>79719.833333333328</v>
      </c>
      <c r="U230" s="166">
        <f t="shared" si="37"/>
        <v>78955.5</v>
      </c>
      <c r="V230" s="166">
        <f t="shared" si="37"/>
        <v>1646.25</v>
      </c>
      <c r="W230" s="166">
        <f t="shared" si="37"/>
        <v>0</v>
      </c>
      <c r="X230" s="166">
        <f t="shared" si="37"/>
        <v>160321.58333333334</v>
      </c>
      <c r="Y230" s="166">
        <f t="shared" si="37"/>
        <v>1740372.4166666667</v>
      </c>
    </row>
    <row r="231" spans="1:26" s="5" customFormat="1" x14ac:dyDescent="0.25">
      <c r="A231" s="165" t="s">
        <v>182</v>
      </c>
      <c r="B231" s="165"/>
      <c r="C231" s="166">
        <f>AVERAGE(C175:C186)</f>
        <v>159845.5</v>
      </c>
      <c r="D231" s="166">
        <f t="shared" ref="D231:Z231" si="38">AVERAGE(D175:D186)</f>
        <v>19519.25</v>
      </c>
      <c r="E231" s="166">
        <f t="shared" si="38"/>
        <v>56061.25</v>
      </c>
      <c r="F231" s="166">
        <f t="shared" si="38"/>
        <v>1544.1666666666667</v>
      </c>
      <c r="G231" s="166">
        <f t="shared" si="38"/>
        <v>235700.5</v>
      </c>
      <c r="H231" s="166">
        <f t="shared" si="38"/>
        <v>66123.083333333328</v>
      </c>
      <c r="I231" s="166">
        <f t="shared" si="38"/>
        <v>150486.33333333334</v>
      </c>
      <c r="J231" s="166">
        <f t="shared" si="38"/>
        <v>22946.333333333332</v>
      </c>
      <c r="K231" s="166">
        <f t="shared" si="38"/>
        <v>635808</v>
      </c>
      <c r="L231" s="166">
        <f t="shared" si="38"/>
        <v>1540</v>
      </c>
      <c r="M231" s="166">
        <f t="shared" si="38"/>
        <v>48512.25</v>
      </c>
      <c r="N231" s="166">
        <f t="shared" si="38"/>
        <v>859292.91666666663</v>
      </c>
      <c r="O231" s="166">
        <f t="shared" si="38"/>
        <v>152122.58333333334</v>
      </c>
      <c r="P231" s="166">
        <f t="shared" si="38"/>
        <v>445551.08333333331</v>
      </c>
      <c r="Q231" s="166">
        <f t="shared" si="38"/>
        <v>16750.833333333332</v>
      </c>
      <c r="R231" s="166">
        <f t="shared" si="38"/>
        <v>614424.5</v>
      </c>
      <c r="S231" s="166">
        <f t="shared" si="38"/>
        <v>1775541</v>
      </c>
      <c r="T231" s="166">
        <f t="shared" si="38"/>
        <v>89148.75</v>
      </c>
      <c r="U231" s="166">
        <f t="shared" si="38"/>
        <v>80226.25</v>
      </c>
      <c r="V231" s="166">
        <f t="shared" si="38"/>
        <v>1927.1666666666667</v>
      </c>
      <c r="W231" s="166">
        <f t="shared" si="38"/>
        <v>2452.5</v>
      </c>
      <c r="X231" s="166">
        <f t="shared" si="38"/>
        <v>173754.66666666666</v>
      </c>
      <c r="Y231" s="166">
        <f t="shared" si="38"/>
        <v>1949295.6666666667</v>
      </c>
      <c r="Z231" s="38" t="e">
        <f t="shared" si="38"/>
        <v>#DIV/0!</v>
      </c>
    </row>
    <row r="232" spans="1:26" s="5" customFormat="1" x14ac:dyDescent="0.25">
      <c r="A232" s="165" t="s">
        <v>214</v>
      </c>
      <c r="B232" s="165"/>
      <c r="C232" s="166">
        <f>AVERAGE(C188:C199)</f>
        <v>157659.5</v>
      </c>
      <c r="D232" s="166">
        <f t="shared" ref="D232:Y232" si="39">AVERAGE(D188:D199)</f>
        <v>19850.416666666668</v>
      </c>
      <c r="E232" s="166">
        <f t="shared" si="39"/>
        <v>58880.083333333336</v>
      </c>
      <c r="F232" s="166">
        <f t="shared" si="39"/>
        <v>1655.5833333333333</v>
      </c>
      <c r="G232" s="166">
        <f t="shared" si="39"/>
        <v>239728</v>
      </c>
      <c r="H232" s="166">
        <f t="shared" si="39"/>
        <v>64920.083333333336</v>
      </c>
      <c r="I232" s="166">
        <f t="shared" si="39"/>
        <v>160855.16666666666</v>
      </c>
      <c r="J232" s="166">
        <f t="shared" si="39"/>
        <v>25504.166666666668</v>
      </c>
      <c r="K232" s="166">
        <f t="shared" si="39"/>
        <v>672106.08333333337</v>
      </c>
      <c r="L232" s="166">
        <f t="shared" si="39"/>
        <v>7750.5</v>
      </c>
      <c r="M232" s="166">
        <f t="shared" si="39"/>
        <v>50089.5</v>
      </c>
      <c r="N232" s="166">
        <f t="shared" si="39"/>
        <v>916305.41666666663</v>
      </c>
      <c r="O232" s="166">
        <f t="shared" si="39"/>
        <v>164755.83333333334</v>
      </c>
      <c r="P232" s="166">
        <f t="shared" si="39"/>
        <v>528410.16666666663</v>
      </c>
      <c r="Q232" s="166">
        <f t="shared" si="39"/>
        <v>21146.166666666668</v>
      </c>
      <c r="R232" s="166">
        <f t="shared" si="39"/>
        <v>714312.16666666663</v>
      </c>
      <c r="S232" s="166">
        <f t="shared" si="39"/>
        <v>1935265.6666666667</v>
      </c>
      <c r="T232" s="166">
        <f t="shared" si="39"/>
        <v>101018.41666666667</v>
      </c>
      <c r="U232" s="166">
        <f t="shared" si="39"/>
        <v>81322.666666666672</v>
      </c>
      <c r="V232" s="166">
        <f t="shared" si="39"/>
        <v>2810.25</v>
      </c>
      <c r="W232" s="166">
        <f t="shared" si="39"/>
        <v>4562.166666666667</v>
      </c>
      <c r="X232" s="166">
        <f t="shared" si="39"/>
        <v>189713.5</v>
      </c>
      <c r="Y232" s="166">
        <f t="shared" si="39"/>
        <v>2124979.1666666665</v>
      </c>
    </row>
    <row r="233" spans="1:26" s="5" customFormat="1" x14ac:dyDescent="0.25">
      <c r="A233" s="165" t="s">
        <v>364</v>
      </c>
      <c r="B233" s="165"/>
      <c r="C233" s="166">
        <f t="shared" ref="C233:Z233" si="40">AVERAGE(C201:C212)</f>
        <v>145405.58333333334</v>
      </c>
      <c r="D233" s="166">
        <f t="shared" si="40"/>
        <v>19766.5</v>
      </c>
      <c r="E233" s="166">
        <f t="shared" si="40"/>
        <v>60485.583333333336</v>
      </c>
      <c r="F233" s="166">
        <f t="shared" si="40"/>
        <v>1776.6666666666667</v>
      </c>
      <c r="G233" s="166">
        <f t="shared" si="40"/>
        <v>230873.75</v>
      </c>
      <c r="H233" s="166">
        <f t="shared" si="40"/>
        <v>64000</v>
      </c>
      <c r="I233" s="166">
        <f t="shared" si="40"/>
        <v>150501.91666666666</v>
      </c>
      <c r="J233" s="166">
        <f t="shared" si="40"/>
        <v>29753.416666666668</v>
      </c>
      <c r="K233" s="166">
        <f t="shared" si="40"/>
        <v>631480.08333333337</v>
      </c>
      <c r="L233" s="166">
        <f t="shared" si="40"/>
        <v>19022.083333333332</v>
      </c>
      <c r="M233" s="166">
        <f t="shared" si="40"/>
        <v>53995.75</v>
      </c>
      <c r="N233" s="166">
        <f t="shared" si="40"/>
        <v>884753.25</v>
      </c>
      <c r="O233" s="166">
        <f t="shared" si="40"/>
        <v>149889</v>
      </c>
      <c r="P233" s="166">
        <f t="shared" si="40"/>
        <v>529080.08333333337</v>
      </c>
      <c r="Q233" s="166">
        <f t="shared" si="40"/>
        <v>32320.666666666668</v>
      </c>
      <c r="R233" s="166">
        <f t="shared" si="40"/>
        <v>711289.75</v>
      </c>
      <c r="S233" s="166">
        <f t="shared" si="40"/>
        <v>1890916.75</v>
      </c>
      <c r="T233" s="166">
        <f t="shared" si="40"/>
        <v>96356.333333333328</v>
      </c>
      <c r="U233" s="166">
        <f t="shared" si="40"/>
        <v>92961.166666666672</v>
      </c>
      <c r="V233" s="166">
        <f t="shared" si="40"/>
        <v>3549.5833333333335</v>
      </c>
      <c r="W233" s="166">
        <f t="shared" si="40"/>
        <v>4449</v>
      </c>
      <c r="X233" s="166">
        <f t="shared" si="40"/>
        <v>197316.08333333334</v>
      </c>
      <c r="Y233" s="166">
        <f t="shared" si="40"/>
        <v>2088232.8333333333</v>
      </c>
      <c r="Z233" s="38" t="e">
        <f t="shared" si="40"/>
        <v>#DIV/0!</v>
      </c>
    </row>
    <row r="234" spans="1:26" s="5" customFormat="1" x14ac:dyDescent="0.25">
      <c r="A234" s="165" t="s">
        <v>365</v>
      </c>
      <c r="B234" s="165"/>
      <c r="C234" s="166">
        <f>AVERAGE(C214:C225)</f>
        <v>142413.33333333334</v>
      </c>
      <c r="D234" s="166">
        <f t="shared" ref="D234:Y234" si="41">AVERAGE(D214:D225)</f>
        <v>19256</v>
      </c>
      <c r="E234" s="166">
        <f t="shared" si="41"/>
        <v>61340.666666666664</v>
      </c>
      <c r="F234" s="166">
        <f t="shared" si="41"/>
        <v>1832.3333333333333</v>
      </c>
      <c r="G234" s="166">
        <f t="shared" si="41"/>
        <v>224842.33333333334</v>
      </c>
      <c r="H234" s="166">
        <f t="shared" si="41"/>
        <v>67214.333333333328</v>
      </c>
      <c r="I234" s="166">
        <f t="shared" si="41"/>
        <v>140629.33333333334</v>
      </c>
      <c r="J234" s="166">
        <f t="shared" si="41"/>
        <v>28579</v>
      </c>
      <c r="K234" s="166">
        <f t="shared" si="41"/>
        <v>587788.66666666663</v>
      </c>
      <c r="L234" s="166">
        <f t="shared" si="41"/>
        <v>25074.666666666668</v>
      </c>
      <c r="M234" s="166">
        <f t="shared" si="41"/>
        <v>52329.333333333336</v>
      </c>
      <c r="N234" s="166">
        <f t="shared" si="41"/>
        <v>834401</v>
      </c>
      <c r="O234" s="166">
        <f t="shared" si="41"/>
        <v>131191.66666666666</v>
      </c>
      <c r="P234" s="166">
        <f t="shared" si="41"/>
        <v>488596.33333333331</v>
      </c>
      <c r="Q234" s="166">
        <f>AVERAGE(Q214:Q215)</f>
        <v>39082.5</v>
      </c>
      <c r="R234" s="166">
        <f t="shared" si="41"/>
        <v>659604.66666666663</v>
      </c>
      <c r="S234" s="166">
        <f t="shared" si="41"/>
        <v>1786062.3333333333</v>
      </c>
      <c r="T234" s="166">
        <f t="shared" si="41"/>
        <v>94458.666666666672</v>
      </c>
      <c r="U234" s="166">
        <f t="shared" si="41"/>
        <v>94970.333333333328</v>
      </c>
      <c r="V234" s="166">
        <f t="shared" si="41"/>
        <v>4009.6666666666665</v>
      </c>
      <c r="W234" s="166">
        <f t="shared" si="41"/>
        <v>4480.666666666667</v>
      </c>
      <c r="X234" s="166">
        <f t="shared" si="41"/>
        <v>197919.33333333334</v>
      </c>
      <c r="Y234" s="166">
        <f t="shared" si="41"/>
        <v>1983981.6666666667</v>
      </c>
    </row>
    <row r="235" spans="1:26" s="5" customFormat="1" ht="27.6" hidden="1" customHeight="1" x14ac:dyDescent="0.25">
      <c r="A235" s="118" t="s">
        <v>104</v>
      </c>
      <c r="B235" s="19"/>
      <c r="H235" s="36"/>
      <c r="V235" s="35"/>
      <c r="Y235" s="20"/>
    </row>
    <row r="236" spans="1:26" hidden="1" x14ac:dyDescent="0.25">
      <c r="A236" s="24" t="s">
        <v>376</v>
      </c>
      <c r="B236" s="162"/>
      <c r="C236" s="160"/>
      <c r="D236" s="160"/>
      <c r="E236" s="160"/>
      <c r="F236" s="21"/>
      <c r="G236" s="89">
        <v>52352</v>
      </c>
      <c r="H236" s="65">
        <v>0</v>
      </c>
      <c r="I236" s="34">
        <v>58076</v>
      </c>
      <c r="J236" s="160"/>
      <c r="K236" s="160">
        <v>279330</v>
      </c>
      <c r="L236" s="160">
        <v>0</v>
      </c>
      <c r="M236" s="27">
        <v>0</v>
      </c>
      <c r="N236" s="160">
        <v>337406</v>
      </c>
      <c r="O236" s="160">
        <v>0</v>
      </c>
      <c r="P236" s="160">
        <v>0</v>
      </c>
      <c r="Q236" s="160">
        <v>0</v>
      </c>
      <c r="R236" s="160">
        <v>0</v>
      </c>
      <c r="S236" s="65">
        <v>389758</v>
      </c>
      <c r="T236" s="164">
        <v>28779</v>
      </c>
      <c r="U236" s="164">
        <v>45855</v>
      </c>
      <c r="V236" s="164">
        <v>946</v>
      </c>
      <c r="W236" s="34">
        <v>0</v>
      </c>
      <c r="X236" s="89">
        <v>75580</v>
      </c>
      <c r="Y236" s="65">
        <v>465338</v>
      </c>
      <c r="Z236" s="160">
        <v>366185</v>
      </c>
    </row>
    <row r="237" spans="1:26" s="5" customFormat="1" ht="12.75" hidden="1" customHeight="1" x14ac:dyDescent="0.25">
      <c r="A237" s="24" t="s">
        <v>377</v>
      </c>
      <c r="B237" s="162"/>
      <c r="C237" s="160"/>
      <c r="D237" s="160"/>
      <c r="E237" s="160"/>
      <c r="F237" s="21"/>
      <c r="G237" s="89">
        <v>54497</v>
      </c>
      <c r="H237" s="65">
        <v>0</v>
      </c>
      <c r="I237" s="34">
        <v>62078</v>
      </c>
      <c r="J237" s="160"/>
      <c r="K237" s="160">
        <v>316741</v>
      </c>
      <c r="L237" s="160">
        <v>0</v>
      </c>
      <c r="M237" s="27">
        <v>0</v>
      </c>
      <c r="N237" s="160">
        <v>378819</v>
      </c>
      <c r="O237" s="160">
        <v>0</v>
      </c>
      <c r="P237" s="160">
        <v>0</v>
      </c>
      <c r="Q237" s="160">
        <v>0</v>
      </c>
      <c r="R237" s="160">
        <v>0</v>
      </c>
      <c r="S237" s="65">
        <v>433316</v>
      </c>
      <c r="T237" s="164">
        <v>31305</v>
      </c>
      <c r="U237" s="164">
        <v>49818</v>
      </c>
      <c r="V237" s="164">
        <v>925</v>
      </c>
      <c r="W237" s="34">
        <v>0</v>
      </c>
      <c r="X237" s="89">
        <v>82048</v>
      </c>
      <c r="Y237" s="65">
        <v>515364</v>
      </c>
      <c r="Z237" s="160">
        <v>410124</v>
      </c>
    </row>
    <row r="238" spans="1:26" s="5" customFormat="1" ht="12.75" hidden="1" customHeight="1" x14ac:dyDescent="0.25">
      <c r="A238" s="24" t="s">
        <v>378</v>
      </c>
      <c r="B238" s="162"/>
      <c r="C238" s="160"/>
      <c r="D238" s="160"/>
      <c r="E238" s="160"/>
      <c r="F238" s="21"/>
      <c r="G238" s="89">
        <v>56674</v>
      </c>
      <c r="H238" s="65">
        <v>0</v>
      </c>
      <c r="I238" s="34">
        <v>61060</v>
      </c>
      <c r="J238" s="160">
        <v>10286</v>
      </c>
      <c r="K238" s="160">
        <v>356781</v>
      </c>
      <c r="L238" s="160">
        <v>0</v>
      </c>
      <c r="M238" s="27">
        <v>0</v>
      </c>
      <c r="N238" s="160">
        <v>428127</v>
      </c>
      <c r="O238" s="160">
        <v>0</v>
      </c>
      <c r="P238" s="160">
        <v>0</v>
      </c>
      <c r="Q238" s="160">
        <v>0</v>
      </c>
      <c r="R238" s="160">
        <v>0</v>
      </c>
      <c r="S238" s="65">
        <v>484801</v>
      </c>
      <c r="T238" s="164">
        <v>36467</v>
      </c>
      <c r="U238" s="164">
        <v>46541</v>
      </c>
      <c r="V238" s="164">
        <v>1023</v>
      </c>
      <c r="W238" s="34">
        <v>0</v>
      </c>
      <c r="X238" s="89">
        <v>84031</v>
      </c>
      <c r="Y238" s="65">
        <v>568832</v>
      </c>
      <c r="Z238" s="160">
        <v>464594</v>
      </c>
    </row>
    <row r="239" spans="1:26" s="5" customFormat="1" ht="12.75" hidden="1" customHeight="1" x14ac:dyDescent="0.25">
      <c r="A239" s="24"/>
      <c r="B239" s="162"/>
      <c r="C239" s="160"/>
      <c r="D239" s="160"/>
      <c r="E239" s="160"/>
      <c r="F239" s="21"/>
      <c r="G239" s="89"/>
      <c r="H239" s="65">
        <v>0</v>
      </c>
      <c r="I239" s="34"/>
      <c r="J239" s="160"/>
      <c r="K239" s="160"/>
      <c r="L239" s="160">
        <v>0</v>
      </c>
      <c r="M239" s="27">
        <v>0</v>
      </c>
      <c r="N239" s="160"/>
      <c r="O239" s="160">
        <v>0</v>
      </c>
      <c r="P239" s="160">
        <v>0</v>
      </c>
      <c r="Q239" s="160">
        <v>0</v>
      </c>
      <c r="R239" s="160">
        <v>0</v>
      </c>
      <c r="S239" s="65"/>
      <c r="T239" s="164"/>
      <c r="U239" s="164"/>
      <c r="V239" s="164"/>
      <c r="W239" s="34">
        <v>0</v>
      </c>
      <c r="X239" s="89"/>
      <c r="Y239" s="65"/>
      <c r="Z239" s="160"/>
    </row>
    <row r="240" spans="1:26" s="5" customFormat="1" ht="12.75" hidden="1" customHeight="1" x14ac:dyDescent="0.25">
      <c r="A240" s="161" t="s">
        <v>379</v>
      </c>
      <c r="B240" s="162"/>
      <c r="C240" s="160"/>
      <c r="D240" s="160"/>
      <c r="E240" s="160"/>
      <c r="F240" s="21"/>
      <c r="G240" s="89">
        <v>56752</v>
      </c>
      <c r="H240" s="65">
        <v>0</v>
      </c>
      <c r="I240" s="34">
        <v>71459</v>
      </c>
      <c r="J240" s="160"/>
      <c r="K240" s="160">
        <v>357849</v>
      </c>
      <c r="L240" s="160">
        <v>0</v>
      </c>
      <c r="M240" s="27">
        <v>0</v>
      </c>
      <c r="N240" s="160">
        <v>429308</v>
      </c>
      <c r="O240" s="160">
        <v>0</v>
      </c>
      <c r="P240" s="160">
        <v>0</v>
      </c>
      <c r="Q240" s="160">
        <v>0</v>
      </c>
      <c r="R240" s="160">
        <v>0</v>
      </c>
      <c r="S240" s="65">
        <v>486060</v>
      </c>
      <c r="T240" s="164">
        <v>36776</v>
      </c>
      <c r="U240" s="164">
        <v>46798</v>
      </c>
      <c r="V240" s="164">
        <v>1029</v>
      </c>
      <c r="W240" s="34">
        <v>0</v>
      </c>
      <c r="X240" s="89">
        <v>84603</v>
      </c>
      <c r="Y240" s="65">
        <v>570663</v>
      </c>
      <c r="Z240" s="160">
        <v>466084</v>
      </c>
    </row>
    <row r="241" spans="1:26" s="5" customFormat="1" ht="12.75" hidden="1" customHeight="1" x14ac:dyDescent="0.25">
      <c r="A241" s="161" t="s">
        <v>380</v>
      </c>
      <c r="B241" s="162"/>
      <c r="C241" s="160"/>
      <c r="D241" s="160"/>
      <c r="E241" s="160"/>
      <c r="F241" s="21"/>
      <c r="G241" s="89">
        <v>57366</v>
      </c>
      <c r="H241" s="65">
        <v>0</v>
      </c>
      <c r="I241" s="34">
        <v>72211</v>
      </c>
      <c r="J241" s="160"/>
      <c r="K241" s="160">
        <v>359394</v>
      </c>
      <c r="L241" s="160">
        <v>0</v>
      </c>
      <c r="M241" s="27">
        <v>0</v>
      </c>
      <c r="N241" s="160">
        <v>431605</v>
      </c>
      <c r="O241" s="160">
        <v>0</v>
      </c>
      <c r="P241" s="160">
        <v>0</v>
      </c>
      <c r="Q241" s="160">
        <v>0</v>
      </c>
      <c r="R241" s="160">
        <v>0</v>
      </c>
      <c r="S241" s="65">
        <v>488971</v>
      </c>
      <c r="T241" s="164">
        <v>36826</v>
      </c>
      <c r="U241" s="164">
        <v>46908</v>
      </c>
      <c r="V241" s="164">
        <v>1008</v>
      </c>
      <c r="W241" s="34">
        <v>0</v>
      </c>
      <c r="X241" s="89">
        <v>84742</v>
      </c>
      <c r="Y241" s="65">
        <v>573713</v>
      </c>
      <c r="Z241" s="160">
        <v>468431</v>
      </c>
    </row>
    <row r="242" spans="1:26" s="5" customFormat="1" ht="12.75" hidden="1" customHeight="1" x14ac:dyDescent="0.25">
      <c r="A242" s="161" t="s">
        <v>381</v>
      </c>
      <c r="B242" s="162"/>
      <c r="C242" s="160"/>
      <c r="D242" s="160"/>
      <c r="E242" s="160"/>
      <c r="F242" s="21"/>
      <c r="G242" s="89">
        <v>57341</v>
      </c>
      <c r="H242" s="65">
        <v>0</v>
      </c>
      <c r="I242" s="34">
        <v>71539</v>
      </c>
      <c r="J242" s="160"/>
      <c r="K242" s="160">
        <v>358492</v>
      </c>
      <c r="L242" s="160">
        <v>0</v>
      </c>
      <c r="M242" s="27">
        <v>0</v>
      </c>
      <c r="N242" s="160">
        <v>430031</v>
      </c>
      <c r="O242" s="160">
        <v>0</v>
      </c>
      <c r="P242" s="160">
        <v>0</v>
      </c>
      <c r="Q242" s="160">
        <v>0</v>
      </c>
      <c r="R242" s="160">
        <v>0</v>
      </c>
      <c r="S242" s="65">
        <v>487372</v>
      </c>
      <c r="T242" s="164">
        <v>36915</v>
      </c>
      <c r="U242" s="164">
        <v>47598</v>
      </c>
      <c r="V242" s="164">
        <v>1057</v>
      </c>
      <c r="W242" s="34">
        <v>0</v>
      </c>
      <c r="X242" s="89">
        <v>85570</v>
      </c>
      <c r="Y242" s="65">
        <v>572942</v>
      </c>
      <c r="Z242" s="160">
        <v>466946</v>
      </c>
    </row>
    <row r="243" spans="1:26" s="5" customFormat="1" ht="12.75" hidden="1" customHeight="1" x14ac:dyDescent="0.25">
      <c r="A243" s="161" t="s">
        <v>382</v>
      </c>
      <c r="B243" s="162"/>
      <c r="C243" s="160"/>
      <c r="D243" s="160"/>
      <c r="E243" s="160"/>
      <c r="F243" s="21"/>
      <c r="G243" s="89">
        <v>57827</v>
      </c>
      <c r="H243" s="65">
        <v>0</v>
      </c>
      <c r="I243" s="34">
        <v>72421</v>
      </c>
      <c r="J243" s="160"/>
      <c r="K243" s="160">
        <v>359602</v>
      </c>
      <c r="L243" s="160">
        <v>0</v>
      </c>
      <c r="M243" s="27">
        <v>0</v>
      </c>
      <c r="N243" s="160">
        <v>432023</v>
      </c>
      <c r="O243" s="160">
        <v>0</v>
      </c>
      <c r="P243" s="160">
        <v>0</v>
      </c>
      <c r="Q243" s="160">
        <v>0</v>
      </c>
      <c r="R243" s="160">
        <v>0</v>
      </c>
      <c r="S243" s="65">
        <v>489850</v>
      </c>
      <c r="T243" s="164">
        <v>37510</v>
      </c>
      <c r="U243" s="164">
        <v>47685</v>
      </c>
      <c r="V243" s="164">
        <v>1074</v>
      </c>
      <c r="W243" s="34">
        <v>0</v>
      </c>
      <c r="X243" s="89">
        <v>86269</v>
      </c>
      <c r="Y243" s="65">
        <v>576119</v>
      </c>
      <c r="Z243" s="160">
        <v>469533</v>
      </c>
    </row>
    <row r="244" spans="1:26" s="5" customFormat="1" ht="12.75" hidden="1" customHeight="1" x14ac:dyDescent="0.25">
      <c r="A244" s="161" t="s">
        <v>383</v>
      </c>
      <c r="B244" s="162"/>
      <c r="C244" s="160"/>
      <c r="D244" s="160"/>
      <c r="E244" s="160"/>
      <c r="F244" s="21"/>
      <c r="G244" s="89">
        <v>58148</v>
      </c>
      <c r="H244" s="65">
        <v>0</v>
      </c>
      <c r="I244" s="34">
        <v>63505</v>
      </c>
      <c r="J244" s="160">
        <v>9509</v>
      </c>
      <c r="K244" s="160">
        <v>363528</v>
      </c>
      <c r="L244" s="160">
        <v>0</v>
      </c>
      <c r="M244" s="27">
        <v>0</v>
      </c>
      <c r="N244" s="160">
        <v>436542</v>
      </c>
      <c r="O244" s="160">
        <v>0</v>
      </c>
      <c r="P244" s="160">
        <v>0</v>
      </c>
      <c r="Q244" s="160">
        <v>0</v>
      </c>
      <c r="R244" s="160">
        <v>0</v>
      </c>
      <c r="S244" s="65">
        <v>494690</v>
      </c>
      <c r="T244" s="164">
        <v>38275</v>
      </c>
      <c r="U244" s="164">
        <v>48741</v>
      </c>
      <c r="V244" s="164">
        <v>1060</v>
      </c>
      <c r="W244" s="34">
        <v>0</v>
      </c>
      <c r="X244" s="89">
        <v>88076</v>
      </c>
      <c r="Y244" s="65">
        <v>582766</v>
      </c>
      <c r="Z244" s="160">
        <v>474817</v>
      </c>
    </row>
    <row r="245" spans="1:26" s="5" customFormat="1" ht="12.75" hidden="1" customHeight="1" x14ac:dyDescent="0.25">
      <c r="A245" s="161" t="s">
        <v>384</v>
      </c>
      <c r="B245" s="162"/>
      <c r="C245" s="160"/>
      <c r="D245" s="160"/>
      <c r="E245" s="160"/>
      <c r="F245" s="21"/>
      <c r="G245" s="89">
        <v>58570</v>
      </c>
      <c r="H245" s="65">
        <v>0</v>
      </c>
      <c r="I245" s="34">
        <v>64044</v>
      </c>
      <c r="J245" s="160">
        <v>9292</v>
      </c>
      <c r="K245" s="160">
        <v>366193</v>
      </c>
      <c r="L245" s="160">
        <v>0</v>
      </c>
      <c r="M245" s="27">
        <v>0</v>
      </c>
      <c r="N245" s="160">
        <v>439529</v>
      </c>
      <c r="O245" s="160">
        <v>0</v>
      </c>
      <c r="P245" s="160">
        <v>0</v>
      </c>
      <c r="Q245" s="160">
        <v>0</v>
      </c>
      <c r="R245" s="160">
        <v>0</v>
      </c>
      <c r="S245" s="65">
        <v>498099</v>
      </c>
      <c r="T245" s="164">
        <v>38717</v>
      </c>
      <c r="U245" s="164">
        <v>49888</v>
      </c>
      <c r="V245" s="164">
        <v>1116</v>
      </c>
      <c r="W245" s="34">
        <v>0</v>
      </c>
      <c r="X245" s="89">
        <v>89721</v>
      </c>
      <c r="Y245" s="65">
        <v>587820</v>
      </c>
      <c r="Z245" s="160">
        <v>478246</v>
      </c>
    </row>
    <row r="246" spans="1:26" s="5" customFormat="1" ht="12.75" hidden="1" customHeight="1" x14ac:dyDescent="0.25">
      <c r="A246" s="161" t="s">
        <v>385</v>
      </c>
      <c r="B246" s="162"/>
      <c r="C246" s="160"/>
      <c r="D246" s="160"/>
      <c r="E246" s="160"/>
      <c r="F246" s="21"/>
      <c r="G246" s="89">
        <v>58991</v>
      </c>
      <c r="H246" s="65">
        <v>0</v>
      </c>
      <c r="I246" s="34">
        <v>63904</v>
      </c>
      <c r="J246" s="160">
        <v>9198</v>
      </c>
      <c r="K246" s="160">
        <v>364699</v>
      </c>
      <c r="L246" s="160">
        <v>0</v>
      </c>
      <c r="M246" s="27">
        <v>0</v>
      </c>
      <c r="N246" s="160">
        <v>437801</v>
      </c>
      <c r="O246" s="160">
        <v>0</v>
      </c>
      <c r="P246" s="160">
        <v>0</v>
      </c>
      <c r="Q246" s="160">
        <v>0</v>
      </c>
      <c r="R246" s="160">
        <v>0</v>
      </c>
      <c r="S246" s="65">
        <v>496792</v>
      </c>
      <c r="T246" s="164">
        <v>38847</v>
      </c>
      <c r="U246" s="164">
        <v>50058</v>
      </c>
      <c r="V246" s="164">
        <v>1087</v>
      </c>
      <c r="W246" s="34">
        <v>0</v>
      </c>
      <c r="X246" s="89">
        <v>89992</v>
      </c>
      <c r="Y246" s="65">
        <v>586784</v>
      </c>
      <c r="Z246" s="160">
        <v>476648</v>
      </c>
    </row>
    <row r="247" spans="1:26" s="5" customFormat="1" ht="12.75" hidden="1" customHeight="1" x14ac:dyDescent="0.25">
      <c r="A247" s="161" t="s">
        <v>386</v>
      </c>
      <c r="B247" s="162"/>
      <c r="C247" s="160"/>
      <c r="D247" s="160"/>
      <c r="E247" s="160"/>
      <c r="F247" s="21"/>
      <c r="G247" s="89">
        <v>59143</v>
      </c>
      <c r="H247" s="65">
        <v>0</v>
      </c>
      <c r="I247" s="34">
        <v>63999</v>
      </c>
      <c r="J247" s="160">
        <v>8861</v>
      </c>
      <c r="K247" s="160">
        <v>364863</v>
      </c>
      <c r="L247" s="160">
        <v>0</v>
      </c>
      <c r="M247" s="27">
        <v>0</v>
      </c>
      <c r="N247" s="160">
        <v>437723</v>
      </c>
      <c r="O247" s="160">
        <v>0</v>
      </c>
      <c r="P247" s="160">
        <v>0</v>
      </c>
      <c r="Q247" s="160">
        <v>0</v>
      </c>
      <c r="R247" s="160">
        <v>0</v>
      </c>
      <c r="S247" s="65">
        <v>496866</v>
      </c>
      <c r="T247" s="164">
        <v>38804</v>
      </c>
      <c r="U247" s="164">
        <v>50425</v>
      </c>
      <c r="V247" s="164">
        <v>1044</v>
      </c>
      <c r="W247" s="34">
        <v>0</v>
      </c>
      <c r="X247" s="89">
        <v>90273</v>
      </c>
      <c r="Y247" s="65">
        <v>587139</v>
      </c>
      <c r="Z247" s="160">
        <v>476527</v>
      </c>
    </row>
    <row r="248" spans="1:26" s="5" customFormat="1" ht="12.75" hidden="1" customHeight="1" x14ac:dyDescent="0.25">
      <c r="A248" s="24" t="s">
        <v>387</v>
      </c>
      <c r="B248" s="25"/>
      <c r="C248" s="27"/>
      <c r="D248" s="27"/>
      <c r="E248" s="27"/>
      <c r="F248" s="21"/>
      <c r="G248" s="89">
        <v>59044</v>
      </c>
      <c r="H248" s="65">
        <v>0</v>
      </c>
      <c r="I248" s="34">
        <v>63232</v>
      </c>
      <c r="J248" s="27">
        <v>8544</v>
      </c>
      <c r="K248" s="27">
        <v>362664</v>
      </c>
      <c r="L248" s="27">
        <v>0</v>
      </c>
      <c r="M248" s="27">
        <v>0</v>
      </c>
      <c r="N248" s="160">
        <v>434440</v>
      </c>
      <c r="O248" s="160">
        <v>0</v>
      </c>
      <c r="P248" s="160">
        <v>0</v>
      </c>
      <c r="Q248" s="160">
        <v>0</v>
      </c>
      <c r="R248" s="160">
        <v>0</v>
      </c>
      <c r="S248" s="65">
        <v>493484</v>
      </c>
      <c r="T248" s="34">
        <v>38194</v>
      </c>
      <c r="U248" s="34">
        <v>50733</v>
      </c>
      <c r="V248" s="34">
        <v>1096</v>
      </c>
      <c r="W248" s="34">
        <v>0</v>
      </c>
      <c r="X248" s="89">
        <v>90023</v>
      </c>
      <c r="Y248" s="65">
        <v>583507</v>
      </c>
      <c r="Z248" s="160">
        <v>472634</v>
      </c>
    </row>
    <row r="249" spans="1:26" s="5" customFormat="1" ht="12.75" hidden="1" customHeight="1" x14ac:dyDescent="0.25">
      <c r="A249" s="24" t="s">
        <v>388</v>
      </c>
      <c r="B249" s="25"/>
      <c r="C249" s="27"/>
      <c r="D249" s="27"/>
      <c r="E249" s="27"/>
      <c r="F249" s="21"/>
      <c r="G249" s="89">
        <v>59013</v>
      </c>
      <c r="H249" s="65">
        <v>0</v>
      </c>
      <c r="I249" s="34">
        <v>63269</v>
      </c>
      <c r="J249" s="27">
        <v>8769</v>
      </c>
      <c r="K249" s="27">
        <v>363274</v>
      </c>
      <c r="L249" s="27">
        <v>0</v>
      </c>
      <c r="M249" s="27">
        <v>0</v>
      </c>
      <c r="N249" s="160">
        <v>435312</v>
      </c>
      <c r="O249" s="160">
        <v>0</v>
      </c>
      <c r="P249" s="160">
        <v>0</v>
      </c>
      <c r="Q249" s="160">
        <v>0</v>
      </c>
      <c r="R249" s="160">
        <v>0</v>
      </c>
      <c r="S249" s="65">
        <v>494325</v>
      </c>
      <c r="T249" s="34">
        <v>37751</v>
      </c>
      <c r="U249" s="34">
        <v>51275</v>
      </c>
      <c r="V249" s="34">
        <v>1060</v>
      </c>
      <c r="W249" s="34">
        <v>0</v>
      </c>
      <c r="X249" s="89">
        <v>90086</v>
      </c>
      <c r="Y249" s="65">
        <v>584411</v>
      </c>
      <c r="Z249" s="160">
        <v>532076</v>
      </c>
    </row>
    <row r="250" spans="1:26" s="5" customFormat="1" ht="12.75" hidden="1" customHeight="1" x14ac:dyDescent="0.25">
      <c r="A250" s="24" t="s">
        <v>389</v>
      </c>
      <c r="B250" s="25"/>
      <c r="C250" s="27"/>
      <c r="D250" s="27"/>
      <c r="E250" s="27"/>
      <c r="F250" s="21"/>
      <c r="G250" s="89">
        <v>59016</v>
      </c>
      <c r="H250" s="65">
        <v>0</v>
      </c>
      <c r="I250" s="34">
        <v>63168</v>
      </c>
      <c r="J250" s="27">
        <v>8838</v>
      </c>
      <c r="K250" s="27">
        <v>363387</v>
      </c>
      <c r="L250" s="27">
        <v>0</v>
      </c>
      <c r="M250" s="27">
        <v>0</v>
      </c>
      <c r="N250" s="160">
        <v>435393</v>
      </c>
      <c r="O250" s="160">
        <v>0</v>
      </c>
      <c r="P250" s="160">
        <v>0</v>
      </c>
      <c r="Q250" s="160">
        <v>0</v>
      </c>
      <c r="R250" s="160">
        <v>0</v>
      </c>
      <c r="S250" s="65">
        <v>494409</v>
      </c>
      <c r="T250" s="34">
        <v>37622</v>
      </c>
      <c r="U250" s="34">
        <v>52085</v>
      </c>
      <c r="V250" s="34">
        <v>1045</v>
      </c>
      <c r="W250" s="34">
        <v>0</v>
      </c>
      <c r="X250" s="89">
        <v>90752</v>
      </c>
      <c r="Y250" s="65">
        <v>585161</v>
      </c>
      <c r="Z250" s="160">
        <v>473015</v>
      </c>
    </row>
    <row r="251" spans="1:26" s="5" customFormat="1" ht="12.75" hidden="1" customHeight="1" x14ac:dyDescent="0.25">
      <c r="A251" s="24" t="s">
        <v>390</v>
      </c>
      <c r="B251" s="25"/>
      <c r="C251" s="27"/>
      <c r="D251" s="27"/>
      <c r="E251" s="27"/>
      <c r="F251" s="21"/>
      <c r="G251" s="89">
        <v>59329</v>
      </c>
      <c r="H251" s="65">
        <v>0</v>
      </c>
      <c r="I251" s="34">
        <v>63258</v>
      </c>
      <c r="J251" s="27">
        <v>8889</v>
      </c>
      <c r="K251" s="27">
        <v>363991</v>
      </c>
      <c r="L251" s="27">
        <v>0</v>
      </c>
      <c r="M251" s="27">
        <v>0</v>
      </c>
      <c r="N251" s="160">
        <v>436138</v>
      </c>
      <c r="O251" s="160">
        <v>0</v>
      </c>
      <c r="P251" s="160">
        <v>0</v>
      </c>
      <c r="Q251" s="160">
        <v>0</v>
      </c>
      <c r="R251" s="160">
        <v>0</v>
      </c>
      <c r="S251" s="65">
        <v>495467</v>
      </c>
      <c r="T251" s="34">
        <v>37841</v>
      </c>
      <c r="U251" s="34">
        <v>53100</v>
      </c>
      <c r="V251" s="34">
        <v>1043</v>
      </c>
      <c r="W251" s="34">
        <v>0</v>
      </c>
      <c r="X251" s="89">
        <v>91984</v>
      </c>
      <c r="Y251" s="65">
        <v>587451</v>
      </c>
      <c r="Z251" s="160">
        <v>473979</v>
      </c>
    </row>
    <row r="252" spans="1:26" s="5" customFormat="1" ht="12.75" hidden="1" customHeight="1" x14ac:dyDescent="0.25">
      <c r="A252" s="24"/>
      <c r="B252" s="25"/>
      <c r="C252" s="27"/>
      <c r="D252" s="27"/>
      <c r="E252" s="27"/>
      <c r="F252" s="21"/>
      <c r="G252" s="89"/>
      <c r="H252" s="65"/>
      <c r="I252" s="34"/>
      <c r="J252" s="27"/>
      <c r="K252" s="27"/>
      <c r="L252" s="27"/>
      <c r="M252" s="27">
        <v>0</v>
      </c>
      <c r="N252" s="160"/>
      <c r="O252" s="160">
        <v>0</v>
      </c>
      <c r="P252" s="160">
        <v>0</v>
      </c>
      <c r="Q252" s="160">
        <v>0</v>
      </c>
      <c r="R252" s="160">
        <v>0</v>
      </c>
      <c r="S252" s="65"/>
      <c r="T252" s="34"/>
      <c r="U252" s="34"/>
      <c r="V252" s="34"/>
      <c r="W252" s="34">
        <v>0</v>
      </c>
      <c r="X252" s="89"/>
      <c r="Y252" s="65"/>
      <c r="Z252" s="160"/>
    </row>
    <row r="253" spans="1:26" s="5" customFormat="1" ht="12.75" hidden="1" customHeight="1" x14ac:dyDescent="0.25">
      <c r="A253" s="24" t="s">
        <v>391</v>
      </c>
      <c r="B253" s="25"/>
      <c r="C253" s="27"/>
      <c r="D253" s="27"/>
      <c r="E253" s="27"/>
      <c r="F253" s="21"/>
      <c r="G253" s="89">
        <v>59044</v>
      </c>
      <c r="H253" s="65">
        <v>0</v>
      </c>
      <c r="I253" s="34">
        <v>62685</v>
      </c>
      <c r="J253" s="27">
        <v>8982</v>
      </c>
      <c r="K253" s="27">
        <v>363287</v>
      </c>
      <c r="L253" s="27">
        <v>0</v>
      </c>
      <c r="M253" s="27">
        <v>0</v>
      </c>
      <c r="N253" s="160">
        <v>434954</v>
      </c>
      <c r="O253" s="160">
        <v>0</v>
      </c>
      <c r="P253" s="160">
        <v>0</v>
      </c>
      <c r="Q253" s="160">
        <v>0</v>
      </c>
      <c r="R253" s="160">
        <v>0</v>
      </c>
      <c r="S253" s="65">
        <v>493998</v>
      </c>
      <c r="T253" s="34">
        <v>37681</v>
      </c>
      <c r="U253" s="34">
        <v>53244</v>
      </c>
      <c r="V253" s="34">
        <v>1043</v>
      </c>
      <c r="W253" s="34">
        <v>0</v>
      </c>
      <c r="X253" s="89">
        <v>91968</v>
      </c>
      <c r="Y253" s="65">
        <v>585966</v>
      </c>
      <c r="Z253" s="160">
        <v>472635</v>
      </c>
    </row>
    <row r="254" spans="1:26" s="5" customFormat="1" ht="12.75" hidden="1" customHeight="1" x14ac:dyDescent="0.25">
      <c r="A254" s="24" t="s">
        <v>392</v>
      </c>
      <c r="B254" s="25"/>
      <c r="C254" s="27"/>
      <c r="D254" s="27"/>
      <c r="E254" s="27"/>
      <c r="F254" s="21"/>
      <c r="G254" s="89">
        <v>59267</v>
      </c>
      <c r="H254" s="65">
        <v>0</v>
      </c>
      <c r="I254" s="34">
        <v>62656</v>
      </c>
      <c r="J254" s="27">
        <v>9002</v>
      </c>
      <c r="K254" s="27">
        <v>362648</v>
      </c>
      <c r="L254" s="27">
        <v>0</v>
      </c>
      <c r="M254" s="27">
        <v>0</v>
      </c>
      <c r="N254" s="160">
        <v>434306</v>
      </c>
      <c r="O254" s="160">
        <v>0</v>
      </c>
      <c r="P254" s="160">
        <v>0</v>
      </c>
      <c r="Q254" s="160">
        <v>0</v>
      </c>
      <c r="R254" s="160">
        <v>0</v>
      </c>
      <c r="S254" s="65">
        <v>493573</v>
      </c>
      <c r="T254" s="34">
        <v>37577</v>
      </c>
      <c r="U254" s="34">
        <v>53451</v>
      </c>
      <c r="V254" s="34">
        <v>1039</v>
      </c>
      <c r="W254" s="34">
        <v>0</v>
      </c>
      <c r="X254" s="89">
        <v>92067</v>
      </c>
      <c r="Y254" s="65">
        <v>585640</v>
      </c>
      <c r="Z254" s="160">
        <v>471883</v>
      </c>
    </row>
    <row r="255" spans="1:26" s="5" customFormat="1" ht="12.75" hidden="1" customHeight="1" x14ac:dyDescent="0.25">
      <c r="A255" s="24" t="s">
        <v>393</v>
      </c>
      <c r="B255" s="25"/>
      <c r="C255" s="27"/>
      <c r="D255" s="27"/>
      <c r="E255" s="27"/>
      <c r="F255" s="21"/>
      <c r="G255" s="89">
        <v>59598</v>
      </c>
      <c r="H255" s="65">
        <v>0</v>
      </c>
      <c r="I255" s="34">
        <v>62724</v>
      </c>
      <c r="J255" s="27">
        <v>8799</v>
      </c>
      <c r="K255" s="27">
        <v>362453</v>
      </c>
      <c r="L255" s="27">
        <v>0</v>
      </c>
      <c r="M255" s="27">
        <v>0</v>
      </c>
      <c r="N255" s="160">
        <v>433976</v>
      </c>
      <c r="O255" s="160">
        <v>0</v>
      </c>
      <c r="P255" s="160">
        <v>0</v>
      </c>
      <c r="Q255" s="160">
        <v>0</v>
      </c>
      <c r="R255" s="160">
        <v>0</v>
      </c>
      <c r="S255" s="65">
        <v>493574</v>
      </c>
      <c r="T255" s="34">
        <v>37843</v>
      </c>
      <c r="U255" s="34">
        <v>52864</v>
      </c>
      <c r="V255" s="34">
        <v>1053</v>
      </c>
      <c r="W255" s="34">
        <v>0</v>
      </c>
      <c r="X255" s="89">
        <v>91760</v>
      </c>
      <c r="Y255" s="65">
        <v>585334</v>
      </c>
      <c r="Z255" s="160">
        <v>471819</v>
      </c>
    </row>
    <row r="256" spans="1:26" s="5" customFormat="1" ht="12.75" hidden="1" customHeight="1" x14ac:dyDescent="0.25">
      <c r="A256" s="24" t="s">
        <v>394</v>
      </c>
      <c r="B256" s="25"/>
      <c r="C256" s="27"/>
      <c r="D256" s="27"/>
      <c r="E256" s="27"/>
      <c r="F256" s="21"/>
      <c r="G256" s="89">
        <v>59422</v>
      </c>
      <c r="H256" s="65">
        <v>0</v>
      </c>
      <c r="I256" s="34">
        <v>62594</v>
      </c>
      <c r="J256" s="27">
        <v>8658</v>
      </c>
      <c r="K256" s="27">
        <v>361036</v>
      </c>
      <c r="L256" s="27">
        <v>0</v>
      </c>
      <c r="M256" s="27">
        <v>0</v>
      </c>
      <c r="N256" s="160">
        <v>432288</v>
      </c>
      <c r="O256" s="160">
        <v>0</v>
      </c>
      <c r="P256" s="160">
        <v>0</v>
      </c>
      <c r="Q256" s="160">
        <v>0</v>
      </c>
      <c r="R256" s="160">
        <v>0</v>
      </c>
      <c r="S256" s="65">
        <v>491710</v>
      </c>
      <c r="T256" s="34">
        <v>37825</v>
      </c>
      <c r="U256" s="34">
        <v>52332</v>
      </c>
      <c r="V256" s="34">
        <v>1045</v>
      </c>
      <c r="W256" s="34">
        <v>0</v>
      </c>
      <c r="X256" s="89">
        <v>91202</v>
      </c>
      <c r="Y256" s="65">
        <v>582912</v>
      </c>
      <c r="Z256" s="160">
        <v>470113</v>
      </c>
    </row>
    <row r="257" spans="1:26" s="5" customFormat="1" ht="12.75" hidden="1" customHeight="1" x14ac:dyDescent="0.25">
      <c r="A257" s="24" t="s">
        <v>395</v>
      </c>
      <c r="B257" s="25"/>
      <c r="C257" s="27"/>
      <c r="D257" s="27"/>
      <c r="E257" s="27"/>
      <c r="F257" s="21"/>
      <c r="G257" s="89">
        <v>59726</v>
      </c>
      <c r="H257" s="65">
        <v>0</v>
      </c>
      <c r="I257" s="34">
        <v>62798</v>
      </c>
      <c r="J257" s="27">
        <v>8290</v>
      </c>
      <c r="K257" s="27">
        <v>362641</v>
      </c>
      <c r="L257" s="27">
        <v>0</v>
      </c>
      <c r="M257" s="27">
        <v>0</v>
      </c>
      <c r="N257" s="160">
        <v>433729</v>
      </c>
      <c r="O257" s="160">
        <v>0</v>
      </c>
      <c r="P257" s="160">
        <v>0</v>
      </c>
      <c r="Q257" s="160">
        <v>0</v>
      </c>
      <c r="R257" s="160">
        <v>0</v>
      </c>
      <c r="S257" s="65">
        <v>493455</v>
      </c>
      <c r="T257" s="34">
        <v>38226</v>
      </c>
      <c r="U257" s="34">
        <v>52583</v>
      </c>
      <c r="V257" s="34">
        <v>1036</v>
      </c>
      <c r="W257" s="34">
        <v>0</v>
      </c>
      <c r="X257" s="89">
        <v>91845</v>
      </c>
      <c r="Y257" s="65">
        <v>585300</v>
      </c>
      <c r="Z257" s="160">
        <v>471955</v>
      </c>
    </row>
    <row r="258" spans="1:26" s="5" customFormat="1" ht="12.75" hidden="1" customHeight="1" x14ac:dyDescent="0.25">
      <c r="A258" s="24" t="s">
        <v>396</v>
      </c>
      <c r="B258" s="25"/>
      <c r="C258" s="27"/>
      <c r="D258" s="27"/>
      <c r="E258" s="27"/>
      <c r="F258" s="21"/>
      <c r="G258" s="89">
        <v>60106</v>
      </c>
      <c r="H258" s="65">
        <v>0</v>
      </c>
      <c r="I258" s="34">
        <v>63276</v>
      </c>
      <c r="J258" s="27">
        <v>8100</v>
      </c>
      <c r="K258" s="27">
        <v>364922</v>
      </c>
      <c r="L258" s="27">
        <v>0</v>
      </c>
      <c r="M258" s="27">
        <v>0</v>
      </c>
      <c r="N258" s="160">
        <v>436298</v>
      </c>
      <c r="O258" s="160">
        <v>0</v>
      </c>
      <c r="P258" s="160">
        <v>0</v>
      </c>
      <c r="Q258" s="160">
        <v>0</v>
      </c>
      <c r="R258" s="160">
        <v>0</v>
      </c>
      <c r="S258" s="65">
        <v>496404</v>
      </c>
      <c r="T258" s="34">
        <v>38834</v>
      </c>
      <c r="U258" s="34">
        <v>53713</v>
      </c>
      <c r="V258" s="34">
        <v>1074</v>
      </c>
      <c r="W258" s="34">
        <v>0</v>
      </c>
      <c r="X258" s="89">
        <v>93621</v>
      </c>
      <c r="Y258" s="65">
        <v>590025</v>
      </c>
      <c r="Z258" s="160">
        <v>475132</v>
      </c>
    </row>
    <row r="259" spans="1:26" s="5" customFormat="1" ht="12.75" hidden="1" customHeight="1" x14ac:dyDescent="0.25">
      <c r="A259" s="161" t="s">
        <v>397</v>
      </c>
      <c r="B259" s="25"/>
      <c r="C259" s="27"/>
      <c r="D259" s="27"/>
      <c r="E259" s="27"/>
      <c r="F259" s="21"/>
      <c r="G259" s="89">
        <v>64390</v>
      </c>
      <c r="H259" s="65">
        <v>0</v>
      </c>
      <c r="I259" s="34">
        <v>68315</v>
      </c>
      <c r="J259" s="27">
        <v>9364</v>
      </c>
      <c r="K259" s="27">
        <v>382982</v>
      </c>
      <c r="L259" s="27">
        <v>0</v>
      </c>
      <c r="M259" s="27">
        <v>0</v>
      </c>
      <c r="N259" s="160">
        <v>460661</v>
      </c>
      <c r="O259" s="160">
        <v>0</v>
      </c>
      <c r="P259" s="160">
        <v>0</v>
      </c>
      <c r="Q259" s="160">
        <v>0</v>
      </c>
      <c r="R259" s="160">
        <v>0</v>
      </c>
      <c r="S259" s="65">
        <v>525051</v>
      </c>
      <c r="T259" s="34">
        <v>41102</v>
      </c>
      <c r="U259" s="34">
        <v>55336</v>
      </c>
      <c r="V259" s="34">
        <v>1131</v>
      </c>
      <c r="W259" s="34">
        <v>0</v>
      </c>
      <c r="X259" s="89">
        <v>97569</v>
      </c>
      <c r="Y259" s="65">
        <v>622620</v>
      </c>
      <c r="Z259" s="160">
        <v>501763</v>
      </c>
    </row>
    <row r="260" spans="1:26" s="5" customFormat="1" ht="12.75" hidden="1" customHeight="1" x14ac:dyDescent="0.25">
      <c r="A260" s="161" t="s">
        <v>398</v>
      </c>
      <c r="B260" s="25"/>
      <c r="C260" s="27"/>
      <c r="D260" s="27"/>
      <c r="E260" s="27"/>
      <c r="F260" s="21"/>
      <c r="G260" s="89">
        <v>64511</v>
      </c>
      <c r="H260" s="65">
        <v>0</v>
      </c>
      <c r="I260" s="34">
        <v>69141</v>
      </c>
      <c r="J260" s="27">
        <v>9162</v>
      </c>
      <c r="K260" s="27">
        <v>385041</v>
      </c>
      <c r="L260" s="27">
        <v>0</v>
      </c>
      <c r="M260" s="27">
        <v>0</v>
      </c>
      <c r="N260" s="160">
        <v>463344</v>
      </c>
      <c r="O260" s="160">
        <v>0</v>
      </c>
      <c r="P260" s="160">
        <v>0</v>
      </c>
      <c r="Q260" s="160">
        <v>0</v>
      </c>
      <c r="R260" s="160">
        <v>0</v>
      </c>
      <c r="S260" s="65">
        <v>527855</v>
      </c>
      <c r="T260" s="34">
        <v>41278</v>
      </c>
      <c r="U260" s="34">
        <v>56129</v>
      </c>
      <c r="V260" s="34">
        <v>1167</v>
      </c>
      <c r="W260" s="34">
        <v>0</v>
      </c>
      <c r="X260" s="89">
        <v>98574</v>
      </c>
      <c r="Y260" s="65">
        <v>626429</v>
      </c>
      <c r="Z260" s="160">
        <v>504622</v>
      </c>
    </row>
    <row r="261" spans="1:26" s="5" customFormat="1" ht="12.75" hidden="1" customHeight="1" x14ac:dyDescent="0.25">
      <c r="A261" s="24" t="s">
        <v>399</v>
      </c>
      <c r="B261" s="25"/>
      <c r="C261" s="27"/>
      <c r="D261" s="27"/>
      <c r="E261" s="27"/>
      <c r="F261" s="21"/>
      <c r="G261" s="89">
        <v>64509</v>
      </c>
      <c r="H261" s="65">
        <v>0</v>
      </c>
      <c r="I261" s="34">
        <v>68933</v>
      </c>
      <c r="J261" s="27">
        <v>9084</v>
      </c>
      <c r="K261" s="27">
        <v>384297</v>
      </c>
      <c r="L261" s="27">
        <v>0</v>
      </c>
      <c r="M261" s="27">
        <v>0</v>
      </c>
      <c r="N261" s="160">
        <v>462314</v>
      </c>
      <c r="O261" s="160">
        <v>0</v>
      </c>
      <c r="P261" s="160">
        <v>0</v>
      </c>
      <c r="Q261" s="160">
        <v>0</v>
      </c>
      <c r="R261" s="160">
        <v>0</v>
      </c>
      <c r="S261" s="65">
        <v>526823</v>
      </c>
      <c r="T261" s="34">
        <v>41048</v>
      </c>
      <c r="U261" s="34">
        <v>55655</v>
      </c>
      <c r="V261" s="34">
        <v>1209</v>
      </c>
      <c r="W261" s="34">
        <v>0</v>
      </c>
      <c r="X261" s="89">
        <v>97912</v>
      </c>
      <c r="Y261" s="65">
        <v>624735</v>
      </c>
      <c r="Z261" s="160">
        <v>503362</v>
      </c>
    </row>
    <row r="262" spans="1:26" s="5" customFormat="1" ht="12.75" hidden="1" customHeight="1" x14ac:dyDescent="0.25">
      <c r="A262" s="24" t="s">
        <v>400</v>
      </c>
      <c r="B262" s="25"/>
      <c r="C262" s="27"/>
      <c r="D262" s="27"/>
      <c r="E262" s="27"/>
      <c r="F262" s="21"/>
      <c r="G262" s="89">
        <v>64215</v>
      </c>
      <c r="H262" s="65">
        <v>0</v>
      </c>
      <c r="I262" s="34">
        <v>69497</v>
      </c>
      <c r="J262" s="27">
        <v>9346</v>
      </c>
      <c r="K262" s="27">
        <v>385308</v>
      </c>
      <c r="L262" s="27">
        <v>0</v>
      </c>
      <c r="M262" s="27">
        <v>0</v>
      </c>
      <c r="N262" s="160">
        <v>464151</v>
      </c>
      <c r="O262" s="160">
        <v>0</v>
      </c>
      <c r="P262" s="160">
        <v>0</v>
      </c>
      <c r="Q262" s="160">
        <v>0</v>
      </c>
      <c r="R262" s="160">
        <v>0</v>
      </c>
      <c r="S262" s="65">
        <v>528366</v>
      </c>
      <c r="T262" s="34">
        <v>40935</v>
      </c>
      <c r="U262" s="34">
        <v>56085</v>
      </c>
      <c r="V262" s="34">
        <v>1230</v>
      </c>
      <c r="W262" s="34">
        <v>0</v>
      </c>
      <c r="X262" s="89">
        <v>98250</v>
      </c>
      <c r="Y262" s="65">
        <v>626616</v>
      </c>
      <c r="Z262" s="160">
        <v>505086</v>
      </c>
    </row>
    <row r="263" spans="1:26" s="5" customFormat="1" ht="12.75" hidden="1" customHeight="1" x14ac:dyDescent="0.25">
      <c r="A263" s="24" t="s">
        <v>401</v>
      </c>
      <c r="B263" s="25"/>
      <c r="C263" s="27"/>
      <c r="D263" s="27"/>
      <c r="E263" s="27"/>
      <c r="F263" s="21"/>
      <c r="G263" s="89">
        <v>64352</v>
      </c>
      <c r="H263" s="65">
        <v>0</v>
      </c>
      <c r="I263" s="34">
        <v>69499</v>
      </c>
      <c r="J263" s="27">
        <v>9478</v>
      </c>
      <c r="K263" s="27">
        <v>386732</v>
      </c>
      <c r="L263" s="27">
        <v>0</v>
      </c>
      <c r="M263" s="27">
        <v>0</v>
      </c>
      <c r="N263" s="160">
        <v>465709</v>
      </c>
      <c r="O263" s="160">
        <v>0</v>
      </c>
      <c r="P263" s="160">
        <v>0</v>
      </c>
      <c r="Q263" s="160">
        <v>0</v>
      </c>
      <c r="R263" s="160">
        <v>0</v>
      </c>
      <c r="S263" s="65">
        <v>530061</v>
      </c>
      <c r="T263" s="34">
        <v>41149</v>
      </c>
      <c r="U263" s="34">
        <v>56599</v>
      </c>
      <c r="V263" s="34">
        <v>1269</v>
      </c>
      <c r="W263" s="34">
        <v>0</v>
      </c>
      <c r="X263" s="89">
        <v>99017</v>
      </c>
      <c r="Y263" s="65">
        <v>629078</v>
      </c>
      <c r="Z263" s="160">
        <v>506858</v>
      </c>
    </row>
    <row r="264" spans="1:26" s="5" customFormat="1" ht="12.75" hidden="1" customHeight="1" x14ac:dyDescent="0.25">
      <c r="A264" s="24" t="s">
        <v>402</v>
      </c>
      <c r="B264" s="25"/>
      <c r="C264" s="27"/>
      <c r="D264" s="27"/>
      <c r="E264" s="27"/>
      <c r="F264" s="21"/>
      <c r="G264" s="89">
        <v>64526</v>
      </c>
      <c r="H264" s="65">
        <v>0</v>
      </c>
      <c r="I264" s="34">
        <v>69914</v>
      </c>
      <c r="J264" s="27">
        <v>9812</v>
      </c>
      <c r="K264" s="27">
        <v>388234</v>
      </c>
      <c r="L264" s="27">
        <v>0</v>
      </c>
      <c r="M264" s="27">
        <v>0</v>
      </c>
      <c r="N264" s="160">
        <v>467960</v>
      </c>
      <c r="O264" s="160">
        <v>0</v>
      </c>
      <c r="P264" s="160">
        <v>0</v>
      </c>
      <c r="Q264" s="160">
        <v>0</v>
      </c>
      <c r="R264" s="160">
        <v>0</v>
      </c>
      <c r="S264" s="65">
        <v>532486</v>
      </c>
      <c r="T264" s="34">
        <v>41273</v>
      </c>
      <c r="U264" s="34">
        <v>56952</v>
      </c>
      <c r="V264" s="34">
        <v>1270</v>
      </c>
      <c r="W264" s="34">
        <v>0</v>
      </c>
      <c r="X264" s="89">
        <v>99495</v>
      </c>
      <c r="Y264" s="65">
        <v>631981</v>
      </c>
      <c r="Z264" s="160">
        <v>509233</v>
      </c>
    </row>
    <row r="265" spans="1:26" s="5" customFormat="1" ht="12.75" hidden="1" customHeight="1" x14ac:dyDescent="0.25">
      <c r="A265" s="24"/>
      <c r="B265" s="25"/>
      <c r="C265" s="27"/>
      <c r="D265" s="27"/>
      <c r="E265" s="27"/>
      <c r="F265" s="21"/>
      <c r="G265" s="89"/>
      <c r="H265" s="65"/>
      <c r="I265" s="34"/>
      <c r="J265" s="27"/>
      <c r="K265" s="27"/>
      <c r="L265" s="27"/>
      <c r="M265" s="27">
        <v>0</v>
      </c>
      <c r="N265" s="160"/>
      <c r="O265" s="160">
        <v>0</v>
      </c>
      <c r="P265" s="160">
        <v>0</v>
      </c>
      <c r="Q265" s="160">
        <v>0</v>
      </c>
      <c r="R265" s="160">
        <v>0</v>
      </c>
      <c r="S265" s="65"/>
      <c r="T265" s="34"/>
      <c r="U265" s="34"/>
      <c r="V265" s="34"/>
      <c r="W265" s="34">
        <v>0</v>
      </c>
      <c r="X265" s="89"/>
      <c r="Y265" s="65"/>
      <c r="Z265" s="160"/>
    </row>
    <row r="266" spans="1:26" s="5" customFormat="1" ht="12.75" hidden="1" customHeight="1" x14ac:dyDescent="0.25">
      <c r="A266" s="25" t="s">
        <v>403</v>
      </c>
      <c r="B266" s="25"/>
      <c r="C266" s="27">
        <v>71693</v>
      </c>
      <c r="D266" s="27"/>
      <c r="E266" s="27">
        <v>2775</v>
      </c>
      <c r="F266" s="21">
        <v>0</v>
      </c>
      <c r="G266" s="89">
        <v>74468</v>
      </c>
      <c r="H266" s="65">
        <v>0</v>
      </c>
      <c r="I266" s="34">
        <v>76240</v>
      </c>
      <c r="J266" s="27">
        <v>10936</v>
      </c>
      <c r="K266" s="27">
        <v>415089</v>
      </c>
      <c r="L266" s="27">
        <v>0</v>
      </c>
      <c r="M266" s="27">
        <v>0</v>
      </c>
      <c r="N266" s="160">
        <v>502265</v>
      </c>
      <c r="O266" s="160">
        <v>0</v>
      </c>
      <c r="P266" s="160">
        <v>0</v>
      </c>
      <c r="Q266" s="160">
        <v>0</v>
      </c>
      <c r="R266" s="160">
        <v>0</v>
      </c>
      <c r="S266" s="65">
        <v>576733</v>
      </c>
      <c r="T266" s="34">
        <v>44283</v>
      </c>
      <c r="U266" s="34">
        <v>60174</v>
      </c>
      <c r="V266" s="34">
        <v>1348</v>
      </c>
      <c r="W266" s="34">
        <v>0</v>
      </c>
      <c r="X266" s="89">
        <v>105805</v>
      </c>
      <c r="Y266" s="65">
        <v>682538</v>
      </c>
      <c r="Z266" s="160">
        <v>546548</v>
      </c>
    </row>
    <row r="267" spans="1:26" s="5" customFormat="1" ht="12.75" hidden="1" customHeight="1" x14ac:dyDescent="0.25">
      <c r="A267" s="25" t="s">
        <v>404</v>
      </c>
      <c r="B267" s="25"/>
      <c r="C267" s="27">
        <v>71727</v>
      </c>
      <c r="D267" s="27"/>
      <c r="E267" s="27">
        <v>2867</v>
      </c>
      <c r="F267" s="21">
        <v>0</v>
      </c>
      <c r="G267" s="89">
        <v>74594</v>
      </c>
      <c r="H267" s="65">
        <v>0</v>
      </c>
      <c r="I267" s="34">
        <v>76216</v>
      </c>
      <c r="J267" s="27">
        <v>10815</v>
      </c>
      <c r="K267" s="27">
        <v>414802</v>
      </c>
      <c r="L267" s="27">
        <v>0</v>
      </c>
      <c r="M267" s="27">
        <v>0</v>
      </c>
      <c r="N267" s="160">
        <v>501833</v>
      </c>
      <c r="O267" s="160">
        <v>0</v>
      </c>
      <c r="P267" s="160">
        <v>0</v>
      </c>
      <c r="Q267" s="160">
        <v>0</v>
      </c>
      <c r="R267" s="160">
        <v>0</v>
      </c>
      <c r="S267" s="65">
        <v>576427</v>
      </c>
      <c r="T267" s="34">
        <v>44130</v>
      </c>
      <c r="U267" s="34">
        <v>59845</v>
      </c>
      <c r="V267" s="34">
        <v>1350</v>
      </c>
      <c r="W267" s="34">
        <v>0</v>
      </c>
      <c r="X267" s="89">
        <v>105325</v>
      </c>
      <c r="Y267" s="65">
        <v>681752</v>
      </c>
      <c r="Z267" s="160">
        <v>545963</v>
      </c>
    </row>
    <row r="268" spans="1:26" s="5" customFormat="1" ht="12.75" hidden="1" customHeight="1" x14ac:dyDescent="0.25">
      <c r="A268" s="25" t="s">
        <v>405</v>
      </c>
      <c r="B268" s="25"/>
      <c r="C268" s="27">
        <v>71816</v>
      </c>
      <c r="D268" s="27"/>
      <c r="E268" s="27">
        <v>2892</v>
      </c>
      <c r="F268" s="21">
        <v>0</v>
      </c>
      <c r="G268" s="89">
        <v>74708</v>
      </c>
      <c r="H268" s="65">
        <v>0</v>
      </c>
      <c r="I268" s="34">
        <v>76354</v>
      </c>
      <c r="J268" s="27">
        <v>10838</v>
      </c>
      <c r="K268" s="27">
        <v>414390</v>
      </c>
      <c r="L268" s="27">
        <v>0</v>
      </c>
      <c r="M268" s="27">
        <v>0</v>
      </c>
      <c r="N268" s="160">
        <v>501582</v>
      </c>
      <c r="O268" s="160">
        <v>0</v>
      </c>
      <c r="P268" s="160">
        <v>0</v>
      </c>
      <c r="Q268" s="160">
        <v>0</v>
      </c>
      <c r="R268" s="160">
        <v>0</v>
      </c>
      <c r="S268" s="65">
        <v>576290</v>
      </c>
      <c r="T268" s="34">
        <v>44497</v>
      </c>
      <c r="U268" s="34">
        <v>58505</v>
      </c>
      <c r="V268" s="34">
        <v>1356</v>
      </c>
      <c r="W268" s="34">
        <v>0</v>
      </c>
      <c r="X268" s="89">
        <v>104358</v>
      </c>
      <c r="Y268" s="65">
        <v>680648</v>
      </c>
      <c r="Z268" s="160">
        <v>546079</v>
      </c>
    </row>
    <row r="269" spans="1:26" s="5" customFormat="1" ht="12.75" hidden="1" customHeight="1" x14ac:dyDescent="0.25">
      <c r="A269" s="25" t="s">
        <v>406</v>
      </c>
      <c r="B269" s="25"/>
      <c r="C269" s="27">
        <v>72394</v>
      </c>
      <c r="D269" s="27"/>
      <c r="E269" s="27">
        <v>2892</v>
      </c>
      <c r="F269" s="21">
        <v>0</v>
      </c>
      <c r="G269" s="89">
        <v>75286</v>
      </c>
      <c r="H269" s="65">
        <v>0</v>
      </c>
      <c r="I269" s="34">
        <v>88357</v>
      </c>
      <c r="J269" s="27"/>
      <c r="K269" s="27">
        <v>416177</v>
      </c>
      <c r="L269" s="27">
        <v>0</v>
      </c>
      <c r="M269" s="27">
        <v>0</v>
      </c>
      <c r="N269" s="160">
        <v>504534</v>
      </c>
      <c r="O269" s="160">
        <v>0</v>
      </c>
      <c r="P269" s="160">
        <v>0</v>
      </c>
      <c r="Q269" s="160">
        <v>0</v>
      </c>
      <c r="R269" s="160">
        <v>0</v>
      </c>
      <c r="S269" s="65">
        <v>579820</v>
      </c>
      <c r="T269" s="34">
        <v>44758</v>
      </c>
      <c r="U269" s="34">
        <v>58538</v>
      </c>
      <c r="V269" s="34">
        <v>1343</v>
      </c>
      <c r="W269" s="34">
        <v>0</v>
      </c>
      <c r="X269" s="89">
        <v>104639</v>
      </c>
      <c r="Y269" s="65">
        <v>684459</v>
      </c>
      <c r="Z269" s="160">
        <v>549292</v>
      </c>
    </row>
    <row r="270" spans="1:26" s="5" customFormat="1" ht="12.75" hidden="1" customHeight="1" x14ac:dyDescent="0.25">
      <c r="A270" s="25" t="s">
        <v>407</v>
      </c>
      <c r="B270" s="25"/>
      <c r="C270" s="27">
        <v>72354</v>
      </c>
      <c r="D270" s="27"/>
      <c r="E270" s="27">
        <v>3090</v>
      </c>
      <c r="F270" s="21">
        <v>0</v>
      </c>
      <c r="G270" s="89">
        <v>75444</v>
      </c>
      <c r="H270" s="65">
        <v>0</v>
      </c>
      <c r="I270" s="34">
        <v>77758</v>
      </c>
      <c r="J270" s="27">
        <v>10687</v>
      </c>
      <c r="K270" s="27">
        <v>417421</v>
      </c>
      <c r="L270" s="27">
        <v>0</v>
      </c>
      <c r="M270" s="27">
        <v>0</v>
      </c>
      <c r="N270" s="160">
        <v>505866</v>
      </c>
      <c r="O270" s="160">
        <v>0</v>
      </c>
      <c r="P270" s="160">
        <v>0</v>
      </c>
      <c r="Q270" s="160">
        <v>0</v>
      </c>
      <c r="R270" s="160">
        <v>0</v>
      </c>
      <c r="S270" s="65">
        <v>581310</v>
      </c>
      <c r="T270" s="34">
        <v>45015</v>
      </c>
      <c r="U270" s="34">
        <v>59330</v>
      </c>
      <c r="V270" s="34">
        <v>1365</v>
      </c>
      <c r="W270" s="34">
        <v>0</v>
      </c>
      <c r="X270" s="89">
        <v>105710</v>
      </c>
      <c r="Y270" s="65">
        <v>687020</v>
      </c>
      <c r="Z270" s="160">
        <v>550881</v>
      </c>
    </row>
    <row r="271" spans="1:26" s="5" customFormat="1" ht="12.75" hidden="1" customHeight="1" x14ac:dyDescent="0.25">
      <c r="A271" s="25" t="s">
        <v>408</v>
      </c>
      <c r="B271" s="25"/>
      <c r="C271" s="27">
        <v>72832</v>
      </c>
      <c r="D271" s="27"/>
      <c r="E271" s="27">
        <v>3205</v>
      </c>
      <c r="F271" s="21">
        <v>0</v>
      </c>
      <c r="G271" s="89">
        <v>76037</v>
      </c>
      <c r="H271" s="65">
        <v>0</v>
      </c>
      <c r="I271" s="34">
        <v>78707</v>
      </c>
      <c r="J271" s="27">
        <v>10842</v>
      </c>
      <c r="K271" s="27">
        <v>420936</v>
      </c>
      <c r="L271" s="27">
        <v>0</v>
      </c>
      <c r="M271" s="27">
        <v>0</v>
      </c>
      <c r="N271" s="160">
        <v>510485</v>
      </c>
      <c r="O271" s="160">
        <v>0</v>
      </c>
      <c r="P271" s="160">
        <v>0</v>
      </c>
      <c r="Q271" s="160">
        <v>0</v>
      </c>
      <c r="R271" s="160">
        <v>0</v>
      </c>
      <c r="S271" s="65">
        <v>586522</v>
      </c>
      <c r="T271" s="34">
        <v>45842</v>
      </c>
      <c r="U271" s="34">
        <v>59913</v>
      </c>
      <c r="V271" s="34">
        <v>1337</v>
      </c>
      <c r="W271" s="34">
        <v>0</v>
      </c>
      <c r="X271" s="89">
        <v>107092</v>
      </c>
      <c r="Y271" s="65">
        <v>693614</v>
      </c>
      <c r="Z271" s="160">
        <v>556327</v>
      </c>
    </row>
    <row r="272" spans="1:26" s="5" customFormat="1" ht="12.75" hidden="1" customHeight="1" x14ac:dyDescent="0.25">
      <c r="A272" s="162" t="s">
        <v>409</v>
      </c>
      <c r="B272" s="25"/>
      <c r="C272" s="27">
        <v>73382</v>
      </c>
      <c r="D272" s="27"/>
      <c r="E272" s="27">
        <v>3280</v>
      </c>
      <c r="F272" s="21">
        <v>0</v>
      </c>
      <c r="G272" s="89">
        <v>76662</v>
      </c>
      <c r="H272" s="65">
        <v>0</v>
      </c>
      <c r="I272" s="34">
        <v>79149</v>
      </c>
      <c r="J272" s="27">
        <v>10676</v>
      </c>
      <c r="K272" s="27">
        <v>421707</v>
      </c>
      <c r="L272" s="27">
        <v>0</v>
      </c>
      <c r="M272" s="27">
        <v>0</v>
      </c>
      <c r="N272" s="160">
        <v>511532</v>
      </c>
      <c r="O272" s="160">
        <v>0</v>
      </c>
      <c r="P272" s="160">
        <v>0</v>
      </c>
      <c r="Q272" s="160">
        <v>0</v>
      </c>
      <c r="R272" s="160">
        <v>0</v>
      </c>
      <c r="S272" s="65">
        <v>588194</v>
      </c>
      <c r="T272" s="34">
        <v>46370</v>
      </c>
      <c r="U272" s="34">
        <v>60076</v>
      </c>
      <c r="V272" s="34">
        <v>1345</v>
      </c>
      <c r="W272" s="34">
        <v>0</v>
      </c>
      <c r="X272" s="89">
        <v>107791</v>
      </c>
      <c r="Y272" s="65">
        <v>695985</v>
      </c>
      <c r="Z272" s="160">
        <v>557902</v>
      </c>
    </row>
    <row r="273" spans="1:26" s="5" customFormat="1" ht="12.75" hidden="1" customHeight="1" x14ac:dyDescent="0.25">
      <c r="A273" s="162" t="s">
        <v>410</v>
      </c>
      <c r="B273" s="25"/>
      <c r="C273" s="27">
        <v>73751</v>
      </c>
      <c r="D273" s="27"/>
      <c r="E273" s="27">
        <v>3305</v>
      </c>
      <c r="F273" s="21">
        <v>0</v>
      </c>
      <c r="G273" s="89">
        <v>77056</v>
      </c>
      <c r="H273" s="65">
        <v>0</v>
      </c>
      <c r="I273" s="34">
        <v>79662</v>
      </c>
      <c r="J273" s="27">
        <v>10645</v>
      </c>
      <c r="K273" s="27">
        <v>423212</v>
      </c>
      <c r="L273" s="27">
        <v>0</v>
      </c>
      <c r="M273" s="27">
        <v>0</v>
      </c>
      <c r="N273" s="160">
        <v>513519</v>
      </c>
      <c r="O273" s="160">
        <v>0</v>
      </c>
      <c r="P273" s="160">
        <v>0</v>
      </c>
      <c r="Q273" s="160">
        <v>0</v>
      </c>
      <c r="R273" s="160">
        <v>0</v>
      </c>
      <c r="S273" s="65">
        <v>590575</v>
      </c>
      <c r="T273" s="34">
        <v>46607</v>
      </c>
      <c r="U273" s="34">
        <v>60132</v>
      </c>
      <c r="V273" s="34">
        <v>1321</v>
      </c>
      <c r="W273" s="34">
        <v>0</v>
      </c>
      <c r="X273" s="89">
        <v>108060</v>
      </c>
      <c r="Y273" s="65">
        <v>698635</v>
      </c>
      <c r="Z273" s="160">
        <v>560126</v>
      </c>
    </row>
    <row r="274" spans="1:26" s="5" customFormat="1" ht="12.75" hidden="1" customHeight="1" x14ac:dyDescent="0.25">
      <c r="A274" s="25" t="s">
        <v>411</v>
      </c>
      <c r="B274" s="25"/>
      <c r="C274" s="27">
        <v>73637</v>
      </c>
      <c r="D274" s="27"/>
      <c r="E274" s="27">
        <v>3361</v>
      </c>
      <c r="F274" s="21">
        <v>0</v>
      </c>
      <c r="G274" s="89">
        <v>76998</v>
      </c>
      <c r="H274" s="65">
        <v>0</v>
      </c>
      <c r="I274" s="34">
        <v>79587</v>
      </c>
      <c r="J274" s="27">
        <v>10443</v>
      </c>
      <c r="K274" s="27">
        <v>422544</v>
      </c>
      <c r="L274" s="27">
        <v>0</v>
      </c>
      <c r="M274" s="27">
        <v>0</v>
      </c>
      <c r="N274" s="160">
        <v>512574</v>
      </c>
      <c r="O274" s="160">
        <v>0</v>
      </c>
      <c r="P274" s="160">
        <v>0</v>
      </c>
      <c r="Q274" s="160">
        <v>0</v>
      </c>
      <c r="R274" s="160">
        <v>0</v>
      </c>
      <c r="S274" s="65">
        <v>589572</v>
      </c>
      <c r="T274" s="34">
        <v>46168</v>
      </c>
      <c r="U274" s="34">
        <v>59718</v>
      </c>
      <c r="V274" s="34">
        <v>1373</v>
      </c>
      <c r="W274" s="34">
        <v>0</v>
      </c>
      <c r="X274" s="89">
        <v>107259</v>
      </c>
      <c r="Y274" s="65">
        <v>696831</v>
      </c>
      <c r="Z274" s="160">
        <v>558742</v>
      </c>
    </row>
    <row r="275" spans="1:26" s="5" customFormat="1" ht="12.75" hidden="1" customHeight="1" x14ac:dyDescent="0.25">
      <c r="A275" s="25" t="s">
        <v>412</v>
      </c>
      <c r="B275" s="25"/>
      <c r="C275" s="27">
        <v>73656</v>
      </c>
      <c r="D275" s="27"/>
      <c r="E275" s="27">
        <v>3411</v>
      </c>
      <c r="F275" s="21">
        <v>0</v>
      </c>
      <c r="G275" s="89">
        <v>77067</v>
      </c>
      <c r="H275" s="65">
        <v>0</v>
      </c>
      <c r="I275" s="34">
        <v>79803</v>
      </c>
      <c r="J275" s="27">
        <v>10645</v>
      </c>
      <c r="K275" s="27">
        <v>422197</v>
      </c>
      <c r="L275" s="27">
        <v>0</v>
      </c>
      <c r="M275" s="27">
        <v>0</v>
      </c>
      <c r="N275" s="160">
        <v>512645</v>
      </c>
      <c r="O275" s="160">
        <v>0</v>
      </c>
      <c r="P275" s="160">
        <v>0</v>
      </c>
      <c r="Q275" s="160">
        <v>0</v>
      </c>
      <c r="R275" s="160">
        <v>0</v>
      </c>
      <c r="S275" s="65">
        <v>589712</v>
      </c>
      <c r="T275" s="34">
        <v>45678</v>
      </c>
      <c r="U275" s="34">
        <v>59587</v>
      </c>
      <c r="V275" s="34">
        <v>1408</v>
      </c>
      <c r="W275" s="34">
        <v>0</v>
      </c>
      <c r="X275" s="89">
        <v>106673</v>
      </c>
      <c r="Y275" s="65">
        <v>696385</v>
      </c>
      <c r="Z275" s="160">
        <v>558323</v>
      </c>
    </row>
    <row r="276" spans="1:26" s="5" customFormat="1" ht="12.75" hidden="1" customHeight="1" x14ac:dyDescent="0.25">
      <c r="A276" s="25" t="s">
        <v>413</v>
      </c>
      <c r="B276" s="25"/>
      <c r="C276" s="27">
        <v>73236</v>
      </c>
      <c r="D276" s="27"/>
      <c r="E276" s="27">
        <v>3465</v>
      </c>
      <c r="F276" s="21">
        <v>0</v>
      </c>
      <c r="G276" s="89">
        <v>76701</v>
      </c>
      <c r="H276" s="65">
        <v>0</v>
      </c>
      <c r="I276" s="34">
        <v>90510</v>
      </c>
      <c r="J276" s="27"/>
      <c r="K276" s="27">
        <v>422063</v>
      </c>
      <c r="L276" s="27">
        <v>0</v>
      </c>
      <c r="M276" s="27">
        <v>0</v>
      </c>
      <c r="N276" s="160">
        <v>512573</v>
      </c>
      <c r="O276" s="160">
        <v>0</v>
      </c>
      <c r="P276" s="160">
        <v>0</v>
      </c>
      <c r="Q276" s="160">
        <v>0</v>
      </c>
      <c r="R276" s="160">
        <v>0</v>
      </c>
      <c r="S276" s="65">
        <v>589274</v>
      </c>
      <c r="T276" s="34">
        <v>45439</v>
      </c>
      <c r="U276" s="34">
        <v>59326</v>
      </c>
      <c r="V276" s="34">
        <v>1424</v>
      </c>
      <c r="W276" s="34">
        <v>0</v>
      </c>
      <c r="X276" s="89">
        <v>106189</v>
      </c>
      <c r="Y276" s="65">
        <v>695463</v>
      </c>
      <c r="Z276" s="160">
        <v>558012</v>
      </c>
    </row>
    <row r="277" spans="1:26" s="5" customFormat="1" ht="12.75" hidden="1" customHeight="1" x14ac:dyDescent="0.25">
      <c r="A277" s="25" t="s">
        <v>414</v>
      </c>
      <c r="B277" s="25"/>
      <c r="C277" s="27">
        <v>73451</v>
      </c>
      <c r="D277" s="27"/>
      <c r="E277" s="27">
        <v>3517</v>
      </c>
      <c r="F277" s="21">
        <v>0</v>
      </c>
      <c r="G277" s="89">
        <v>76968</v>
      </c>
      <c r="H277" s="65">
        <v>0</v>
      </c>
      <c r="I277" s="34">
        <v>79742</v>
      </c>
      <c r="J277" s="27">
        <v>11105</v>
      </c>
      <c r="K277" s="27">
        <v>422297</v>
      </c>
      <c r="L277" s="27">
        <v>0</v>
      </c>
      <c r="M277" s="27">
        <v>0</v>
      </c>
      <c r="N277" s="160">
        <v>513144</v>
      </c>
      <c r="O277" s="160">
        <v>0</v>
      </c>
      <c r="P277" s="160">
        <v>0</v>
      </c>
      <c r="Q277" s="160">
        <v>0</v>
      </c>
      <c r="R277" s="160">
        <v>0</v>
      </c>
      <c r="S277" s="65">
        <v>590112</v>
      </c>
      <c r="T277" s="34">
        <v>45355</v>
      </c>
      <c r="U277" s="34">
        <v>60101</v>
      </c>
      <c r="V277" s="34">
        <v>1470</v>
      </c>
      <c r="W277" s="34">
        <v>0</v>
      </c>
      <c r="X277" s="89">
        <v>106926</v>
      </c>
      <c r="Y277" s="65">
        <v>697038</v>
      </c>
      <c r="Z277" s="160">
        <v>558499</v>
      </c>
    </row>
    <row r="278" spans="1:26" s="5" customFormat="1" ht="12.75" hidden="1" customHeight="1" x14ac:dyDescent="0.25">
      <c r="A278" s="25"/>
      <c r="B278" s="25"/>
      <c r="C278" s="27"/>
      <c r="D278" s="27"/>
      <c r="E278" s="27"/>
      <c r="F278" s="21"/>
      <c r="G278" s="89"/>
      <c r="H278" s="65"/>
      <c r="I278" s="34"/>
      <c r="J278" s="27"/>
      <c r="K278" s="27"/>
      <c r="L278" s="27"/>
      <c r="M278" s="27">
        <v>0</v>
      </c>
      <c r="N278" s="160"/>
      <c r="O278" s="160">
        <v>0</v>
      </c>
      <c r="P278" s="160">
        <v>0</v>
      </c>
      <c r="Q278" s="160">
        <v>0</v>
      </c>
      <c r="R278" s="160">
        <v>0</v>
      </c>
      <c r="S278" s="65"/>
      <c r="T278" s="34"/>
      <c r="U278" s="34"/>
      <c r="V278" s="34"/>
      <c r="W278" s="34">
        <v>0</v>
      </c>
      <c r="X278" s="89"/>
      <c r="Y278" s="65"/>
      <c r="Z278" s="160"/>
    </row>
    <row r="279" spans="1:26" s="5" customFormat="1" ht="12.75" hidden="1" customHeight="1" x14ac:dyDescent="0.25">
      <c r="A279" s="25" t="s">
        <v>415</v>
      </c>
      <c r="B279" s="25"/>
      <c r="C279" s="27">
        <v>73037</v>
      </c>
      <c r="D279" s="27"/>
      <c r="E279" s="27">
        <v>3544</v>
      </c>
      <c r="F279" s="21">
        <v>0</v>
      </c>
      <c r="G279" s="89">
        <v>76581</v>
      </c>
      <c r="H279" s="65">
        <v>0</v>
      </c>
      <c r="I279" s="34">
        <v>79601</v>
      </c>
      <c r="J279" s="27">
        <v>11400</v>
      </c>
      <c r="K279" s="27">
        <v>421513</v>
      </c>
      <c r="L279" s="27">
        <v>0</v>
      </c>
      <c r="M279" s="27">
        <v>0</v>
      </c>
      <c r="N279" s="160">
        <v>512514</v>
      </c>
      <c r="O279" s="160">
        <v>0</v>
      </c>
      <c r="P279" s="160">
        <v>0</v>
      </c>
      <c r="Q279" s="160">
        <v>0</v>
      </c>
      <c r="R279" s="160">
        <v>0</v>
      </c>
      <c r="S279" s="65">
        <v>589095</v>
      </c>
      <c r="T279" s="34">
        <v>45340</v>
      </c>
      <c r="U279" s="34">
        <v>60150</v>
      </c>
      <c r="V279" s="34">
        <v>1423</v>
      </c>
      <c r="W279" s="34">
        <v>0</v>
      </c>
      <c r="X279" s="89">
        <v>106913</v>
      </c>
      <c r="Y279" s="65">
        <v>696008</v>
      </c>
      <c r="Z279" s="160">
        <v>557854</v>
      </c>
    </row>
    <row r="280" spans="1:26" s="5" customFormat="1" ht="12.75" hidden="1" customHeight="1" x14ac:dyDescent="0.25">
      <c r="A280" s="24" t="s">
        <v>416</v>
      </c>
      <c r="B280" s="25"/>
      <c r="C280" s="27">
        <v>73304</v>
      </c>
      <c r="D280" s="27"/>
      <c r="E280" s="27">
        <v>3583</v>
      </c>
      <c r="F280" s="21">
        <v>0</v>
      </c>
      <c r="G280" s="89">
        <v>76887</v>
      </c>
      <c r="H280" s="65">
        <v>0</v>
      </c>
      <c r="I280" s="34">
        <v>79241</v>
      </c>
      <c r="J280" s="27">
        <v>11435</v>
      </c>
      <c r="K280" s="27">
        <v>419008</v>
      </c>
      <c r="L280" s="27">
        <v>0</v>
      </c>
      <c r="M280" s="27">
        <v>0</v>
      </c>
      <c r="N280" s="160">
        <v>509684</v>
      </c>
      <c r="O280" s="160">
        <v>0</v>
      </c>
      <c r="P280" s="160">
        <v>0</v>
      </c>
      <c r="Q280" s="160">
        <v>0</v>
      </c>
      <c r="R280" s="160">
        <v>0</v>
      </c>
      <c r="S280" s="65">
        <v>586571</v>
      </c>
      <c r="T280" s="34">
        <v>45055</v>
      </c>
      <c r="U280" s="34">
        <v>59454</v>
      </c>
      <c r="V280" s="34">
        <v>1413</v>
      </c>
      <c r="W280" s="34">
        <v>0</v>
      </c>
      <c r="X280" s="89">
        <v>105922</v>
      </c>
      <c r="Y280" s="65">
        <v>692493</v>
      </c>
      <c r="Z280" s="160">
        <v>554739</v>
      </c>
    </row>
    <row r="281" spans="1:26" s="5" customFormat="1" ht="12.75" hidden="1" customHeight="1" x14ac:dyDescent="0.25">
      <c r="A281" s="25" t="s">
        <v>417</v>
      </c>
      <c r="B281" s="25"/>
      <c r="C281" s="27">
        <v>73332</v>
      </c>
      <c r="D281" s="27"/>
      <c r="E281" s="27">
        <v>3625</v>
      </c>
      <c r="F281" s="21">
        <v>0</v>
      </c>
      <c r="G281" s="89">
        <v>76957</v>
      </c>
      <c r="H281" s="65">
        <v>0</v>
      </c>
      <c r="I281" s="34">
        <v>78927</v>
      </c>
      <c r="J281" s="27">
        <v>11548</v>
      </c>
      <c r="K281" s="27">
        <v>417710</v>
      </c>
      <c r="L281" s="27">
        <v>0</v>
      </c>
      <c r="M281" s="27">
        <v>0</v>
      </c>
      <c r="N281" s="160">
        <v>508185</v>
      </c>
      <c r="O281" s="160">
        <v>0</v>
      </c>
      <c r="P281" s="160">
        <v>0</v>
      </c>
      <c r="Q281" s="160">
        <v>0</v>
      </c>
      <c r="R281" s="160">
        <v>0</v>
      </c>
      <c r="S281" s="65">
        <v>585142</v>
      </c>
      <c r="T281" s="34">
        <v>44861</v>
      </c>
      <c r="U281" s="34">
        <v>59296</v>
      </c>
      <c r="V281" s="34">
        <v>1384</v>
      </c>
      <c r="W281" s="34">
        <v>0</v>
      </c>
      <c r="X281" s="89">
        <v>105541</v>
      </c>
      <c r="Y281" s="65">
        <v>690683</v>
      </c>
      <c r="Z281" s="160">
        <v>553046</v>
      </c>
    </row>
    <row r="282" spans="1:26" s="5" customFormat="1" ht="12.75" hidden="1" customHeight="1" x14ac:dyDescent="0.25">
      <c r="A282" s="24" t="s">
        <v>418</v>
      </c>
      <c r="B282" s="25"/>
      <c r="C282" s="27">
        <v>73501</v>
      </c>
      <c r="D282" s="27"/>
      <c r="E282" s="27">
        <v>3683</v>
      </c>
      <c r="F282" s="21">
        <v>0</v>
      </c>
      <c r="G282" s="89">
        <v>77184</v>
      </c>
      <c r="H282" s="65">
        <v>0</v>
      </c>
      <c r="I282" s="34">
        <v>79180</v>
      </c>
      <c r="J282" s="27">
        <v>11394</v>
      </c>
      <c r="K282" s="27">
        <v>416880</v>
      </c>
      <c r="L282" s="27">
        <v>0</v>
      </c>
      <c r="M282" s="27">
        <v>0</v>
      </c>
      <c r="N282" s="160">
        <v>507454</v>
      </c>
      <c r="O282" s="160">
        <v>0</v>
      </c>
      <c r="P282" s="160">
        <v>0</v>
      </c>
      <c r="Q282" s="160">
        <v>0</v>
      </c>
      <c r="R282" s="160">
        <v>0</v>
      </c>
      <c r="S282" s="65">
        <v>584638</v>
      </c>
      <c r="T282" s="34">
        <v>45009</v>
      </c>
      <c r="U282" s="34">
        <v>59410</v>
      </c>
      <c r="V282" s="34">
        <v>1400</v>
      </c>
      <c r="W282" s="34">
        <v>0</v>
      </c>
      <c r="X282" s="89">
        <v>105819</v>
      </c>
      <c r="Y282" s="65">
        <v>690457</v>
      </c>
      <c r="Z282" s="160">
        <v>552463</v>
      </c>
    </row>
    <row r="283" spans="1:26" s="5" customFormat="1" ht="12.75" hidden="1" customHeight="1" x14ac:dyDescent="0.25">
      <c r="A283" s="24" t="s">
        <v>419</v>
      </c>
      <c r="B283" s="25"/>
      <c r="C283" s="27">
        <v>73748</v>
      </c>
      <c r="D283" s="27"/>
      <c r="E283" s="27">
        <v>3585</v>
      </c>
      <c r="F283" s="21">
        <v>0</v>
      </c>
      <c r="G283" s="89">
        <v>77333</v>
      </c>
      <c r="H283" s="65">
        <v>0</v>
      </c>
      <c r="I283" s="34">
        <v>79756</v>
      </c>
      <c r="J283" s="27">
        <v>11302</v>
      </c>
      <c r="K283" s="27">
        <v>422871</v>
      </c>
      <c r="L283" s="27">
        <v>0</v>
      </c>
      <c r="M283" s="27">
        <v>0</v>
      </c>
      <c r="N283" s="160">
        <v>513929</v>
      </c>
      <c r="O283" s="160">
        <v>0</v>
      </c>
      <c r="P283" s="160">
        <v>0</v>
      </c>
      <c r="Q283" s="160">
        <v>0</v>
      </c>
      <c r="R283" s="160">
        <v>0</v>
      </c>
      <c r="S283" s="65">
        <v>591262</v>
      </c>
      <c r="T283" s="34">
        <v>45819</v>
      </c>
      <c r="U283" s="34">
        <v>59547</v>
      </c>
      <c r="V283" s="34">
        <v>1364</v>
      </c>
      <c r="W283" s="34">
        <v>0</v>
      </c>
      <c r="X283" s="89">
        <v>106730</v>
      </c>
      <c r="Y283" s="65">
        <v>697992</v>
      </c>
      <c r="Z283" s="160">
        <v>559748</v>
      </c>
    </row>
    <row r="284" spans="1:26" s="5" customFormat="1" ht="12.75" hidden="1" customHeight="1" x14ac:dyDescent="0.25">
      <c r="A284" s="163" t="s">
        <v>420</v>
      </c>
      <c r="B284" s="25"/>
      <c r="C284" s="27">
        <v>74185</v>
      </c>
      <c r="D284" s="27"/>
      <c r="E284" s="27">
        <v>3694</v>
      </c>
      <c r="F284" s="21">
        <v>0</v>
      </c>
      <c r="G284" s="89">
        <v>77879</v>
      </c>
      <c r="H284" s="65">
        <v>0</v>
      </c>
      <c r="I284" s="34">
        <v>80351</v>
      </c>
      <c r="J284" s="27">
        <v>11152</v>
      </c>
      <c r="K284" s="27">
        <v>424705</v>
      </c>
      <c r="L284" s="27">
        <v>0</v>
      </c>
      <c r="M284" s="27">
        <v>0</v>
      </c>
      <c r="N284" s="160">
        <v>516208</v>
      </c>
      <c r="O284" s="160">
        <v>0</v>
      </c>
      <c r="P284" s="160">
        <v>0</v>
      </c>
      <c r="Q284" s="160">
        <v>0</v>
      </c>
      <c r="R284" s="160">
        <v>0</v>
      </c>
      <c r="S284" s="65">
        <v>594087</v>
      </c>
      <c r="T284" s="34">
        <v>46448</v>
      </c>
      <c r="U284" s="34">
        <v>59506</v>
      </c>
      <c r="V284" s="34">
        <v>1317</v>
      </c>
      <c r="W284" s="34">
        <v>0</v>
      </c>
      <c r="X284" s="89">
        <v>107271</v>
      </c>
      <c r="Y284" s="65">
        <v>701358</v>
      </c>
      <c r="Z284" s="160">
        <v>562656</v>
      </c>
    </row>
    <row r="285" spans="1:26" s="5" customFormat="1" ht="12.75" hidden="1" customHeight="1" x14ac:dyDescent="0.25">
      <c r="A285" s="24" t="s">
        <v>421</v>
      </c>
      <c r="B285" s="25"/>
      <c r="C285" s="27">
        <v>74475</v>
      </c>
      <c r="D285" s="27"/>
      <c r="E285" s="27">
        <v>3767</v>
      </c>
      <c r="F285" s="21">
        <v>0</v>
      </c>
      <c r="G285" s="89">
        <v>78242</v>
      </c>
      <c r="H285" s="65">
        <v>0</v>
      </c>
      <c r="I285" s="34">
        <v>79502</v>
      </c>
      <c r="J285" s="27">
        <v>10717</v>
      </c>
      <c r="K285" s="27">
        <v>422386</v>
      </c>
      <c r="L285" s="27">
        <v>0</v>
      </c>
      <c r="M285" s="27">
        <v>0</v>
      </c>
      <c r="N285" s="160">
        <v>512605</v>
      </c>
      <c r="O285" s="160">
        <v>0</v>
      </c>
      <c r="P285" s="160">
        <v>0</v>
      </c>
      <c r="Q285" s="160">
        <v>0</v>
      </c>
      <c r="R285" s="160">
        <v>0</v>
      </c>
      <c r="S285" s="65">
        <v>590847</v>
      </c>
      <c r="T285" s="34">
        <v>46777</v>
      </c>
      <c r="U285" s="34">
        <v>61170</v>
      </c>
      <c r="V285" s="34">
        <v>1264</v>
      </c>
      <c r="W285" s="34">
        <v>0</v>
      </c>
      <c r="X285" s="89">
        <v>109211</v>
      </c>
      <c r="Y285" s="65">
        <v>700058</v>
      </c>
      <c r="Z285" s="160">
        <v>559382</v>
      </c>
    </row>
    <row r="286" spans="1:26" s="5" customFormat="1" ht="12.75" hidden="1" customHeight="1" x14ac:dyDescent="0.25">
      <c r="A286" s="24" t="s">
        <v>422</v>
      </c>
      <c r="B286" s="25"/>
      <c r="C286" s="27">
        <v>74228</v>
      </c>
      <c r="D286" s="27"/>
      <c r="E286" s="27">
        <v>3829</v>
      </c>
      <c r="F286" s="21">
        <v>0</v>
      </c>
      <c r="G286" s="89">
        <v>78057</v>
      </c>
      <c r="H286" s="65">
        <v>0</v>
      </c>
      <c r="I286" s="34">
        <v>79053</v>
      </c>
      <c r="J286" s="27">
        <v>10527</v>
      </c>
      <c r="K286" s="27">
        <v>421469</v>
      </c>
      <c r="L286" s="27">
        <v>0</v>
      </c>
      <c r="M286" s="27">
        <v>0</v>
      </c>
      <c r="N286" s="160">
        <v>511049</v>
      </c>
      <c r="O286" s="160">
        <v>0</v>
      </c>
      <c r="P286" s="160">
        <v>0</v>
      </c>
      <c r="Q286" s="160">
        <v>0</v>
      </c>
      <c r="R286" s="160">
        <v>0</v>
      </c>
      <c r="S286" s="65">
        <v>589106</v>
      </c>
      <c r="T286" s="34">
        <v>46819</v>
      </c>
      <c r="U286" s="34">
        <v>61247</v>
      </c>
      <c r="V286" s="34">
        <v>1175</v>
      </c>
      <c r="W286" s="34">
        <v>0</v>
      </c>
      <c r="X286" s="89">
        <v>109241</v>
      </c>
      <c r="Y286" s="65">
        <v>698347</v>
      </c>
      <c r="Z286" s="160">
        <v>557868</v>
      </c>
    </row>
    <row r="287" spans="1:26" s="5" customFormat="1" ht="12.75" hidden="1" customHeight="1" x14ac:dyDescent="0.25">
      <c r="A287" s="24" t="s">
        <v>423</v>
      </c>
      <c r="B287" s="25"/>
      <c r="C287" s="27">
        <v>74148</v>
      </c>
      <c r="D287" s="27"/>
      <c r="E287" s="27">
        <v>3869</v>
      </c>
      <c r="F287" s="21">
        <v>0</v>
      </c>
      <c r="G287" s="89">
        <v>78017</v>
      </c>
      <c r="H287" s="65">
        <v>0</v>
      </c>
      <c r="I287" s="34">
        <v>79025</v>
      </c>
      <c r="J287" s="27">
        <v>10360</v>
      </c>
      <c r="K287" s="27">
        <v>422084</v>
      </c>
      <c r="L287" s="27">
        <v>0</v>
      </c>
      <c r="M287" s="27">
        <v>0</v>
      </c>
      <c r="N287" s="160">
        <v>511469</v>
      </c>
      <c r="O287" s="160">
        <v>0</v>
      </c>
      <c r="P287" s="160">
        <v>0</v>
      </c>
      <c r="Q287" s="160">
        <v>0</v>
      </c>
      <c r="R287" s="160">
        <v>0</v>
      </c>
      <c r="S287" s="65">
        <v>589486</v>
      </c>
      <c r="T287" s="34">
        <v>46675</v>
      </c>
      <c r="U287" s="34">
        <v>58910</v>
      </c>
      <c r="V287" s="34">
        <v>978</v>
      </c>
      <c r="W287" s="34">
        <v>0</v>
      </c>
      <c r="X287" s="89">
        <v>106563</v>
      </c>
      <c r="Y287" s="65">
        <v>696049</v>
      </c>
      <c r="Z287" s="160">
        <v>558144</v>
      </c>
    </row>
    <row r="288" spans="1:26" s="5" customFormat="1" ht="12.75" hidden="1" customHeight="1" x14ac:dyDescent="0.25">
      <c r="A288" s="24" t="s">
        <v>424</v>
      </c>
      <c r="B288" s="25"/>
      <c r="C288" s="27">
        <v>73491</v>
      </c>
      <c r="D288" s="27"/>
      <c r="E288" s="27">
        <v>3919</v>
      </c>
      <c r="F288" s="21">
        <v>0</v>
      </c>
      <c r="G288" s="89">
        <v>77410</v>
      </c>
      <c r="H288" s="65">
        <v>0</v>
      </c>
      <c r="I288" s="34">
        <v>78779</v>
      </c>
      <c r="J288" s="27">
        <v>10485</v>
      </c>
      <c r="K288" s="27">
        <v>419897</v>
      </c>
      <c r="L288" s="27">
        <v>0</v>
      </c>
      <c r="M288" s="27">
        <v>0</v>
      </c>
      <c r="N288" s="160">
        <v>509161</v>
      </c>
      <c r="O288" s="160">
        <v>0</v>
      </c>
      <c r="P288" s="160">
        <v>0</v>
      </c>
      <c r="Q288" s="160">
        <v>0</v>
      </c>
      <c r="R288" s="160">
        <v>0</v>
      </c>
      <c r="S288" s="65">
        <v>586571</v>
      </c>
      <c r="T288" s="34">
        <v>46364</v>
      </c>
      <c r="U288" s="34">
        <v>57749</v>
      </c>
      <c r="V288" s="34">
        <v>781</v>
      </c>
      <c r="W288" s="34">
        <v>0</v>
      </c>
      <c r="X288" s="89">
        <v>104894</v>
      </c>
      <c r="Y288" s="65">
        <v>691465</v>
      </c>
      <c r="Z288" s="160">
        <v>555525</v>
      </c>
    </row>
    <row r="289" spans="1:26" s="5" customFormat="1" ht="12.75" hidden="1" customHeight="1" x14ac:dyDescent="0.25">
      <c r="A289" s="24" t="s">
        <v>425</v>
      </c>
      <c r="B289" s="25"/>
      <c r="C289" s="27">
        <v>73322</v>
      </c>
      <c r="D289" s="27"/>
      <c r="E289" s="27">
        <v>4008</v>
      </c>
      <c r="F289" s="21">
        <v>0</v>
      </c>
      <c r="G289" s="89">
        <v>77330</v>
      </c>
      <c r="H289" s="65">
        <v>0</v>
      </c>
      <c r="I289" s="34">
        <v>79298</v>
      </c>
      <c r="J289" s="27">
        <v>10866</v>
      </c>
      <c r="K289" s="27">
        <v>424396</v>
      </c>
      <c r="L289" s="27">
        <v>0</v>
      </c>
      <c r="M289" s="27">
        <v>0</v>
      </c>
      <c r="N289" s="160">
        <v>514560</v>
      </c>
      <c r="O289" s="160">
        <v>0</v>
      </c>
      <c r="P289" s="160">
        <v>0</v>
      </c>
      <c r="Q289" s="160">
        <v>0</v>
      </c>
      <c r="R289" s="160">
        <v>0</v>
      </c>
      <c r="S289" s="65">
        <v>591890</v>
      </c>
      <c r="T289" s="34">
        <v>46263</v>
      </c>
      <c r="U289" s="34">
        <v>60512</v>
      </c>
      <c r="V289" s="34">
        <v>613</v>
      </c>
      <c r="W289" s="34">
        <v>0</v>
      </c>
      <c r="X289" s="89">
        <v>107388</v>
      </c>
      <c r="Y289" s="65">
        <v>699278</v>
      </c>
      <c r="Z289" s="160">
        <v>560823</v>
      </c>
    </row>
    <row r="290" spans="1:26" s="5" customFormat="1" ht="12.75" hidden="1" customHeight="1" x14ac:dyDescent="0.25">
      <c r="A290" s="24" t="s">
        <v>426</v>
      </c>
      <c r="B290" s="25"/>
      <c r="C290" s="27">
        <v>73087</v>
      </c>
      <c r="D290" s="27"/>
      <c r="E290" s="27">
        <v>4502</v>
      </c>
      <c r="F290" s="21">
        <v>0</v>
      </c>
      <c r="G290" s="89">
        <v>77589</v>
      </c>
      <c r="H290" s="65">
        <v>0</v>
      </c>
      <c r="I290" s="34">
        <v>80463</v>
      </c>
      <c r="J290" s="27">
        <v>11527</v>
      </c>
      <c r="K290" s="27">
        <v>428766</v>
      </c>
      <c r="L290" s="27">
        <v>0</v>
      </c>
      <c r="M290" s="27">
        <v>0</v>
      </c>
      <c r="N290" s="160">
        <v>520756</v>
      </c>
      <c r="O290" s="160">
        <v>0</v>
      </c>
      <c r="P290" s="160">
        <v>0</v>
      </c>
      <c r="Q290" s="160">
        <v>0</v>
      </c>
      <c r="R290" s="160">
        <v>0</v>
      </c>
      <c r="S290" s="65">
        <v>598345</v>
      </c>
      <c r="T290" s="34">
        <v>46672</v>
      </c>
      <c r="U290" s="34">
        <v>61590</v>
      </c>
      <c r="V290" s="34">
        <v>433</v>
      </c>
      <c r="W290" s="34">
        <v>0</v>
      </c>
      <c r="X290" s="89">
        <v>108695</v>
      </c>
      <c r="Y290" s="65">
        <v>707040</v>
      </c>
      <c r="Z290" s="160">
        <v>567428</v>
      </c>
    </row>
    <row r="291" spans="1:26" s="5" customFormat="1" ht="12.75" hidden="1" customHeight="1" x14ac:dyDescent="0.25">
      <c r="A291" s="24"/>
      <c r="B291" s="25"/>
      <c r="C291" s="27"/>
      <c r="D291" s="27"/>
      <c r="E291" s="27"/>
      <c r="F291" s="21"/>
      <c r="G291" s="89"/>
      <c r="H291" s="65"/>
      <c r="I291" s="34"/>
      <c r="J291" s="27"/>
      <c r="K291" s="27"/>
      <c r="L291" s="27"/>
      <c r="M291" s="27">
        <v>0</v>
      </c>
      <c r="N291" s="160"/>
      <c r="O291" s="160">
        <v>0</v>
      </c>
      <c r="P291" s="160">
        <v>0</v>
      </c>
      <c r="Q291" s="160">
        <v>0</v>
      </c>
      <c r="R291" s="160">
        <v>0</v>
      </c>
      <c r="S291" s="65"/>
      <c r="T291" s="34"/>
      <c r="U291" s="34"/>
      <c r="V291" s="34"/>
      <c r="W291" s="34">
        <v>0</v>
      </c>
      <c r="X291" s="89"/>
      <c r="Y291" s="65"/>
      <c r="Z291" s="160"/>
    </row>
    <row r="292" spans="1:26" s="5" customFormat="1" ht="12.75" hidden="1" customHeight="1" x14ac:dyDescent="0.25">
      <c r="A292" s="24" t="s">
        <v>427</v>
      </c>
      <c r="B292" s="25"/>
      <c r="C292" s="27">
        <v>72769</v>
      </c>
      <c r="D292" s="27"/>
      <c r="E292" s="27">
        <v>4569</v>
      </c>
      <c r="F292" s="21">
        <v>0</v>
      </c>
      <c r="G292" s="89">
        <v>77338</v>
      </c>
      <c r="H292" s="65">
        <v>0</v>
      </c>
      <c r="I292" s="34">
        <v>80825</v>
      </c>
      <c r="J292" s="27">
        <v>11747</v>
      </c>
      <c r="K292" s="27">
        <v>428269</v>
      </c>
      <c r="L292" s="27">
        <v>0</v>
      </c>
      <c r="M292" s="27">
        <v>0</v>
      </c>
      <c r="N292" s="160">
        <v>520841</v>
      </c>
      <c r="O292" s="160">
        <v>0</v>
      </c>
      <c r="P292" s="160">
        <v>0</v>
      </c>
      <c r="Q292" s="160">
        <v>0</v>
      </c>
      <c r="R292" s="160">
        <v>0</v>
      </c>
      <c r="S292" s="65">
        <v>598179</v>
      </c>
      <c r="T292" s="34">
        <v>46541</v>
      </c>
      <c r="U292" s="34">
        <v>61800</v>
      </c>
      <c r="V292" s="34">
        <v>271</v>
      </c>
      <c r="W292" s="34">
        <v>0</v>
      </c>
      <c r="X292" s="89">
        <v>108612</v>
      </c>
      <c r="Y292" s="65">
        <v>706791</v>
      </c>
      <c r="Z292" s="160">
        <v>567382</v>
      </c>
    </row>
    <row r="293" spans="1:26" s="5" customFormat="1" ht="12.75" hidden="1" customHeight="1" x14ac:dyDescent="0.25">
      <c r="A293" s="24" t="s">
        <v>428</v>
      </c>
      <c r="B293" s="25"/>
      <c r="C293" s="27">
        <v>72869</v>
      </c>
      <c r="D293" s="27"/>
      <c r="E293" s="27">
        <v>4619</v>
      </c>
      <c r="F293" s="21">
        <v>0</v>
      </c>
      <c r="G293" s="89">
        <v>77488</v>
      </c>
      <c r="H293" s="65">
        <v>0</v>
      </c>
      <c r="I293" s="34">
        <v>81154</v>
      </c>
      <c r="J293" s="27">
        <v>12057</v>
      </c>
      <c r="K293" s="27">
        <v>427519</v>
      </c>
      <c r="L293" s="27">
        <v>0</v>
      </c>
      <c r="M293" s="27">
        <v>0</v>
      </c>
      <c r="N293" s="160">
        <v>520730</v>
      </c>
      <c r="O293" s="160">
        <v>0</v>
      </c>
      <c r="P293" s="160">
        <v>0</v>
      </c>
      <c r="Q293" s="160">
        <v>0</v>
      </c>
      <c r="R293" s="160">
        <v>0</v>
      </c>
      <c r="S293" s="65">
        <v>598218</v>
      </c>
      <c r="T293" s="34">
        <v>46045</v>
      </c>
      <c r="U293" s="34">
        <v>61694</v>
      </c>
      <c r="V293" s="34">
        <v>156</v>
      </c>
      <c r="W293" s="34">
        <v>0</v>
      </c>
      <c r="X293" s="89">
        <v>107895</v>
      </c>
      <c r="Y293" s="65">
        <v>706113</v>
      </c>
      <c r="Z293" s="160">
        <v>566775</v>
      </c>
    </row>
    <row r="294" spans="1:26" s="5" customFormat="1" ht="12.75" hidden="1" customHeight="1" x14ac:dyDescent="0.25">
      <c r="A294" s="24" t="s">
        <v>429</v>
      </c>
      <c r="B294" s="25"/>
      <c r="C294" s="27">
        <v>74273</v>
      </c>
      <c r="D294" s="27"/>
      <c r="E294" s="27">
        <v>4680</v>
      </c>
      <c r="F294" s="21">
        <v>0</v>
      </c>
      <c r="G294" s="89">
        <v>78953</v>
      </c>
      <c r="H294" s="65">
        <v>0</v>
      </c>
      <c r="I294" s="34">
        <v>85030</v>
      </c>
      <c r="J294" s="27">
        <v>14301</v>
      </c>
      <c r="K294" s="27">
        <v>435340</v>
      </c>
      <c r="L294" s="27">
        <v>0</v>
      </c>
      <c r="M294" s="27">
        <v>0</v>
      </c>
      <c r="N294" s="160">
        <v>534671</v>
      </c>
      <c r="O294" s="160">
        <v>0</v>
      </c>
      <c r="P294" s="160">
        <v>0</v>
      </c>
      <c r="Q294" s="160">
        <v>0</v>
      </c>
      <c r="R294" s="160">
        <v>0</v>
      </c>
      <c r="S294" s="65">
        <v>613624</v>
      </c>
      <c r="T294" s="34">
        <v>45761</v>
      </c>
      <c r="U294" s="34">
        <v>61289</v>
      </c>
      <c r="V294" s="34">
        <v>77</v>
      </c>
      <c r="W294" s="34">
        <v>0</v>
      </c>
      <c r="X294" s="89">
        <v>107127</v>
      </c>
      <c r="Y294" s="65">
        <v>720751</v>
      </c>
      <c r="Z294" s="160">
        <v>580432</v>
      </c>
    </row>
    <row r="295" spans="1:26" s="5" customFormat="1" ht="12.75" hidden="1" customHeight="1" x14ac:dyDescent="0.25">
      <c r="A295" s="24" t="s">
        <v>430</v>
      </c>
      <c r="B295" s="25"/>
      <c r="C295" s="27">
        <v>74525</v>
      </c>
      <c r="D295" s="27"/>
      <c r="E295" s="27">
        <v>4818</v>
      </c>
      <c r="F295" s="21">
        <v>0</v>
      </c>
      <c r="G295" s="89">
        <v>79343</v>
      </c>
      <c r="H295" s="65">
        <v>0</v>
      </c>
      <c r="I295" s="34">
        <v>86230</v>
      </c>
      <c r="J295" s="27">
        <v>14180</v>
      </c>
      <c r="K295" s="27">
        <v>439202</v>
      </c>
      <c r="L295" s="27">
        <v>0</v>
      </c>
      <c r="M295" s="27">
        <v>0</v>
      </c>
      <c r="N295" s="160">
        <v>539612</v>
      </c>
      <c r="O295" s="160">
        <v>0</v>
      </c>
      <c r="P295" s="160">
        <v>0</v>
      </c>
      <c r="Q295" s="160">
        <v>0</v>
      </c>
      <c r="R295" s="160">
        <v>0</v>
      </c>
      <c r="S295" s="65">
        <v>618955</v>
      </c>
      <c r="T295" s="34">
        <v>45648</v>
      </c>
      <c r="U295" s="34">
        <v>60882</v>
      </c>
      <c r="V295" s="34">
        <v>22</v>
      </c>
      <c r="W295" s="34">
        <v>0</v>
      </c>
      <c r="X295" s="89">
        <v>106552</v>
      </c>
      <c r="Y295" s="65">
        <v>725507</v>
      </c>
      <c r="Z295" s="160">
        <v>585260</v>
      </c>
    </row>
    <row r="296" spans="1:26" s="5" customFormat="1" ht="12.75" hidden="1" customHeight="1" x14ac:dyDescent="0.25">
      <c r="A296" s="24" t="s">
        <v>431</v>
      </c>
      <c r="B296" s="25"/>
      <c r="C296" s="27">
        <v>74517</v>
      </c>
      <c r="D296" s="27"/>
      <c r="E296" s="27">
        <v>4887</v>
      </c>
      <c r="F296" s="21">
        <v>0</v>
      </c>
      <c r="G296" s="89">
        <v>79404</v>
      </c>
      <c r="H296" s="65">
        <v>0</v>
      </c>
      <c r="I296" s="34">
        <v>87147</v>
      </c>
      <c r="J296" s="27">
        <v>13950</v>
      </c>
      <c r="K296" s="27">
        <v>442955</v>
      </c>
      <c r="L296" s="27">
        <v>0</v>
      </c>
      <c r="M296" s="27">
        <v>0</v>
      </c>
      <c r="N296" s="160">
        <v>544052</v>
      </c>
      <c r="O296" s="160">
        <v>0</v>
      </c>
      <c r="P296" s="160">
        <v>0</v>
      </c>
      <c r="Q296" s="160">
        <v>0</v>
      </c>
      <c r="R296" s="160">
        <v>0</v>
      </c>
      <c r="S296" s="65">
        <v>623456</v>
      </c>
      <c r="T296" s="34">
        <v>45058</v>
      </c>
      <c r="U296" s="34">
        <v>60263</v>
      </c>
      <c r="V296" s="34">
        <v>7</v>
      </c>
      <c r="W296" s="34">
        <v>0</v>
      </c>
      <c r="X296" s="89">
        <v>105328</v>
      </c>
      <c r="Y296" s="65">
        <v>728784</v>
      </c>
      <c r="Z296" s="160">
        <v>589110</v>
      </c>
    </row>
    <row r="297" spans="1:26" s="5" customFormat="1" ht="12.75" hidden="1" customHeight="1" x14ac:dyDescent="0.25">
      <c r="A297" s="24" t="s">
        <v>432</v>
      </c>
      <c r="B297" s="25"/>
      <c r="C297" s="27">
        <v>74692</v>
      </c>
      <c r="D297" s="27"/>
      <c r="E297" s="27">
        <v>7629</v>
      </c>
      <c r="F297" s="21">
        <v>0</v>
      </c>
      <c r="G297" s="89">
        <v>82321</v>
      </c>
      <c r="H297" s="65">
        <v>0</v>
      </c>
      <c r="I297" s="34">
        <v>88272</v>
      </c>
      <c r="J297" s="27">
        <v>13826</v>
      </c>
      <c r="K297" s="27">
        <v>445104</v>
      </c>
      <c r="L297" s="27">
        <v>0</v>
      </c>
      <c r="M297" s="27">
        <v>0</v>
      </c>
      <c r="N297" s="160">
        <v>547202</v>
      </c>
      <c r="O297" s="160">
        <v>0</v>
      </c>
      <c r="P297" s="160">
        <v>0</v>
      </c>
      <c r="Q297" s="160">
        <v>0</v>
      </c>
      <c r="R297" s="160">
        <v>0</v>
      </c>
      <c r="S297" s="65">
        <v>629523</v>
      </c>
      <c r="T297" s="34">
        <v>44497</v>
      </c>
      <c r="U297" s="34">
        <v>59743</v>
      </c>
      <c r="V297" s="34">
        <v>3</v>
      </c>
      <c r="W297" s="34">
        <v>0</v>
      </c>
      <c r="X297" s="89">
        <v>104243</v>
      </c>
      <c r="Y297" s="65">
        <v>733766</v>
      </c>
      <c r="Z297" s="160">
        <v>591699</v>
      </c>
    </row>
    <row r="298" spans="1:26" s="5" customFormat="1" ht="12.75" hidden="1" customHeight="1" x14ac:dyDescent="0.25">
      <c r="A298" s="24" t="s">
        <v>433</v>
      </c>
      <c r="B298" s="25"/>
      <c r="C298" s="27">
        <v>74678</v>
      </c>
      <c r="D298" s="27"/>
      <c r="E298" s="27">
        <v>7682</v>
      </c>
      <c r="F298" s="21">
        <v>0</v>
      </c>
      <c r="G298" s="89">
        <v>82360</v>
      </c>
      <c r="H298" s="65">
        <v>0</v>
      </c>
      <c r="I298" s="34">
        <v>88403</v>
      </c>
      <c r="J298" s="27">
        <v>13710</v>
      </c>
      <c r="K298" s="27">
        <v>444623</v>
      </c>
      <c r="L298" s="27">
        <v>0</v>
      </c>
      <c r="M298" s="27">
        <v>0</v>
      </c>
      <c r="N298" s="160">
        <v>546736</v>
      </c>
      <c r="O298" s="160">
        <v>0</v>
      </c>
      <c r="P298" s="160">
        <v>0</v>
      </c>
      <c r="Q298" s="160">
        <v>0</v>
      </c>
      <c r="R298" s="160">
        <v>0</v>
      </c>
      <c r="S298" s="65">
        <v>629096</v>
      </c>
      <c r="T298" s="34">
        <v>43841</v>
      </c>
      <c r="U298" s="34">
        <v>59410</v>
      </c>
      <c r="V298" s="34">
        <v>113</v>
      </c>
      <c r="W298" s="34">
        <v>0</v>
      </c>
      <c r="X298" s="89">
        <v>103364</v>
      </c>
      <c r="Y298" s="65">
        <v>732460</v>
      </c>
      <c r="Z298" s="160">
        <v>590577</v>
      </c>
    </row>
    <row r="299" spans="1:26" s="5" customFormat="1" ht="12.75" hidden="1" customHeight="1" x14ac:dyDescent="0.25">
      <c r="A299" s="24" t="s">
        <v>434</v>
      </c>
      <c r="B299" s="25"/>
      <c r="C299" s="27">
        <v>74708</v>
      </c>
      <c r="D299" s="27"/>
      <c r="E299" s="27">
        <v>7703</v>
      </c>
      <c r="F299" s="21">
        <v>0</v>
      </c>
      <c r="G299" s="89">
        <v>82411</v>
      </c>
      <c r="H299" s="65">
        <v>0</v>
      </c>
      <c r="I299" s="34">
        <v>88612</v>
      </c>
      <c r="J299" s="27">
        <v>13660</v>
      </c>
      <c r="K299" s="27">
        <v>446159</v>
      </c>
      <c r="L299" s="27">
        <v>0</v>
      </c>
      <c r="M299" s="27">
        <v>0</v>
      </c>
      <c r="N299" s="160">
        <v>548431</v>
      </c>
      <c r="O299" s="160">
        <v>0</v>
      </c>
      <c r="P299" s="160">
        <v>0</v>
      </c>
      <c r="Q299" s="160">
        <v>0</v>
      </c>
      <c r="R299" s="160">
        <v>0</v>
      </c>
      <c r="S299" s="65">
        <v>630842</v>
      </c>
      <c r="T299" s="34">
        <v>43819</v>
      </c>
      <c r="U299" s="34">
        <v>59046</v>
      </c>
      <c r="V299" s="34">
        <v>223</v>
      </c>
      <c r="W299" s="34">
        <v>0</v>
      </c>
      <c r="X299" s="89">
        <v>103088</v>
      </c>
      <c r="Y299" s="65">
        <v>733930</v>
      </c>
      <c r="Z299" s="160">
        <v>592250</v>
      </c>
    </row>
    <row r="300" spans="1:26" s="5" customFormat="1" ht="12.75" hidden="1" customHeight="1" x14ac:dyDescent="0.25">
      <c r="A300" s="24" t="s">
        <v>435</v>
      </c>
      <c r="B300" s="25"/>
      <c r="C300" s="27">
        <v>75041</v>
      </c>
      <c r="D300" s="27"/>
      <c r="E300" s="27">
        <v>7833</v>
      </c>
      <c r="F300" s="21">
        <v>0</v>
      </c>
      <c r="G300" s="89">
        <v>82874</v>
      </c>
      <c r="H300" s="65">
        <v>0</v>
      </c>
      <c r="I300" s="34">
        <v>89893</v>
      </c>
      <c r="J300" s="27">
        <v>13903</v>
      </c>
      <c r="K300" s="27">
        <v>450610</v>
      </c>
      <c r="L300" s="27">
        <v>0</v>
      </c>
      <c r="M300" s="27">
        <v>0</v>
      </c>
      <c r="N300" s="160">
        <v>554406</v>
      </c>
      <c r="O300" s="160">
        <v>0</v>
      </c>
      <c r="P300" s="160">
        <v>0</v>
      </c>
      <c r="Q300" s="160">
        <v>0</v>
      </c>
      <c r="R300" s="160">
        <v>0</v>
      </c>
      <c r="S300" s="65">
        <v>637280</v>
      </c>
      <c r="T300" s="34">
        <v>44176</v>
      </c>
      <c r="U300" s="34">
        <v>58239</v>
      </c>
      <c r="V300" s="34">
        <v>368</v>
      </c>
      <c r="W300" s="34">
        <v>0</v>
      </c>
      <c r="X300" s="89">
        <v>102783</v>
      </c>
      <c r="Y300" s="65">
        <v>740063</v>
      </c>
      <c r="Z300" s="160">
        <v>598582</v>
      </c>
    </row>
    <row r="301" spans="1:26" s="5" customFormat="1" ht="12.75" hidden="1" customHeight="1" x14ac:dyDescent="0.25">
      <c r="A301" s="24" t="s">
        <v>436</v>
      </c>
      <c r="B301" s="25"/>
      <c r="C301" s="27">
        <v>75102</v>
      </c>
      <c r="D301" s="27"/>
      <c r="E301" s="27">
        <v>7907</v>
      </c>
      <c r="F301" s="21">
        <v>0</v>
      </c>
      <c r="G301" s="89">
        <v>83009</v>
      </c>
      <c r="H301" s="65">
        <v>0</v>
      </c>
      <c r="I301" s="34">
        <v>91379</v>
      </c>
      <c r="J301" s="27">
        <v>13923</v>
      </c>
      <c r="K301" s="27">
        <v>454778</v>
      </c>
      <c r="L301" s="27">
        <v>0</v>
      </c>
      <c r="M301" s="27">
        <v>0</v>
      </c>
      <c r="N301" s="160">
        <v>560080</v>
      </c>
      <c r="O301" s="160">
        <v>0</v>
      </c>
      <c r="P301" s="160">
        <v>0</v>
      </c>
      <c r="Q301" s="160">
        <v>0</v>
      </c>
      <c r="R301" s="160">
        <v>0</v>
      </c>
      <c r="S301" s="65">
        <v>643089</v>
      </c>
      <c r="T301" s="34">
        <v>44608</v>
      </c>
      <c r="U301" s="34">
        <v>56976</v>
      </c>
      <c r="V301" s="34">
        <v>515</v>
      </c>
      <c r="W301" s="34">
        <v>0</v>
      </c>
      <c r="X301" s="89">
        <v>102099</v>
      </c>
      <c r="Y301" s="65">
        <v>745188</v>
      </c>
      <c r="Z301" s="160">
        <v>604688</v>
      </c>
    </row>
    <row r="302" spans="1:26" s="5" customFormat="1" ht="12.75" hidden="1" customHeight="1" x14ac:dyDescent="0.25">
      <c r="A302" s="24" t="s">
        <v>437</v>
      </c>
      <c r="B302" s="25"/>
      <c r="C302" s="27">
        <v>75120</v>
      </c>
      <c r="D302" s="27"/>
      <c r="E302" s="27">
        <v>8010</v>
      </c>
      <c r="F302" s="21">
        <v>0</v>
      </c>
      <c r="G302" s="89">
        <v>83130</v>
      </c>
      <c r="H302" s="65">
        <v>0</v>
      </c>
      <c r="I302" s="34">
        <v>91993</v>
      </c>
      <c r="J302" s="27">
        <v>14277</v>
      </c>
      <c r="K302" s="27">
        <v>458287</v>
      </c>
      <c r="L302" s="27">
        <v>0</v>
      </c>
      <c r="M302" s="27">
        <v>0</v>
      </c>
      <c r="N302" s="160">
        <v>564557</v>
      </c>
      <c r="O302" s="160">
        <v>0</v>
      </c>
      <c r="P302" s="160">
        <v>0</v>
      </c>
      <c r="Q302" s="160">
        <v>0</v>
      </c>
      <c r="R302" s="160">
        <v>0</v>
      </c>
      <c r="S302" s="65">
        <v>647687</v>
      </c>
      <c r="T302" s="34">
        <v>45205</v>
      </c>
      <c r="U302" s="34">
        <v>54631</v>
      </c>
      <c r="V302" s="34">
        <v>638</v>
      </c>
      <c r="W302" s="34">
        <v>0</v>
      </c>
      <c r="X302" s="89">
        <v>100474</v>
      </c>
      <c r="Y302" s="65">
        <v>748161</v>
      </c>
      <c r="Z302" s="160">
        <v>609762</v>
      </c>
    </row>
    <row r="303" spans="1:26" s="5" customFormat="1" ht="12.75" hidden="1" customHeight="1" x14ac:dyDescent="0.25">
      <c r="A303" s="24" t="s">
        <v>438</v>
      </c>
      <c r="B303" s="25"/>
      <c r="C303" s="27">
        <v>75064</v>
      </c>
      <c r="D303" s="27"/>
      <c r="E303" s="27">
        <v>8117</v>
      </c>
      <c r="F303" s="21">
        <v>0</v>
      </c>
      <c r="G303" s="89">
        <v>83181</v>
      </c>
      <c r="H303" s="65">
        <v>0</v>
      </c>
      <c r="I303" s="34">
        <v>92645</v>
      </c>
      <c r="J303" s="27">
        <v>14219</v>
      </c>
      <c r="K303" s="27">
        <v>462324</v>
      </c>
      <c r="L303" s="27">
        <v>0</v>
      </c>
      <c r="M303" s="27">
        <v>0</v>
      </c>
      <c r="N303" s="160">
        <v>569188</v>
      </c>
      <c r="O303" s="160">
        <v>0</v>
      </c>
      <c r="P303" s="160">
        <v>0</v>
      </c>
      <c r="Q303" s="160">
        <v>0</v>
      </c>
      <c r="R303" s="160">
        <v>0</v>
      </c>
      <c r="S303" s="65">
        <v>652369</v>
      </c>
      <c r="T303" s="34">
        <v>46036</v>
      </c>
      <c r="U303" s="34">
        <v>54149</v>
      </c>
      <c r="V303" s="34">
        <v>713</v>
      </c>
      <c r="W303" s="34">
        <v>0</v>
      </c>
      <c r="X303" s="89">
        <v>100898</v>
      </c>
      <c r="Y303" s="65">
        <v>753267</v>
      </c>
      <c r="Z303" s="160">
        <v>615224</v>
      </c>
    </row>
    <row r="304" spans="1:26" s="5" customFormat="1" ht="12.75" hidden="1" customHeight="1" x14ac:dyDescent="0.25">
      <c r="A304" s="24"/>
      <c r="B304" s="25"/>
      <c r="C304" s="27"/>
      <c r="D304" s="27"/>
      <c r="E304" s="27"/>
      <c r="F304" s="21"/>
      <c r="G304" s="89"/>
      <c r="H304" s="65"/>
      <c r="I304" s="34"/>
      <c r="J304" s="27"/>
      <c r="K304" s="27"/>
      <c r="L304" s="27"/>
      <c r="M304" s="27">
        <v>0</v>
      </c>
      <c r="N304" s="160"/>
      <c r="O304" s="160">
        <v>0</v>
      </c>
      <c r="P304" s="160">
        <v>0</v>
      </c>
      <c r="Q304" s="160">
        <v>0</v>
      </c>
      <c r="R304" s="160">
        <v>0</v>
      </c>
      <c r="S304" s="65"/>
      <c r="T304" s="34"/>
      <c r="U304" s="34"/>
      <c r="V304" s="34"/>
      <c r="W304" s="34">
        <v>0</v>
      </c>
      <c r="X304" s="89"/>
      <c r="Y304" s="65"/>
      <c r="Z304" s="160"/>
    </row>
    <row r="305" spans="1:26" s="5" customFormat="1" ht="12.75" hidden="1" customHeight="1" x14ac:dyDescent="0.25">
      <c r="A305" s="24" t="s">
        <v>439</v>
      </c>
      <c r="B305" s="25"/>
      <c r="C305" s="27">
        <v>74905</v>
      </c>
      <c r="D305" s="27"/>
      <c r="E305" s="27">
        <v>8216</v>
      </c>
      <c r="F305" s="21">
        <v>0</v>
      </c>
      <c r="G305" s="89">
        <v>83121</v>
      </c>
      <c r="H305" s="65">
        <v>0</v>
      </c>
      <c r="I305" s="34">
        <v>92767</v>
      </c>
      <c r="J305" s="27">
        <v>14302</v>
      </c>
      <c r="K305" s="27">
        <v>461570</v>
      </c>
      <c r="L305" s="27">
        <v>0</v>
      </c>
      <c r="M305" s="27">
        <v>0</v>
      </c>
      <c r="N305" s="160">
        <v>568639</v>
      </c>
      <c r="O305" s="160">
        <v>0</v>
      </c>
      <c r="P305" s="160">
        <v>0</v>
      </c>
      <c r="Q305" s="160">
        <v>0</v>
      </c>
      <c r="R305" s="160">
        <v>0</v>
      </c>
      <c r="S305" s="65">
        <v>651760</v>
      </c>
      <c r="T305" s="34">
        <v>46386</v>
      </c>
      <c r="U305" s="34">
        <v>54490</v>
      </c>
      <c r="V305" s="34">
        <v>780</v>
      </c>
      <c r="W305" s="34">
        <v>0</v>
      </c>
      <c r="X305" s="89">
        <v>101656</v>
      </c>
      <c r="Y305" s="65">
        <v>753416</v>
      </c>
      <c r="Z305" s="160">
        <v>615025</v>
      </c>
    </row>
    <row r="306" spans="1:26" s="5" customFormat="1" ht="12.75" hidden="1" customHeight="1" x14ac:dyDescent="0.25">
      <c r="A306" s="24" t="s">
        <v>440</v>
      </c>
      <c r="B306" s="25"/>
      <c r="C306" s="27">
        <v>74346</v>
      </c>
      <c r="D306" s="27"/>
      <c r="E306" s="27">
        <v>8301</v>
      </c>
      <c r="F306" s="21">
        <v>0</v>
      </c>
      <c r="G306" s="89">
        <v>82647</v>
      </c>
      <c r="H306" s="65">
        <v>0</v>
      </c>
      <c r="I306" s="34">
        <v>91773</v>
      </c>
      <c r="J306" s="27">
        <v>14275</v>
      </c>
      <c r="K306" s="27">
        <v>457087</v>
      </c>
      <c r="L306" s="27">
        <v>0</v>
      </c>
      <c r="M306" s="27">
        <v>0</v>
      </c>
      <c r="N306" s="160">
        <v>563135</v>
      </c>
      <c r="O306" s="160">
        <v>0</v>
      </c>
      <c r="P306" s="160">
        <v>0</v>
      </c>
      <c r="Q306" s="160">
        <v>0</v>
      </c>
      <c r="R306" s="160">
        <v>0</v>
      </c>
      <c r="S306" s="65">
        <v>645782</v>
      </c>
      <c r="T306" s="34">
        <v>46285</v>
      </c>
      <c r="U306" s="34">
        <v>54649</v>
      </c>
      <c r="V306" s="34">
        <v>836</v>
      </c>
      <c r="W306" s="34">
        <v>0</v>
      </c>
      <c r="X306" s="89">
        <v>101770</v>
      </c>
      <c r="Y306" s="65">
        <v>747552</v>
      </c>
      <c r="Z306" s="160">
        <v>609420</v>
      </c>
    </row>
    <row r="307" spans="1:26" s="5" customFormat="1" ht="12.75" hidden="1" customHeight="1" x14ac:dyDescent="0.25">
      <c r="A307" s="24" t="s">
        <v>441</v>
      </c>
      <c r="B307" s="25"/>
      <c r="C307" s="27">
        <v>96713</v>
      </c>
      <c r="D307" s="27"/>
      <c r="E307" s="27">
        <v>10937</v>
      </c>
      <c r="F307" s="21">
        <v>0</v>
      </c>
      <c r="G307" s="89">
        <v>107650</v>
      </c>
      <c r="H307" s="65">
        <v>0</v>
      </c>
      <c r="I307" s="34">
        <v>92288</v>
      </c>
      <c r="J307" s="27">
        <v>14477</v>
      </c>
      <c r="K307" s="27">
        <v>457149</v>
      </c>
      <c r="L307" s="27">
        <v>0</v>
      </c>
      <c r="M307" s="27">
        <v>0</v>
      </c>
      <c r="N307" s="160">
        <v>563914</v>
      </c>
      <c r="O307" s="160">
        <v>0</v>
      </c>
      <c r="P307" s="160">
        <v>0</v>
      </c>
      <c r="Q307" s="160">
        <v>0</v>
      </c>
      <c r="R307" s="160">
        <v>0</v>
      </c>
      <c r="S307" s="65">
        <v>671564</v>
      </c>
      <c r="T307" s="34">
        <v>46519</v>
      </c>
      <c r="U307" s="34">
        <v>54821</v>
      </c>
      <c r="V307" s="34">
        <v>917</v>
      </c>
      <c r="W307" s="34">
        <v>0</v>
      </c>
      <c r="X307" s="89">
        <v>102257</v>
      </c>
      <c r="Y307" s="65">
        <v>773821</v>
      </c>
      <c r="Z307" s="160">
        <v>610433</v>
      </c>
    </row>
    <row r="308" spans="1:26" s="5" customFormat="1" ht="12.75" hidden="1" customHeight="1" x14ac:dyDescent="0.25">
      <c r="A308" s="24" t="s">
        <v>442</v>
      </c>
      <c r="B308" s="25"/>
      <c r="C308" s="27">
        <v>96420</v>
      </c>
      <c r="D308" s="27"/>
      <c r="E308" s="27">
        <v>11062</v>
      </c>
      <c r="F308" s="21">
        <v>0</v>
      </c>
      <c r="G308" s="89">
        <v>107482</v>
      </c>
      <c r="H308" s="65">
        <v>0</v>
      </c>
      <c r="I308" s="34">
        <v>92487</v>
      </c>
      <c r="J308" s="27">
        <v>14250</v>
      </c>
      <c r="K308" s="27">
        <v>456560</v>
      </c>
      <c r="L308" s="27">
        <v>0</v>
      </c>
      <c r="M308" s="27">
        <v>0</v>
      </c>
      <c r="N308" s="160">
        <v>563297</v>
      </c>
      <c r="O308" s="160">
        <v>0</v>
      </c>
      <c r="P308" s="160">
        <v>0</v>
      </c>
      <c r="Q308" s="160">
        <v>0</v>
      </c>
      <c r="R308" s="160">
        <v>0</v>
      </c>
      <c r="S308" s="65">
        <v>670779</v>
      </c>
      <c r="T308" s="34">
        <v>46619</v>
      </c>
      <c r="U308" s="34">
        <v>54754</v>
      </c>
      <c r="V308" s="34">
        <v>934</v>
      </c>
      <c r="W308" s="34">
        <v>0</v>
      </c>
      <c r="X308" s="89">
        <v>102307</v>
      </c>
      <c r="Y308" s="65">
        <v>773086</v>
      </c>
      <c r="Z308" s="160">
        <v>609916</v>
      </c>
    </row>
    <row r="309" spans="1:26" s="5" customFormat="1" ht="12.75" hidden="1" customHeight="1" x14ac:dyDescent="0.25">
      <c r="A309" s="24" t="s">
        <v>443</v>
      </c>
      <c r="B309" s="25"/>
      <c r="C309" s="27">
        <v>96306</v>
      </c>
      <c r="D309" s="27"/>
      <c r="E309" s="27">
        <v>11178</v>
      </c>
      <c r="F309" s="21">
        <v>0</v>
      </c>
      <c r="G309" s="89">
        <v>107484</v>
      </c>
      <c r="H309" s="65">
        <v>0</v>
      </c>
      <c r="I309" s="34">
        <v>93007</v>
      </c>
      <c r="J309" s="27">
        <v>13851</v>
      </c>
      <c r="K309" s="27">
        <v>455585</v>
      </c>
      <c r="L309" s="27">
        <v>0</v>
      </c>
      <c r="M309" s="27">
        <v>0</v>
      </c>
      <c r="N309" s="160">
        <v>562443</v>
      </c>
      <c r="O309" s="160">
        <v>0</v>
      </c>
      <c r="P309" s="160">
        <v>0</v>
      </c>
      <c r="Q309" s="160">
        <v>0</v>
      </c>
      <c r="R309" s="160">
        <v>0</v>
      </c>
      <c r="S309" s="65">
        <v>669927</v>
      </c>
      <c r="T309" s="34">
        <v>46693</v>
      </c>
      <c r="U309" s="34">
        <v>54514</v>
      </c>
      <c r="V309" s="34">
        <v>910</v>
      </c>
      <c r="W309" s="34">
        <v>0</v>
      </c>
      <c r="X309" s="89">
        <v>102117</v>
      </c>
      <c r="Y309" s="65">
        <v>772044</v>
      </c>
      <c r="Z309" s="160">
        <v>609136</v>
      </c>
    </row>
    <row r="310" spans="1:26" s="5" customFormat="1" ht="12.75" hidden="1" customHeight="1" x14ac:dyDescent="0.25">
      <c r="A310" s="24" t="s">
        <v>444</v>
      </c>
      <c r="B310" s="25"/>
      <c r="C310" s="27">
        <v>97109</v>
      </c>
      <c r="D310" s="27"/>
      <c r="E310" s="27">
        <v>11326</v>
      </c>
      <c r="F310" s="21">
        <v>0</v>
      </c>
      <c r="G310" s="89">
        <v>108435</v>
      </c>
      <c r="H310" s="65">
        <v>0</v>
      </c>
      <c r="I310" s="34">
        <v>93891</v>
      </c>
      <c r="J310" s="27">
        <v>13978</v>
      </c>
      <c r="K310" s="27">
        <v>455075</v>
      </c>
      <c r="L310" s="27">
        <v>0</v>
      </c>
      <c r="M310" s="27">
        <v>0</v>
      </c>
      <c r="N310" s="160">
        <v>562944</v>
      </c>
      <c r="O310" s="160">
        <v>0</v>
      </c>
      <c r="P310" s="160">
        <v>0</v>
      </c>
      <c r="Q310" s="160">
        <v>0</v>
      </c>
      <c r="R310" s="160">
        <v>0</v>
      </c>
      <c r="S310" s="65">
        <v>671379</v>
      </c>
      <c r="T310" s="34">
        <v>46861</v>
      </c>
      <c r="U310" s="34">
        <v>54378</v>
      </c>
      <c r="V310" s="34">
        <v>921</v>
      </c>
      <c r="W310" s="34">
        <v>0</v>
      </c>
      <c r="X310" s="89">
        <v>102160</v>
      </c>
      <c r="Y310" s="65">
        <v>773539</v>
      </c>
      <c r="Z310" s="160">
        <v>609805</v>
      </c>
    </row>
    <row r="311" spans="1:26" s="5" customFormat="1" ht="12.75" hidden="1" customHeight="1" x14ac:dyDescent="0.25">
      <c r="A311" s="24" t="s">
        <v>445</v>
      </c>
      <c r="B311" s="25"/>
      <c r="C311" s="27">
        <v>97129</v>
      </c>
      <c r="D311" s="27"/>
      <c r="E311" s="27">
        <v>11560</v>
      </c>
      <c r="F311" s="21">
        <v>0</v>
      </c>
      <c r="G311" s="89">
        <v>108689</v>
      </c>
      <c r="H311" s="65">
        <v>0</v>
      </c>
      <c r="I311" s="34">
        <v>94465</v>
      </c>
      <c r="J311" s="27">
        <v>14002</v>
      </c>
      <c r="K311" s="27">
        <v>454387</v>
      </c>
      <c r="L311" s="27">
        <v>0</v>
      </c>
      <c r="M311" s="27">
        <v>0</v>
      </c>
      <c r="N311" s="160">
        <v>562854</v>
      </c>
      <c r="O311" s="160">
        <v>0</v>
      </c>
      <c r="P311" s="160">
        <v>0</v>
      </c>
      <c r="Q311" s="160">
        <v>0</v>
      </c>
      <c r="R311" s="160">
        <v>0</v>
      </c>
      <c r="S311" s="65">
        <v>671543</v>
      </c>
      <c r="T311" s="34">
        <v>47164</v>
      </c>
      <c r="U311" s="34">
        <v>54374</v>
      </c>
      <c r="V311" s="34">
        <v>925</v>
      </c>
      <c r="W311" s="34">
        <v>0</v>
      </c>
      <c r="X311" s="89">
        <v>102463</v>
      </c>
      <c r="Y311" s="65">
        <v>774006</v>
      </c>
      <c r="Z311" s="160">
        <v>610018</v>
      </c>
    </row>
    <row r="312" spans="1:26" s="5" customFormat="1" ht="12.75" hidden="1" customHeight="1" x14ac:dyDescent="0.25">
      <c r="A312" s="24" t="s">
        <v>446</v>
      </c>
      <c r="B312" s="25"/>
      <c r="C312" s="27">
        <v>97554</v>
      </c>
      <c r="D312" s="27"/>
      <c r="E312" s="27">
        <v>11685</v>
      </c>
      <c r="F312" s="21">
        <v>0</v>
      </c>
      <c r="G312" s="89">
        <v>109239</v>
      </c>
      <c r="H312" s="65">
        <v>0</v>
      </c>
      <c r="I312" s="34">
        <v>93955</v>
      </c>
      <c r="J312" s="27">
        <v>13634</v>
      </c>
      <c r="K312" s="27">
        <v>452152</v>
      </c>
      <c r="L312" s="27">
        <v>0</v>
      </c>
      <c r="M312" s="27">
        <v>0</v>
      </c>
      <c r="N312" s="160">
        <v>559741</v>
      </c>
      <c r="O312" s="160">
        <v>0</v>
      </c>
      <c r="P312" s="160">
        <v>0</v>
      </c>
      <c r="Q312" s="160">
        <v>0</v>
      </c>
      <c r="R312" s="160">
        <v>0</v>
      </c>
      <c r="S312" s="65">
        <v>668980</v>
      </c>
      <c r="T312" s="34">
        <v>47237</v>
      </c>
      <c r="U312" s="34">
        <v>54260</v>
      </c>
      <c r="V312" s="34">
        <v>886</v>
      </c>
      <c r="W312" s="34">
        <v>0</v>
      </c>
      <c r="X312" s="89">
        <v>102383</v>
      </c>
      <c r="Y312" s="65">
        <v>771363</v>
      </c>
      <c r="Z312" s="160">
        <v>606978</v>
      </c>
    </row>
    <row r="313" spans="1:26" s="5" customFormat="1" ht="12.75" hidden="1" customHeight="1" x14ac:dyDescent="0.25">
      <c r="A313" s="24" t="s">
        <v>447</v>
      </c>
      <c r="B313" s="25"/>
      <c r="C313" s="27">
        <v>97628</v>
      </c>
      <c r="D313" s="27"/>
      <c r="E313" s="27">
        <v>11935</v>
      </c>
      <c r="F313" s="21">
        <v>0</v>
      </c>
      <c r="G313" s="89">
        <v>109563</v>
      </c>
      <c r="H313" s="65">
        <v>0</v>
      </c>
      <c r="I313" s="34">
        <v>94473</v>
      </c>
      <c r="J313" s="27">
        <v>13670</v>
      </c>
      <c r="K313" s="27">
        <v>454915</v>
      </c>
      <c r="L313" s="27">
        <v>0</v>
      </c>
      <c r="M313" s="27">
        <v>0</v>
      </c>
      <c r="N313" s="160">
        <v>563058</v>
      </c>
      <c r="O313" s="160">
        <v>0</v>
      </c>
      <c r="P313" s="160">
        <v>0</v>
      </c>
      <c r="Q313" s="160">
        <v>0</v>
      </c>
      <c r="R313" s="160">
        <v>0</v>
      </c>
      <c r="S313" s="65">
        <v>672621</v>
      </c>
      <c r="T313" s="34">
        <v>47608</v>
      </c>
      <c r="U313" s="34">
        <v>54836</v>
      </c>
      <c r="V313" s="34">
        <v>912</v>
      </c>
      <c r="W313" s="34">
        <v>0</v>
      </c>
      <c r="X313" s="89">
        <v>103356</v>
      </c>
      <c r="Y313" s="65">
        <v>775977</v>
      </c>
      <c r="Z313" s="160">
        <v>610666</v>
      </c>
    </row>
    <row r="314" spans="1:26" s="5" customFormat="1" ht="12.75" hidden="1" customHeight="1" x14ac:dyDescent="0.25">
      <c r="A314" s="24" t="s">
        <v>448</v>
      </c>
      <c r="B314" s="25"/>
      <c r="C314" s="27">
        <v>97511</v>
      </c>
      <c r="D314" s="27"/>
      <c r="E314" s="27">
        <v>12052</v>
      </c>
      <c r="F314" s="21">
        <v>0</v>
      </c>
      <c r="G314" s="89">
        <v>109563</v>
      </c>
      <c r="H314" s="65">
        <v>0</v>
      </c>
      <c r="I314" s="34">
        <v>94255</v>
      </c>
      <c r="J314" s="27">
        <v>14005</v>
      </c>
      <c r="K314" s="27">
        <v>456358</v>
      </c>
      <c r="L314" s="27">
        <v>0</v>
      </c>
      <c r="M314" s="27">
        <v>0</v>
      </c>
      <c r="N314" s="160">
        <v>564618</v>
      </c>
      <c r="O314" s="160">
        <v>0</v>
      </c>
      <c r="P314" s="160">
        <v>0</v>
      </c>
      <c r="Q314" s="160">
        <v>0</v>
      </c>
      <c r="R314" s="160">
        <v>0</v>
      </c>
      <c r="S314" s="65">
        <v>674181</v>
      </c>
      <c r="T314" s="34">
        <v>48044</v>
      </c>
      <c r="U314" s="34">
        <v>55459</v>
      </c>
      <c r="V314" s="34">
        <v>946</v>
      </c>
      <c r="W314" s="34">
        <v>0</v>
      </c>
      <c r="X314" s="89">
        <v>104449</v>
      </c>
      <c r="Y314" s="65">
        <v>778630</v>
      </c>
      <c r="Z314" s="160">
        <v>612662</v>
      </c>
    </row>
    <row r="315" spans="1:26" s="5" customFormat="1" ht="12.75" hidden="1" customHeight="1" x14ac:dyDescent="0.25">
      <c r="A315" s="24" t="s">
        <v>449</v>
      </c>
      <c r="B315" s="25"/>
      <c r="C315" s="27">
        <v>97026</v>
      </c>
      <c r="D315" s="27"/>
      <c r="E315" s="27">
        <v>12151</v>
      </c>
      <c r="F315" s="21">
        <v>0</v>
      </c>
      <c r="G315" s="89">
        <v>109177</v>
      </c>
      <c r="H315" s="65">
        <v>0</v>
      </c>
      <c r="I315" s="34">
        <v>94161</v>
      </c>
      <c r="J315" s="27">
        <v>14171</v>
      </c>
      <c r="K315" s="27">
        <v>458304</v>
      </c>
      <c r="L315" s="27">
        <v>0</v>
      </c>
      <c r="M315" s="27">
        <v>0</v>
      </c>
      <c r="N315" s="160">
        <v>566636</v>
      </c>
      <c r="O315" s="160">
        <v>0</v>
      </c>
      <c r="P315" s="160">
        <v>0</v>
      </c>
      <c r="Q315" s="160">
        <v>0</v>
      </c>
      <c r="R315" s="160">
        <v>0</v>
      </c>
      <c r="S315" s="65">
        <v>675813</v>
      </c>
      <c r="T315" s="34">
        <v>48490</v>
      </c>
      <c r="U315" s="34">
        <v>56189</v>
      </c>
      <c r="V315" s="34">
        <v>930</v>
      </c>
      <c r="W315" s="34">
        <v>0</v>
      </c>
      <c r="X315" s="89">
        <v>105609</v>
      </c>
      <c r="Y315" s="65">
        <v>781422</v>
      </c>
      <c r="Z315" s="160">
        <v>615126</v>
      </c>
    </row>
    <row r="316" spans="1:26" s="5" customFormat="1" ht="12.75" hidden="1" customHeight="1" x14ac:dyDescent="0.25">
      <c r="A316" s="24" t="s">
        <v>450</v>
      </c>
      <c r="B316" s="25"/>
      <c r="C316" s="27">
        <v>97229</v>
      </c>
      <c r="D316" s="27"/>
      <c r="E316" s="27">
        <v>12269</v>
      </c>
      <c r="F316" s="21">
        <v>0</v>
      </c>
      <c r="G316" s="89">
        <v>109498</v>
      </c>
      <c r="H316" s="65">
        <v>0</v>
      </c>
      <c r="I316" s="34">
        <v>93915</v>
      </c>
      <c r="J316" s="27">
        <v>14138</v>
      </c>
      <c r="K316" s="27">
        <v>460434</v>
      </c>
      <c r="L316" s="27">
        <v>0</v>
      </c>
      <c r="M316" s="27">
        <v>0</v>
      </c>
      <c r="N316" s="160">
        <v>568487</v>
      </c>
      <c r="O316" s="160">
        <v>0</v>
      </c>
      <c r="P316" s="160">
        <v>0</v>
      </c>
      <c r="Q316" s="160">
        <v>0</v>
      </c>
      <c r="R316" s="160">
        <v>0</v>
      </c>
      <c r="S316" s="65">
        <v>677985</v>
      </c>
      <c r="T316" s="34">
        <v>48976</v>
      </c>
      <c r="U316" s="34">
        <v>56976</v>
      </c>
      <c r="V316" s="34">
        <v>964</v>
      </c>
      <c r="W316" s="34">
        <v>0</v>
      </c>
      <c r="X316" s="89">
        <v>106916</v>
      </c>
      <c r="Y316" s="65">
        <v>784901</v>
      </c>
      <c r="Z316" s="160">
        <v>617463</v>
      </c>
    </row>
    <row r="317" spans="1:26" s="5" customFormat="1" ht="12.75" hidden="1" customHeight="1" x14ac:dyDescent="0.25">
      <c r="A317" s="24"/>
      <c r="B317" s="25"/>
      <c r="C317" s="27"/>
      <c r="D317" s="27"/>
      <c r="E317" s="27"/>
      <c r="F317" s="21"/>
      <c r="G317" s="89"/>
      <c r="H317" s="65"/>
      <c r="I317" s="34"/>
      <c r="J317" s="27"/>
      <c r="K317" s="27"/>
      <c r="L317" s="27"/>
      <c r="M317" s="27">
        <v>0</v>
      </c>
      <c r="N317" s="160"/>
      <c r="O317" s="160">
        <v>0</v>
      </c>
      <c r="P317" s="160">
        <v>0</v>
      </c>
      <c r="Q317" s="160">
        <v>0</v>
      </c>
      <c r="R317" s="160">
        <v>0</v>
      </c>
      <c r="S317" s="65"/>
      <c r="T317" s="34"/>
      <c r="U317" s="34"/>
      <c r="V317" s="34"/>
      <c r="W317" s="34">
        <v>0</v>
      </c>
      <c r="X317" s="89"/>
      <c r="Y317" s="65"/>
      <c r="Z317" s="160"/>
    </row>
    <row r="318" spans="1:26" s="5" customFormat="1" ht="12.75" hidden="1" customHeight="1" x14ac:dyDescent="0.25">
      <c r="A318" s="24" t="s">
        <v>451</v>
      </c>
      <c r="B318" s="25"/>
      <c r="C318" s="27">
        <v>97587</v>
      </c>
      <c r="D318" s="27"/>
      <c r="E318" s="27">
        <v>12428</v>
      </c>
      <c r="F318" s="21">
        <v>0</v>
      </c>
      <c r="G318" s="89">
        <v>110015</v>
      </c>
      <c r="H318" s="65">
        <v>0</v>
      </c>
      <c r="I318" s="34">
        <v>93775</v>
      </c>
      <c r="J318" s="27">
        <v>14047</v>
      </c>
      <c r="K318" s="27">
        <v>459862</v>
      </c>
      <c r="L318" s="27">
        <v>0</v>
      </c>
      <c r="M318" s="27">
        <v>0</v>
      </c>
      <c r="N318" s="160">
        <v>567684</v>
      </c>
      <c r="O318" s="160">
        <v>0</v>
      </c>
      <c r="P318" s="160">
        <v>0</v>
      </c>
      <c r="Q318" s="160">
        <v>0</v>
      </c>
      <c r="R318" s="160">
        <v>0</v>
      </c>
      <c r="S318" s="65">
        <v>677699</v>
      </c>
      <c r="T318" s="34">
        <v>48819</v>
      </c>
      <c r="U318" s="34">
        <v>56849</v>
      </c>
      <c r="V318" s="34">
        <v>913</v>
      </c>
      <c r="W318" s="34">
        <v>0</v>
      </c>
      <c r="X318" s="89">
        <v>106581</v>
      </c>
      <c r="Y318" s="65">
        <v>784280</v>
      </c>
      <c r="Z318" s="160">
        <v>616503</v>
      </c>
    </row>
    <row r="319" spans="1:26" s="5" customFormat="1" ht="12.75" hidden="1" customHeight="1" x14ac:dyDescent="0.25">
      <c r="A319" s="24" t="s">
        <v>452</v>
      </c>
      <c r="B319" s="25"/>
      <c r="C319" s="27">
        <v>96858</v>
      </c>
      <c r="D319" s="27"/>
      <c r="E319" s="27">
        <v>12583</v>
      </c>
      <c r="F319" s="21">
        <v>0</v>
      </c>
      <c r="G319" s="89">
        <v>109441</v>
      </c>
      <c r="H319" s="65">
        <v>0</v>
      </c>
      <c r="I319" s="34">
        <v>93723</v>
      </c>
      <c r="J319" s="27">
        <v>13412</v>
      </c>
      <c r="K319" s="27">
        <v>455825</v>
      </c>
      <c r="L319" s="27">
        <v>0</v>
      </c>
      <c r="M319" s="27">
        <v>0</v>
      </c>
      <c r="N319" s="160">
        <v>562960</v>
      </c>
      <c r="O319" s="160">
        <v>0</v>
      </c>
      <c r="P319" s="160">
        <v>0</v>
      </c>
      <c r="Q319" s="160">
        <v>0</v>
      </c>
      <c r="R319" s="160">
        <v>0</v>
      </c>
      <c r="S319" s="65">
        <v>672401</v>
      </c>
      <c r="T319" s="34">
        <v>48525</v>
      </c>
      <c r="U319" s="34">
        <v>56507</v>
      </c>
      <c r="V319" s="34">
        <v>878</v>
      </c>
      <c r="W319" s="34">
        <v>0</v>
      </c>
      <c r="X319" s="89">
        <v>105910</v>
      </c>
      <c r="Y319" s="65">
        <v>778311</v>
      </c>
      <c r="Z319" s="160">
        <v>611485</v>
      </c>
    </row>
    <row r="320" spans="1:26" s="5" customFormat="1" ht="12.75" hidden="1" customHeight="1" x14ac:dyDescent="0.25">
      <c r="A320" s="24" t="s">
        <v>453</v>
      </c>
      <c r="B320" s="25"/>
      <c r="C320" s="27">
        <v>96266</v>
      </c>
      <c r="D320" s="27"/>
      <c r="E320" s="27">
        <v>12657</v>
      </c>
      <c r="F320" s="21">
        <v>0</v>
      </c>
      <c r="G320" s="89">
        <v>108923</v>
      </c>
      <c r="H320" s="65">
        <v>0</v>
      </c>
      <c r="I320" s="34">
        <v>94827</v>
      </c>
      <c r="J320" s="27">
        <v>13298</v>
      </c>
      <c r="K320" s="27">
        <v>456188</v>
      </c>
      <c r="L320" s="27">
        <v>0</v>
      </c>
      <c r="M320" s="27">
        <v>0</v>
      </c>
      <c r="N320" s="160">
        <v>564313</v>
      </c>
      <c r="O320" s="160">
        <v>0</v>
      </c>
      <c r="P320" s="160">
        <v>0</v>
      </c>
      <c r="Q320" s="160">
        <v>0</v>
      </c>
      <c r="R320" s="160">
        <v>0</v>
      </c>
      <c r="S320" s="65">
        <v>673236</v>
      </c>
      <c r="T320" s="34">
        <v>48624</v>
      </c>
      <c r="U320" s="34">
        <v>56856</v>
      </c>
      <c r="V320" s="34">
        <v>879</v>
      </c>
      <c r="W320" s="34">
        <v>0</v>
      </c>
      <c r="X320" s="89">
        <v>106359</v>
      </c>
      <c r="Y320" s="65">
        <v>779595</v>
      </c>
      <c r="Z320" s="160">
        <v>612937</v>
      </c>
    </row>
    <row r="321" spans="1:26" s="5" customFormat="1" ht="12.75" hidden="1" customHeight="1" x14ac:dyDescent="0.25">
      <c r="A321" s="24" t="s">
        <v>454</v>
      </c>
      <c r="B321" s="25"/>
      <c r="C321" s="27">
        <v>97735</v>
      </c>
      <c r="D321" s="27"/>
      <c r="E321" s="27">
        <v>12803</v>
      </c>
      <c r="F321" s="21">
        <v>0</v>
      </c>
      <c r="G321" s="89">
        <v>110538</v>
      </c>
      <c r="H321" s="65">
        <v>0</v>
      </c>
      <c r="I321" s="34">
        <v>95245</v>
      </c>
      <c r="J321" s="27">
        <v>13019</v>
      </c>
      <c r="K321" s="27">
        <v>456364</v>
      </c>
      <c r="L321" s="27">
        <v>0</v>
      </c>
      <c r="M321" s="27">
        <v>0</v>
      </c>
      <c r="N321" s="160">
        <v>564628</v>
      </c>
      <c r="O321" s="160">
        <v>0</v>
      </c>
      <c r="P321" s="160">
        <v>0</v>
      </c>
      <c r="Q321" s="160">
        <v>0</v>
      </c>
      <c r="R321" s="160">
        <v>0</v>
      </c>
      <c r="S321" s="65">
        <v>675166</v>
      </c>
      <c r="T321" s="34">
        <v>48566</v>
      </c>
      <c r="U321" s="34">
        <v>56846</v>
      </c>
      <c r="V321" s="34">
        <v>842</v>
      </c>
      <c r="W321" s="34">
        <v>0</v>
      </c>
      <c r="X321" s="89">
        <v>106254</v>
      </c>
      <c r="Y321" s="65">
        <v>781420</v>
      </c>
      <c r="Z321" s="160">
        <v>613194</v>
      </c>
    </row>
    <row r="322" spans="1:26" s="5" customFormat="1" ht="12.75" hidden="1" customHeight="1" x14ac:dyDescent="0.25">
      <c r="A322" s="24" t="s">
        <v>455</v>
      </c>
      <c r="B322" s="25"/>
      <c r="C322" s="27">
        <v>97137</v>
      </c>
      <c r="D322" s="27"/>
      <c r="E322" s="27">
        <v>13364</v>
      </c>
      <c r="F322" s="21">
        <v>0</v>
      </c>
      <c r="G322" s="89">
        <v>110501</v>
      </c>
      <c r="H322" s="65">
        <v>0</v>
      </c>
      <c r="I322" s="34">
        <v>96606</v>
      </c>
      <c r="J322" s="27">
        <v>12785</v>
      </c>
      <c r="K322" s="27">
        <v>459325</v>
      </c>
      <c r="L322" s="27">
        <v>0</v>
      </c>
      <c r="M322" s="27">
        <v>0</v>
      </c>
      <c r="N322" s="160">
        <v>568716</v>
      </c>
      <c r="O322" s="160">
        <v>0</v>
      </c>
      <c r="P322" s="160">
        <v>0</v>
      </c>
      <c r="Q322" s="160">
        <v>0</v>
      </c>
      <c r="R322" s="160">
        <v>0</v>
      </c>
      <c r="S322" s="65">
        <v>679217</v>
      </c>
      <c r="T322" s="34">
        <v>49118</v>
      </c>
      <c r="U322" s="34">
        <v>57462</v>
      </c>
      <c r="V322" s="34">
        <v>828</v>
      </c>
      <c r="W322" s="34">
        <v>0</v>
      </c>
      <c r="X322" s="89">
        <v>107408</v>
      </c>
      <c r="Y322" s="65">
        <v>786625</v>
      </c>
      <c r="Z322" s="160">
        <v>617834</v>
      </c>
    </row>
    <row r="323" spans="1:26" s="5" customFormat="1" ht="12.75" hidden="1" customHeight="1" x14ac:dyDescent="0.25">
      <c r="A323" s="24" t="s">
        <v>456</v>
      </c>
      <c r="B323" s="25"/>
      <c r="C323" s="27">
        <v>97829</v>
      </c>
      <c r="D323" s="27"/>
      <c r="E323" s="27">
        <v>13444</v>
      </c>
      <c r="F323" s="21">
        <v>0</v>
      </c>
      <c r="G323" s="89">
        <v>111273</v>
      </c>
      <c r="H323" s="65">
        <v>0</v>
      </c>
      <c r="I323" s="34">
        <v>98021</v>
      </c>
      <c r="J323" s="27">
        <v>12739</v>
      </c>
      <c r="K323" s="27">
        <v>462138</v>
      </c>
      <c r="L323" s="27">
        <v>0</v>
      </c>
      <c r="M323" s="27">
        <v>0</v>
      </c>
      <c r="N323" s="160">
        <v>572898</v>
      </c>
      <c r="O323" s="160">
        <v>0</v>
      </c>
      <c r="P323" s="160">
        <v>0</v>
      </c>
      <c r="Q323" s="160">
        <v>0</v>
      </c>
      <c r="R323" s="160">
        <v>0</v>
      </c>
      <c r="S323" s="65">
        <v>684171</v>
      </c>
      <c r="T323" s="34">
        <v>49600</v>
      </c>
      <c r="U323" s="34">
        <v>57877</v>
      </c>
      <c r="V323" s="34">
        <v>818</v>
      </c>
      <c r="W323" s="34">
        <v>0</v>
      </c>
      <c r="X323" s="89">
        <v>108295</v>
      </c>
      <c r="Y323" s="65">
        <v>792466</v>
      </c>
      <c r="Z323" s="160">
        <v>622498</v>
      </c>
    </row>
    <row r="324" spans="1:26" s="5" customFormat="1" ht="12.75" hidden="1" customHeight="1" x14ac:dyDescent="0.25">
      <c r="A324" s="24" t="s">
        <v>457</v>
      </c>
      <c r="B324" s="25"/>
      <c r="C324" s="27">
        <v>97722</v>
      </c>
      <c r="D324" s="27"/>
      <c r="E324" s="27">
        <v>13424</v>
      </c>
      <c r="F324" s="21">
        <v>0</v>
      </c>
      <c r="G324" s="89">
        <v>111146</v>
      </c>
      <c r="H324" s="65">
        <v>0</v>
      </c>
      <c r="I324" s="34">
        <v>98740</v>
      </c>
      <c r="J324" s="27">
        <v>12715</v>
      </c>
      <c r="K324" s="27">
        <v>462851</v>
      </c>
      <c r="L324" s="27">
        <v>0</v>
      </c>
      <c r="M324" s="27">
        <v>0</v>
      </c>
      <c r="N324" s="160">
        <v>574306</v>
      </c>
      <c r="O324" s="160">
        <v>0</v>
      </c>
      <c r="P324" s="160">
        <v>0</v>
      </c>
      <c r="Q324" s="160">
        <v>0</v>
      </c>
      <c r="R324" s="160">
        <v>0</v>
      </c>
      <c r="S324" s="65">
        <v>685452</v>
      </c>
      <c r="T324" s="34">
        <v>49523</v>
      </c>
      <c r="U324" s="34">
        <v>57709</v>
      </c>
      <c r="V324" s="34">
        <v>887</v>
      </c>
      <c r="W324" s="34">
        <v>0</v>
      </c>
      <c r="X324" s="89">
        <v>108119</v>
      </c>
      <c r="Y324" s="65">
        <v>793571</v>
      </c>
      <c r="Z324" s="160">
        <v>623829</v>
      </c>
    </row>
    <row r="325" spans="1:26" s="5" customFormat="1" ht="12.75" hidden="1" customHeight="1" x14ac:dyDescent="0.25">
      <c r="A325" s="24" t="s">
        <v>458</v>
      </c>
      <c r="B325" s="25"/>
      <c r="C325" s="27">
        <v>98431</v>
      </c>
      <c r="D325" s="27"/>
      <c r="E325" s="27">
        <v>13568</v>
      </c>
      <c r="F325" s="21">
        <v>0</v>
      </c>
      <c r="G325" s="89">
        <v>111999</v>
      </c>
      <c r="H325" s="65">
        <v>0</v>
      </c>
      <c r="I325" s="34">
        <v>100211</v>
      </c>
      <c r="J325" s="27">
        <v>12718</v>
      </c>
      <c r="K325" s="27">
        <v>464435</v>
      </c>
      <c r="L325" s="27">
        <v>0</v>
      </c>
      <c r="M325" s="27">
        <v>0</v>
      </c>
      <c r="N325" s="160">
        <v>577364</v>
      </c>
      <c r="O325" s="160">
        <v>0</v>
      </c>
      <c r="P325" s="160">
        <v>0</v>
      </c>
      <c r="Q325" s="160">
        <v>0</v>
      </c>
      <c r="R325" s="160">
        <v>0</v>
      </c>
      <c r="S325" s="65">
        <v>689363</v>
      </c>
      <c r="T325" s="34">
        <v>49667</v>
      </c>
      <c r="U325" s="34">
        <v>57620</v>
      </c>
      <c r="V325" s="34">
        <v>926</v>
      </c>
      <c r="W325" s="34">
        <v>0</v>
      </c>
      <c r="X325" s="89">
        <v>108213</v>
      </c>
      <c r="Y325" s="65">
        <v>797576</v>
      </c>
      <c r="Z325" s="160">
        <v>627031</v>
      </c>
    </row>
    <row r="326" spans="1:26" s="5" customFormat="1" ht="12.75" hidden="1" customHeight="1" x14ac:dyDescent="0.25">
      <c r="A326" s="24" t="s">
        <v>459</v>
      </c>
      <c r="B326" s="25"/>
      <c r="C326" s="27">
        <v>97686</v>
      </c>
      <c r="D326" s="27"/>
      <c r="E326" s="27">
        <v>13811</v>
      </c>
      <c r="F326" s="21">
        <v>0</v>
      </c>
      <c r="G326" s="89">
        <v>111497</v>
      </c>
      <c r="H326" s="65">
        <v>0</v>
      </c>
      <c r="I326" s="34">
        <v>102183</v>
      </c>
      <c r="J326" s="27">
        <v>12888</v>
      </c>
      <c r="K326" s="27">
        <v>465820</v>
      </c>
      <c r="L326" s="27">
        <v>0</v>
      </c>
      <c r="M326" s="27">
        <v>0</v>
      </c>
      <c r="N326" s="160">
        <v>580891</v>
      </c>
      <c r="O326" s="160">
        <v>0</v>
      </c>
      <c r="P326" s="160">
        <v>0</v>
      </c>
      <c r="Q326" s="160">
        <v>0</v>
      </c>
      <c r="R326" s="160">
        <v>0</v>
      </c>
      <c r="S326" s="65">
        <v>692388</v>
      </c>
      <c r="T326" s="34">
        <v>50104</v>
      </c>
      <c r="U326" s="34">
        <v>57827</v>
      </c>
      <c r="V326" s="34">
        <v>966</v>
      </c>
      <c r="W326" s="34">
        <v>0</v>
      </c>
      <c r="X326" s="89">
        <v>108897</v>
      </c>
      <c r="Y326" s="65">
        <v>801285</v>
      </c>
      <c r="Z326" s="160">
        <v>630995</v>
      </c>
    </row>
    <row r="327" spans="1:26" s="5" customFormat="1" ht="12.75" hidden="1" customHeight="1" x14ac:dyDescent="0.25">
      <c r="A327" s="24" t="s">
        <v>460</v>
      </c>
      <c r="B327" s="25"/>
      <c r="C327" s="27">
        <v>97513</v>
      </c>
      <c r="D327" s="27"/>
      <c r="E327" s="27">
        <v>13841</v>
      </c>
      <c r="F327" s="21">
        <v>0</v>
      </c>
      <c r="G327" s="89">
        <v>111354</v>
      </c>
      <c r="H327" s="65">
        <v>0</v>
      </c>
      <c r="I327" s="34">
        <v>103221</v>
      </c>
      <c r="J327" s="27">
        <v>12835</v>
      </c>
      <c r="K327" s="27">
        <v>466883</v>
      </c>
      <c r="L327" s="27">
        <v>0</v>
      </c>
      <c r="M327" s="27">
        <v>0</v>
      </c>
      <c r="N327" s="160">
        <v>582939</v>
      </c>
      <c r="O327" s="160">
        <v>0</v>
      </c>
      <c r="P327" s="160">
        <v>0</v>
      </c>
      <c r="Q327" s="160">
        <v>0</v>
      </c>
      <c r="R327" s="160">
        <v>0</v>
      </c>
      <c r="S327" s="65">
        <v>694293</v>
      </c>
      <c r="T327" s="34">
        <v>50646</v>
      </c>
      <c r="U327" s="34">
        <v>58497</v>
      </c>
      <c r="V327" s="34">
        <v>969</v>
      </c>
      <c r="W327" s="34">
        <v>0</v>
      </c>
      <c r="X327" s="89">
        <v>110112</v>
      </c>
      <c r="Y327" s="65">
        <v>804405</v>
      </c>
      <c r="Z327" s="160">
        <v>633585</v>
      </c>
    </row>
    <row r="328" spans="1:26" s="5" customFormat="1" ht="12.75" hidden="1" customHeight="1" x14ac:dyDescent="0.25">
      <c r="A328" s="24" t="s">
        <v>461</v>
      </c>
      <c r="B328" s="25"/>
      <c r="C328" s="27">
        <v>97655</v>
      </c>
      <c r="D328" s="27"/>
      <c r="E328" s="27">
        <v>13840</v>
      </c>
      <c r="F328" s="21">
        <v>0</v>
      </c>
      <c r="G328" s="89">
        <v>111495</v>
      </c>
      <c r="H328" s="65">
        <v>0</v>
      </c>
      <c r="I328" s="34">
        <v>104126</v>
      </c>
      <c r="J328" s="27">
        <v>13246</v>
      </c>
      <c r="K328" s="27">
        <v>466393</v>
      </c>
      <c r="L328" s="27">
        <v>0</v>
      </c>
      <c r="M328" s="27">
        <v>0</v>
      </c>
      <c r="N328" s="160">
        <v>583765</v>
      </c>
      <c r="O328" s="160">
        <v>0</v>
      </c>
      <c r="P328" s="160">
        <v>0</v>
      </c>
      <c r="Q328" s="160">
        <v>0</v>
      </c>
      <c r="R328" s="160">
        <v>0</v>
      </c>
      <c r="S328" s="65">
        <v>695260</v>
      </c>
      <c r="T328" s="34">
        <v>51332</v>
      </c>
      <c r="U328" s="34">
        <v>59307</v>
      </c>
      <c r="V328" s="34">
        <v>986</v>
      </c>
      <c r="W328" s="34">
        <v>0</v>
      </c>
      <c r="X328" s="89">
        <v>111625</v>
      </c>
      <c r="Y328" s="65">
        <v>806885</v>
      </c>
      <c r="Z328" s="160">
        <v>635097</v>
      </c>
    </row>
    <row r="329" spans="1:26" s="5" customFormat="1" ht="12.75" hidden="1" customHeight="1" x14ac:dyDescent="0.25">
      <c r="A329" s="24" t="s">
        <v>462</v>
      </c>
      <c r="B329" s="25"/>
      <c r="C329" s="27">
        <v>96645</v>
      </c>
      <c r="D329" s="27"/>
      <c r="E329" s="27">
        <v>13991</v>
      </c>
      <c r="F329" s="21">
        <v>0</v>
      </c>
      <c r="G329" s="89">
        <v>110636</v>
      </c>
      <c r="H329" s="65">
        <v>0</v>
      </c>
      <c r="I329" s="34">
        <v>105376</v>
      </c>
      <c r="J329" s="27">
        <v>13434</v>
      </c>
      <c r="K329" s="27">
        <v>465754</v>
      </c>
      <c r="L329" s="27">
        <v>0</v>
      </c>
      <c r="M329" s="27">
        <v>0</v>
      </c>
      <c r="N329" s="160">
        <v>584564</v>
      </c>
      <c r="O329" s="160">
        <v>0</v>
      </c>
      <c r="P329" s="160">
        <v>0</v>
      </c>
      <c r="Q329" s="160">
        <v>0</v>
      </c>
      <c r="R329" s="160">
        <v>0</v>
      </c>
      <c r="S329" s="65">
        <v>695200</v>
      </c>
      <c r="T329" s="34">
        <v>52060</v>
      </c>
      <c r="U329" s="34">
        <v>59621</v>
      </c>
      <c r="V329" s="34">
        <v>983</v>
      </c>
      <c r="W329" s="34">
        <v>0</v>
      </c>
      <c r="X329" s="89">
        <v>112664</v>
      </c>
      <c r="Y329" s="65">
        <v>807864</v>
      </c>
      <c r="Z329" s="160">
        <v>636624</v>
      </c>
    </row>
    <row r="330" spans="1:26" s="5" customFormat="1" ht="12.75" hidden="1" customHeight="1" x14ac:dyDescent="0.25">
      <c r="A330" s="24"/>
      <c r="B330" s="25"/>
      <c r="C330" s="27"/>
      <c r="D330" s="27"/>
      <c r="E330" s="27"/>
      <c r="F330" s="21"/>
      <c r="G330" s="89"/>
      <c r="H330" s="65"/>
      <c r="I330" s="34"/>
      <c r="J330" s="27"/>
      <c r="K330" s="27"/>
      <c r="L330" s="27"/>
      <c r="M330" s="27">
        <v>0</v>
      </c>
      <c r="N330" s="160"/>
      <c r="O330" s="160">
        <v>0</v>
      </c>
      <c r="P330" s="160">
        <v>0</v>
      </c>
      <c r="Q330" s="160">
        <v>0</v>
      </c>
      <c r="R330" s="160">
        <v>0</v>
      </c>
      <c r="S330" s="65"/>
      <c r="T330" s="34"/>
      <c r="U330" s="34"/>
      <c r="V330" s="34"/>
      <c r="W330" s="34">
        <v>0</v>
      </c>
      <c r="X330" s="89"/>
      <c r="Y330" s="65"/>
      <c r="Z330" s="160"/>
    </row>
    <row r="331" spans="1:26" s="5" customFormat="1" ht="12.75" hidden="1" customHeight="1" x14ac:dyDescent="0.25">
      <c r="A331" s="24" t="s">
        <v>463</v>
      </c>
      <c r="B331" s="25"/>
      <c r="C331" s="27">
        <v>96169</v>
      </c>
      <c r="D331" s="27"/>
      <c r="E331" s="27">
        <v>11654</v>
      </c>
      <c r="F331" s="21">
        <v>0</v>
      </c>
      <c r="G331" s="89">
        <v>107823</v>
      </c>
      <c r="H331" s="65">
        <v>0</v>
      </c>
      <c r="I331" s="34">
        <v>106028</v>
      </c>
      <c r="J331" s="27">
        <v>13496</v>
      </c>
      <c r="K331" s="27">
        <v>464981</v>
      </c>
      <c r="L331" s="27">
        <v>0</v>
      </c>
      <c r="M331" s="27">
        <v>0</v>
      </c>
      <c r="N331" s="160">
        <v>584505</v>
      </c>
      <c r="O331" s="160">
        <v>0</v>
      </c>
      <c r="P331" s="160">
        <v>0</v>
      </c>
      <c r="Q331" s="160">
        <v>0</v>
      </c>
      <c r="R331" s="160">
        <v>0</v>
      </c>
      <c r="S331" s="65">
        <v>692328</v>
      </c>
      <c r="T331" s="34">
        <v>53174</v>
      </c>
      <c r="U331" s="34">
        <v>60463</v>
      </c>
      <c r="V331" s="34">
        <v>990</v>
      </c>
      <c r="W331" s="34">
        <v>0</v>
      </c>
      <c r="X331" s="89">
        <v>114627</v>
      </c>
      <c r="Y331" s="65">
        <v>806955</v>
      </c>
      <c r="Z331" s="160">
        <v>637679</v>
      </c>
    </row>
    <row r="332" spans="1:26" s="5" customFormat="1" ht="12.75" hidden="1" customHeight="1" x14ac:dyDescent="0.25">
      <c r="A332" s="24" t="s">
        <v>464</v>
      </c>
      <c r="B332" s="25"/>
      <c r="C332" s="27">
        <v>103766</v>
      </c>
      <c r="D332" s="27">
        <v>2284</v>
      </c>
      <c r="E332" s="27">
        <v>19418</v>
      </c>
      <c r="F332" s="21">
        <v>0</v>
      </c>
      <c r="G332" s="89">
        <v>125468</v>
      </c>
      <c r="H332" s="65">
        <v>0</v>
      </c>
      <c r="I332" s="34">
        <v>107441</v>
      </c>
      <c r="J332" s="27">
        <v>13573</v>
      </c>
      <c r="K332" s="27">
        <v>466160</v>
      </c>
      <c r="L332" s="27">
        <v>0</v>
      </c>
      <c r="M332" s="27">
        <v>0</v>
      </c>
      <c r="N332" s="160">
        <v>587174</v>
      </c>
      <c r="O332" s="160">
        <v>0</v>
      </c>
      <c r="P332" s="160">
        <v>0</v>
      </c>
      <c r="Q332" s="160">
        <v>0</v>
      </c>
      <c r="R332" s="160">
        <v>0</v>
      </c>
      <c r="S332" s="65">
        <v>712642</v>
      </c>
      <c r="T332" s="34">
        <v>54351</v>
      </c>
      <c r="U332" s="34">
        <v>61498</v>
      </c>
      <c r="V332" s="34">
        <v>1001</v>
      </c>
      <c r="W332" s="34">
        <v>0</v>
      </c>
      <c r="X332" s="89">
        <v>116850</v>
      </c>
      <c r="Y332" s="65">
        <v>829492</v>
      </c>
      <c r="Z332" s="160">
        <v>641525</v>
      </c>
    </row>
    <row r="333" spans="1:26" s="5" customFormat="1" ht="12.75" hidden="1" customHeight="1" x14ac:dyDescent="0.25">
      <c r="A333" s="24" t="s">
        <v>465</v>
      </c>
      <c r="B333" s="25"/>
      <c r="C333" s="27">
        <v>113131</v>
      </c>
      <c r="D333" s="27">
        <v>5081</v>
      </c>
      <c r="E333" s="27">
        <v>26305</v>
      </c>
      <c r="F333" s="21">
        <v>0</v>
      </c>
      <c r="G333" s="89">
        <v>144517</v>
      </c>
      <c r="H333" s="65">
        <v>0</v>
      </c>
      <c r="I333" s="34">
        <v>108381</v>
      </c>
      <c r="J333" s="27">
        <v>13902</v>
      </c>
      <c r="K333" s="27">
        <v>468166</v>
      </c>
      <c r="L333" s="27">
        <v>0</v>
      </c>
      <c r="M333" s="27">
        <v>0</v>
      </c>
      <c r="N333" s="160">
        <v>590449</v>
      </c>
      <c r="O333" s="160">
        <v>0</v>
      </c>
      <c r="P333" s="160">
        <v>0</v>
      </c>
      <c r="Q333" s="160">
        <v>0</v>
      </c>
      <c r="R333" s="160">
        <v>0</v>
      </c>
      <c r="S333" s="65">
        <v>734966</v>
      </c>
      <c r="T333" s="34">
        <v>55581</v>
      </c>
      <c r="U333" s="34">
        <v>62526</v>
      </c>
      <c r="V333" s="34">
        <v>994</v>
      </c>
      <c r="W333" s="34">
        <v>0</v>
      </c>
      <c r="X333" s="89">
        <v>119101</v>
      </c>
      <c r="Y333" s="65">
        <v>854067</v>
      </c>
      <c r="Z333" s="160">
        <v>646030</v>
      </c>
    </row>
    <row r="334" spans="1:26" s="5" customFormat="1" ht="12.75" hidden="1" customHeight="1" x14ac:dyDescent="0.25">
      <c r="A334" s="24" t="s">
        <v>466</v>
      </c>
      <c r="B334" s="25"/>
      <c r="C334" s="27">
        <v>123548</v>
      </c>
      <c r="D334" s="27">
        <v>5026</v>
      </c>
      <c r="E334" s="27">
        <v>30997</v>
      </c>
      <c r="F334" s="21">
        <v>0</v>
      </c>
      <c r="G334" s="89">
        <v>159571</v>
      </c>
      <c r="H334" s="65">
        <v>0</v>
      </c>
      <c r="I334" s="34">
        <v>109105</v>
      </c>
      <c r="J334" s="27">
        <v>13802</v>
      </c>
      <c r="K334" s="27">
        <v>470163</v>
      </c>
      <c r="L334" s="27">
        <v>0</v>
      </c>
      <c r="M334" s="27">
        <v>0</v>
      </c>
      <c r="N334" s="160">
        <v>593070</v>
      </c>
      <c r="O334" s="160">
        <v>0</v>
      </c>
      <c r="P334" s="160">
        <v>0</v>
      </c>
      <c r="Q334" s="160">
        <v>0</v>
      </c>
      <c r="R334" s="160">
        <v>0</v>
      </c>
      <c r="S334" s="65">
        <v>752641</v>
      </c>
      <c r="T334" s="34">
        <v>56336</v>
      </c>
      <c r="U334" s="34">
        <v>63474</v>
      </c>
      <c r="V334" s="34">
        <v>958</v>
      </c>
      <c r="W334" s="34">
        <v>0</v>
      </c>
      <c r="X334" s="89">
        <v>120768</v>
      </c>
      <c r="Y334" s="65">
        <v>873409</v>
      </c>
      <c r="Z334" s="160">
        <v>649406</v>
      </c>
    </row>
    <row r="335" spans="1:26" s="5" customFormat="1" ht="12.75" hidden="1" customHeight="1" x14ac:dyDescent="0.25">
      <c r="A335" s="24" t="s">
        <v>467</v>
      </c>
      <c r="B335" s="25"/>
      <c r="C335" s="27">
        <v>148907</v>
      </c>
      <c r="D335" s="27">
        <v>7604</v>
      </c>
      <c r="E335" s="27">
        <v>24519</v>
      </c>
      <c r="F335" s="21">
        <v>0</v>
      </c>
      <c r="G335" s="89">
        <v>181030</v>
      </c>
      <c r="H335" s="65">
        <v>0</v>
      </c>
      <c r="I335" s="34">
        <v>105149</v>
      </c>
      <c r="J335" s="27">
        <v>13356</v>
      </c>
      <c r="K335" s="27">
        <v>472341</v>
      </c>
      <c r="L335" s="27">
        <v>0</v>
      </c>
      <c r="M335" s="27">
        <v>0</v>
      </c>
      <c r="N335" s="160">
        <v>590846</v>
      </c>
      <c r="O335" s="160">
        <v>0</v>
      </c>
      <c r="P335" s="160">
        <v>0</v>
      </c>
      <c r="Q335" s="160">
        <v>0</v>
      </c>
      <c r="R335" s="160">
        <v>0</v>
      </c>
      <c r="S335" s="65">
        <v>771876</v>
      </c>
      <c r="T335" s="34">
        <v>57439</v>
      </c>
      <c r="U335" s="34">
        <v>65243</v>
      </c>
      <c r="V335" s="34">
        <v>931</v>
      </c>
      <c r="W335" s="34">
        <v>0</v>
      </c>
      <c r="X335" s="89">
        <v>123613</v>
      </c>
      <c r="Y335" s="65">
        <v>895489</v>
      </c>
      <c r="Z335" s="160">
        <v>648285</v>
      </c>
    </row>
    <row r="336" spans="1:26" s="5" customFormat="1" ht="12.75" hidden="1" customHeight="1" x14ac:dyDescent="0.25">
      <c r="A336" s="24" t="s">
        <v>468</v>
      </c>
      <c r="B336" s="25"/>
      <c r="C336" s="27">
        <v>163062</v>
      </c>
      <c r="D336" s="27">
        <v>11509</v>
      </c>
      <c r="E336" s="27">
        <v>31032</v>
      </c>
      <c r="F336" s="21">
        <v>0</v>
      </c>
      <c r="G336" s="89">
        <v>205603</v>
      </c>
      <c r="H336" s="65">
        <v>0</v>
      </c>
      <c r="I336" s="34">
        <v>105800</v>
      </c>
      <c r="J336" s="27">
        <v>13260</v>
      </c>
      <c r="K336" s="27">
        <v>474487</v>
      </c>
      <c r="L336" s="27">
        <v>0</v>
      </c>
      <c r="M336" s="27">
        <v>0</v>
      </c>
      <c r="N336" s="160">
        <v>593547</v>
      </c>
      <c r="O336" s="160">
        <v>0</v>
      </c>
      <c r="P336" s="160">
        <v>0</v>
      </c>
      <c r="Q336" s="160">
        <v>0</v>
      </c>
      <c r="R336" s="160">
        <v>0</v>
      </c>
      <c r="S336" s="65">
        <v>799150</v>
      </c>
      <c r="T336" s="34">
        <v>58519</v>
      </c>
      <c r="U336" s="34">
        <v>66138</v>
      </c>
      <c r="V336" s="34">
        <v>963</v>
      </c>
      <c r="W336" s="34">
        <v>0</v>
      </c>
      <c r="X336" s="89">
        <v>125620</v>
      </c>
      <c r="Y336" s="65">
        <v>924770</v>
      </c>
      <c r="Z336" s="160">
        <v>652066</v>
      </c>
    </row>
    <row r="337" spans="1:26" s="5" customFormat="1" ht="12.75" hidden="1" customHeight="1" x14ac:dyDescent="0.25">
      <c r="A337" s="24" t="s">
        <v>469</v>
      </c>
      <c r="B337" s="25"/>
      <c r="C337" s="27">
        <v>151774</v>
      </c>
      <c r="D337" s="27">
        <v>14150</v>
      </c>
      <c r="E337" s="27">
        <v>41865</v>
      </c>
      <c r="F337" s="21">
        <v>0</v>
      </c>
      <c r="G337" s="89">
        <v>207789</v>
      </c>
      <c r="H337" s="65">
        <v>0</v>
      </c>
      <c r="I337" s="34">
        <v>105910</v>
      </c>
      <c r="J337" s="27">
        <v>13122</v>
      </c>
      <c r="K337" s="27">
        <v>473425</v>
      </c>
      <c r="L337" s="27">
        <v>0</v>
      </c>
      <c r="M337" s="27">
        <v>0</v>
      </c>
      <c r="N337" s="160">
        <v>592457</v>
      </c>
      <c r="O337" s="160">
        <v>0</v>
      </c>
      <c r="P337" s="160">
        <v>0</v>
      </c>
      <c r="Q337" s="160">
        <v>0</v>
      </c>
      <c r="R337" s="160">
        <v>0</v>
      </c>
      <c r="S337" s="65">
        <v>800246</v>
      </c>
      <c r="T337" s="34">
        <v>59091</v>
      </c>
      <c r="U337" s="34">
        <v>66734</v>
      </c>
      <c r="V337" s="34">
        <v>989</v>
      </c>
      <c r="W337" s="34">
        <v>0</v>
      </c>
      <c r="X337" s="89">
        <v>126814</v>
      </c>
      <c r="Y337" s="65">
        <v>927060</v>
      </c>
      <c r="Z337" s="160">
        <v>651548</v>
      </c>
    </row>
    <row r="338" spans="1:26" s="5" customFormat="1" ht="12.75" hidden="1" customHeight="1" x14ac:dyDescent="0.25">
      <c r="A338" s="24" t="s">
        <v>470</v>
      </c>
      <c r="B338" s="25"/>
      <c r="C338" s="27">
        <v>145537</v>
      </c>
      <c r="D338" s="27">
        <v>15979</v>
      </c>
      <c r="E338" s="27">
        <v>44983</v>
      </c>
      <c r="F338" s="21">
        <v>0</v>
      </c>
      <c r="G338" s="89">
        <v>206499</v>
      </c>
      <c r="H338" s="65">
        <v>0</v>
      </c>
      <c r="I338" s="34">
        <v>106022</v>
      </c>
      <c r="J338" s="27">
        <v>12949</v>
      </c>
      <c r="K338" s="27">
        <v>473497</v>
      </c>
      <c r="L338" s="27">
        <v>0</v>
      </c>
      <c r="M338" s="27">
        <v>0</v>
      </c>
      <c r="N338" s="160">
        <v>592468</v>
      </c>
      <c r="O338" s="160">
        <v>0</v>
      </c>
      <c r="P338" s="160">
        <v>0</v>
      </c>
      <c r="Q338" s="160">
        <v>0</v>
      </c>
      <c r="R338" s="160">
        <v>0</v>
      </c>
      <c r="S338" s="65">
        <v>798967</v>
      </c>
      <c r="T338" s="34">
        <v>59716</v>
      </c>
      <c r="U338" s="34">
        <v>67231</v>
      </c>
      <c r="V338" s="34">
        <v>1033</v>
      </c>
      <c r="W338" s="34">
        <v>0</v>
      </c>
      <c r="X338" s="89">
        <v>127980</v>
      </c>
      <c r="Y338" s="65">
        <v>926947</v>
      </c>
      <c r="Z338" s="160">
        <v>652184</v>
      </c>
    </row>
    <row r="339" spans="1:26" s="5" customFormat="1" ht="12.75" hidden="1" customHeight="1" x14ac:dyDescent="0.25">
      <c r="A339" s="24" t="s">
        <v>471</v>
      </c>
      <c r="B339" s="25"/>
      <c r="C339" s="27">
        <v>146163</v>
      </c>
      <c r="D339" s="27">
        <v>16005</v>
      </c>
      <c r="E339" s="27">
        <v>45102</v>
      </c>
      <c r="F339" s="21">
        <v>0</v>
      </c>
      <c r="G339" s="89">
        <v>207270</v>
      </c>
      <c r="H339" s="65">
        <v>0</v>
      </c>
      <c r="I339" s="34">
        <v>106345</v>
      </c>
      <c r="J339" s="27">
        <v>13190</v>
      </c>
      <c r="K339" s="27">
        <v>475242</v>
      </c>
      <c r="L339" s="27">
        <v>0</v>
      </c>
      <c r="M339" s="27">
        <v>0</v>
      </c>
      <c r="N339" s="160">
        <v>594777</v>
      </c>
      <c r="O339" s="160">
        <v>0</v>
      </c>
      <c r="P339" s="160">
        <v>0</v>
      </c>
      <c r="Q339" s="160">
        <v>0</v>
      </c>
      <c r="R339" s="160">
        <v>0</v>
      </c>
      <c r="S339" s="65">
        <v>802047</v>
      </c>
      <c r="T339" s="34">
        <v>60010</v>
      </c>
      <c r="U339" s="34">
        <v>67583</v>
      </c>
      <c r="V339" s="34">
        <v>1050</v>
      </c>
      <c r="W339" s="34">
        <v>0</v>
      </c>
      <c r="X339" s="89">
        <v>128643</v>
      </c>
      <c r="Y339" s="65">
        <v>930690</v>
      </c>
      <c r="Z339" s="160">
        <v>654787</v>
      </c>
    </row>
    <row r="340" spans="1:26" s="5" customFormat="1" ht="12.75" hidden="1" customHeight="1" x14ac:dyDescent="0.25">
      <c r="A340" s="24" t="s">
        <v>472</v>
      </c>
      <c r="B340" s="25"/>
      <c r="C340" s="27">
        <v>147192</v>
      </c>
      <c r="D340" s="27">
        <v>15848</v>
      </c>
      <c r="E340" s="27">
        <v>45122</v>
      </c>
      <c r="F340" s="21">
        <v>0</v>
      </c>
      <c r="G340" s="89">
        <v>208162</v>
      </c>
      <c r="H340" s="65">
        <v>0</v>
      </c>
      <c r="I340" s="34">
        <v>106404</v>
      </c>
      <c r="J340" s="27">
        <v>13074</v>
      </c>
      <c r="K340" s="27">
        <v>477172</v>
      </c>
      <c r="L340" s="27">
        <v>0</v>
      </c>
      <c r="M340" s="27">
        <v>0</v>
      </c>
      <c r="N340" s="160">
        <v>596650</v>
      </c>
      <c r="O340" s="160">
        <v>0</v>
      </c>
      <c r="P340" s="160">
        <v>0</v>
      </c>
      <c r="Q340" s="160">
        <v>0</v>
      </c>
      <c r="R340" s="160">
        <v>0</v>
      </c>
      <c r="S340" s="65">
        <v>804812</v>
      </c>
      <c r="T340" s="34">
        <v>60425</v>
      </c>
      <c r="U340" s="34">
        <v>67712</v>
      </c>
      <c r="V340" s="34">
        <v>1025</v>
      </c>
      <c r="W340" s="34">
        <v>0</v>
      </c>
      <c r="X340" s="89">
        <v>129162</v>
      </c>
      <c r="Y340" s="65">
        <v>933974</v>
      </c>
      <c r="Z340" s="160">
        <v>657075</v>
      </c>
    </row>
    <row r="341" spans="1:26" s="5" customFormat="1" ht="12.75" hidden="1" customHeight="1" x14ac:dyDescent="0.25">
      <c r="A341" s="24" t="s">
        <v>473</v>
      </c>
      <c r="B341" s="25"/>
      <c r="C341" s="27">
        <v>147548</v>
      </c>
      <c r="D341" s="27">
        <v>15904</v>
      </c>
      <c r="E341" s="27">
        <v>45623</v>
      </c>
      <c r="F341" s="21">
        <v>0</v>
      </c>
      <c r="G341" s="89">
        <v>209075</v>
      </c>
      <c r="H341" s="65">
        <v>0</v>
      </c>
      <c r="I341" s="34">
        <v>106721</v>
      </c>
      <c r="J341" s="27">
        <v>13204</v>
      </c>
      <c r="K341" s="27">
        <v>480395</v>
      </c>
      <c r="L341" s="27">
        <v>0</v>
      </c>
      <c r="M341" s="27">
        <v>0</v>
      </c>
      <c r="N341" s="160">
        <v>600320</v>
      </c>
      <c r="O341" s="160">
        <v>0</v>
      </c>
      <c r="P341" s="160">
        <v>0</v>
      </c>
      <c r="Q341" s="160">
        <v>0</v>
      </c>
      <c r="R341" s="160">
        <v>0</v>
      </c>
      <c r="S341" s="65">
        <v>809395</v>
      </c>
      <c r="T341" s="34">
        <v>60790</v>
      </c>
      <c r="U341" s="34">
        <v>67901</v>
      </c>
      <c r="V341" s="34">
        <v>1016</v>
      </c>
      <c r="W341" s="34">
        <v>0</v>
      </c>
      <c r="X341" s="89">
        <v>129707</v>
      </c>
      <c r="Y341" s="65">
        <v>939102</v>
      </c>
      <c r="Z341" s="160">
        <v>661110</v>
      </c>
    </row>
    <row r="342" spans="1:26" s="5" customFormat="1" ht="12.75" hidden="1" customHeight="1" x14ac:dyDescent="0.25">
      <c r="A342" s="24" t="s">
        <v>474</v>
      </c>
      <c r="B342" s="25"/>
      <c r="C342" s="27">
        <v>147817</v>
      </c>
      <c r="D342" s="27">
        <v>16019</v>
      </c>
      <c r="E342" s="27">
        <v>45971</v>
      </c>
      <c r="F342" s="21">
        <v>0</v>
      </c>
      <c r="G342" s="89">
        <v>209807</v>
      </c>
      <c r="H342" s="65">
        <v>0</v>
      </c>
      <c r="I342" s="34">
        <v>106734</v>
      </c>
      <c r="J342" s="27">
        <v>13445</v>
      </c>
      <c r="K342" s="27">
        <v>482541</v>
      </c>
      <c r="L342" s="27">
        <v>0</v>
      </c>
      <c r="M342" s="27">
        <v>0</v>
      </c>
      <c r="N342" s="160">
        <v>602720</v>
      </c>
      <c r="O342" s="160">
        <v>0</v>
      </c>
      <c r="P342" s="160">
        <v>0</v>
      </c>
      <c r="Q342" s="160">
        <v>0</v>
      </c>
      <c r="R342" s="160">
        <v>0</v>
      </c>
      <c r="S342" s="65">
        <v>812527</v>
      </c>
      <c r="T342" s="34">
        <v>61145</v>
      </c>
      <c r="U342" s="34">
        <v>68384</v>
      </c>
      <c r="V342" s="34">
        <v>1016</v>
      </c>
      <c r="W342" s="34">
        <v>0</v>
      </c>
      <c r="X342" s="89">
        <v>130545</v>
      </c>
      <c r="Y342" s="65">
        <v>943072</v>
      </c>
      <c r="Z342" s="160">
        <v>663865</v>
      </c>
    </row>
    <row r="343" spans="1:26" s="5" customFormat="1" ht="12.75" hidden="1" customHeight="1" x14ac:dyDescent="0.25">
      <c r="A343" s="24"/>
      <c r="B343" s="25"/>
      <c r="C343" s="27"/>
      <c r="D343" s="21"/>
      <c r="E343" s="21"/>
      <c r="F343" s="21"/>
      <c r="G343" s="89"/>
      <c r="H343" s="65"/>
      <c r="I343" s="34"/>
      <c r="J343" s="21"/>
      <c r="K343" s="21"/>
      <c r="L343" s="21"/>
      <c r="M343" s="21"/>
      <c r="N343" s="68"/>
      <c r="O343" s="160">
        <v>0</v>
      </c>
      <c r="P343" s="160">
        <v>0</v>
      </c>
      <c r="Q343" s="160">
        <v>0</v>
      </c>
      <c r="R343" s="160">
        <v>0</v>
      </c>
      <c r="S343" s="65"/>
      <c r="T343" s="34"/>
      <c r="U343" s="34"/>
      <c r="V343" s="34"/>
      <c r="W343" s="34"/>
      <c r="X343" s="89"/>
      <c r="Y343" s="65"/>
    </row>
    <row r="344" spans="1:26" s="5" customFormat="1" ht="12.75" hidden="1" customHeight="1" x14ac:dyDescent="0.25">
      <c r="A344" s="24" t="s">
        <v>327</v>
      </c>
      <c r="B344" s="25"/>
      <c r="C344" s="27">
        <f t="shared" ref="C344:C355" si="42">IF((G344-D344-E344)&gt;C136,C136,G344-D344-E344)</f>
        <v>153727</v>
      </c>
      <c r="D344" s="21">
        <v>12581</v>
      </c>
      <c r="E344" s="21">
        <v>39226</v>
      </c>
      <c r="F344" s="21">
        <v>0</v>
      </c>
      <c r="G344" s="89">
        <f>212460-(1958+873+33)</f>
        <v>209596</v>
      </c>
      <c r="H344" s="65">
        <v>0</v>
      </c>
      <c r="I344" s="34">
        <f>117604+1958-J344</f>
        <v>106120</v>
      </c>
      <c r="J344" s="21">
        <v>13442</v>
      </c>
      <c r="K344" s="21">
        <f>481394+876</f>
        <v>482270</v>
      </c>
      <c r="L344" s="21">
        <v>0</v>
      </c>
      <c r="M344" s="21">
        <v>0</v>
      </c>
      <c r="N344" s="68">
        <f>SUM(H344:M344)</f>
        <v>601832</v>
      </c>
      <c r="O344" s="160">
        <v>0</v>
      </c>
      <c r="P344" s="160">
        <v>0</v>
      </c>
      <c r="Q344" s="160">
        <v>0</v>
      </c>
      <c r="R344" s="160">
        <v>0</v>
      </c>
      <c r="S344" s="65">
        <f>G344+H344+N344+R344</f>
        <v>811428</v>
      </c>
      <c r="T344" s="34">
        <f>60969+33</f>
        <v>61002</v>
      </c>
      <c r="U344" s="34">
        <v>68061</v>
      </c>
      <c r="V344" s="34">
        <v>992</v>
      </c>
      <c r="W344" s="34">
        <v>0</v>
      </c>
      <c r="X344" s="89">
        <f>SUM(T344:V344)</f>
        <v>130055</v>
      </c>
      <c r="Y344" s="65">
        <f>X344+S344</f>
        <v>941483</v>
      </c>
    </row>
    <row r="345" spans="1:26" s="5" customFormat="1" ht="12.75" hidden="1" customHeight="1" x14ac:dyDescent="0.25">
      <c r="A345" s="24" t="s">
        <v>328</v>
      </c>
      <c r="B345" s="25"/>
      <c r="C345" s="27">
        <f t="shared" si="42"/>
        <v>150069</v>
      </c>
      <c r="D345" s="21">
        <v>19577</v>
      </c>
      <c r="E345" s="21">
        <v>40097</v>
      </c>
      <c r="F345" s="21">
        <v>0</v>
      </c>
      <c r="G345" s="89">
        <f>212601-(1958+868+32)</f>
        <v>209743</v>
      </c>
      <c r="H345" s="65">
        <v>0</v>
      </c>
      <c r="I345" s="34">
        <f>85246+34407+1958-J345</f>
        <v>107847</v>
      </c>
      <c r="J345" s="21">
        <v>13764</v>
      </c>
      <c r="K345" s="21">
        <f>369645+114856+868</f>
        <v>485369</v>
      </c>
      <c r="L345" s="21">
        <v>0</v>
      </c>
      <c r="M345" s="21">
        <v>0</v>
      </c>
      <c r="N345" s="68">
        <f t="shared" ref="N345:N357" si="43">SUM(H345:M345)</f>
        <v>606980</v>
      </c>
      <c r="O345" s="160">
        <v>0</v>
      </c>
      <c r="P345" s="160">
        <v>0</v>
      </c>
      <c r="Q345" s="160">
        <v>0</v>
      </c>
      <c r="R345" s="160">
        <v>0</v>
      </c>
      <c r="S345" s="65">
        <f t="shared" ref="S345:S408" si="44">G345+H345+N345+R345</f>
        <v>816723</v>
      </c>
      <c r="T345" s="34">
        <f>48947+12140+32</f>
        <v>61119</v>
      </c>
      <c r="U345" s="34">
        <f>55546+12263</f>
        <v>67809</v>
      </c>
      <c r="V345" s="34">
        <f>757+236</f>
        <v>993</v>
      </c>
      <c r="W345" s="34">
        <v>0</v>
      </c>
      <c r="X345" s="89">
        <f t="shared" ref="X345:X355" si="45">SUM(T345:V345)</f>
        <v>129921</v>
      </c>
      <c r="Y345" s="65">
        <f t="shared" ref="Y345:Y355" si="46">X345+S345</f>
        <v>946644</v>
      </c>
    </row>
    <row r="346" spans="1:26" s="5" customFormat="1" ht="12.75" hidden="1" customHeight="1" x14ac:dyDescent="0.25">
      <c r="A346" s="24" t="s">
        <v>329</v>
      </c>
      <c r="B346" s="25"/>
      <c r="C346" s="27">
        <f t="shared" si="42"/>
        <v>149378</v>
      </c>
      <c r="D346" s="21">
        <v>19789</v>
      </c>
      <c r="E346" s="21">
        <v>40410</v>
      </c>
      <c r="F346" s="21">
        <v>0</v>
      </c>
      <c r="G346" s="89">
        <f>212433-(1948+875+33)</f>
        <v>209577</v>
      </c>
      <c r="H346" s="65">
        <v>0</v>
      </c>
      <c r="I346" s="34">
        <f>53558+68627+1948-J346</f>
        <v>109917</v>
      </c>
      <c r="J346" s="21">
        <v>14216</v>
      </c>
      <c r="K346" s="21">
        <f>248664+240064+875</f>
        <v>489603</v>
      </c>
      <c r="L346" s="21">
        <v>0</v>
      </c>
      <c r="M346" s="21">
        <v>0</v>
      </c>
      <c r="N346" s="68">
        <f t="shared" si="43"/>
        <v>613736</v>
      </c>
      <c r="O346" s="160">
        <v>0</v>
      </c>
      <c r="P346" s="160">
        <v>0</v>
      </c>
      <c r="Q346" s="160">
        <v>0</v>
      </c>
      <c r="R346" s="160">
        <v>0</v>
      </c>
      <c r="S346" s="65">
        <f t="shared" si="44"/>
        <v>823313</v>
      </c>
      <c r="T346" s="34">
        <f>35358+26064+33</f>
        <v>61455</v>
      </c>
      <c r="U346" s="34">
        <f>40774+27606</f>
        <v>68380</v>
      </c>
      <c r="V346" s="34">
        <f>552+469</f>
        <v>1021</v>
      </c>
      <c r="W346" s="34">
        <v>0</v>
      </c>
      <c r="X346" s="89">
        <f t="shared" si="45"/>
        <v>130856</v>
      </c>
      <c r="Y346" s="65">
        <f t="shared" si="46"/>
        <v>954169</v>
      </c>
    </row>
    <row r="347" spans="1:26" s="5" customFormat="1" ht="12.75" hidden="1" customHeight="1" x14ac:dyDescent="0.25">
      <c r="A347" s="24" t="s">
        <v>330</v>
      </c>
      <c r="B347" s="25"/>
      <c r="C347" s="27">
        <f t="shared" si="42"/>
        <v>149606</v>
      </c>
      <c r="D347" s="21">
        <v>19957</v>
      </c>
      <c r="E347" s="21">
        <v>40141</v>
      </c>
      <c r="F347" s="21">
        <v>0</v>
      </c>
      <c r="G347" s="89">
        <f>212513-(1962+808+39)</f>
        <v>209704</v>
      </c>
      <c r="H347" s="65">
        <v>0</v>
      </c>
      <c r="I347" s="34">
        <f>(34225+89322+1962)-J347</f>
        <v>111397</v>
      </c>
      <c r="J347" s="21">
        <f>3788+10324</f>
        <v>14112</v>
      </c>
      <c r="K347" s="21">
        <f>132076+360915+808</f>
        <v>493799</v>
      </c>
      <c r="L347" s="21">
        <v>0</v>
      </c>
      <c r="M347" s="21">
        <v>0</v>
      </c>
      <c r="N347" s="68">
        <f t="shared" si="43"/>
        <v>619308</v>
      </c>
      <c r="O347" s="160">
        <v>0</v>
      </c>
      <c r="P347" s="160">
        <v>0</v>
      </c>
      <c r="Q347" s="160">
        <v>0</v>
      </c>
      <c r="R347" s="160">
        <v>0</v>
      </c>
      <c r="S347" s="65">
        <f t="shared" si="44"/>
        <v>829012</v>
      </c>
      <c r="T347" s="34">
        <f>15305+46709+39</f>
        <v>62053</v>
      </c>
      <c r="U347" s="34">
        <f>16259+52619</f>
        <v>68878</v>
      </c>
      <c r="V347" s="34">
        <f>226+814</f>
        <v>1040</v>
      </c>
      <c r="W347" s="34">
        <v>0</v>
      </c>
      <c r="X347" s="89">
        <f t="shared" si="45"/>
        <v>131971</v>
      </c>
      <c r="Y347" s="65">
        <f t="shared" si="46"/>
        <v>960983</v>
      </c>
    </row>
    <row r="348" spans="1:26" s="5" customFormat="1" ht="12.75" hidden="1" customHeight="1" x14ac:dyDescent="0.25">
      <c r="A348" s="24" t="s">
        <v>331</v>
      </c>
      <c r="B348" s="25"/>
      <c r="C348" s="27">
        <f t="shared" si="42"/>
        <v>149253</v>
      </c>
      <c r="D348" s="21">
        <v>20206</v>
      </c>
      <c r="E348" s="21">
        <v>40480</v>
      </c>
      <c r="F348" s="21">
        <v>0</v>
      </c>
      <c r="G348" s="89">
        <f>212737-(1933+821+44)</f>
        <v>209939</v>
      </c>
      <c r="H348" s="65">
        <v>0</v>
      </c>
      <c r="I348" s="34">
        <f>(20316+104734+1933)-J348</f>
        <v>112788</v>
      </c>
      <c r="J348" s="21">
        <f>2104+11998+93</f>
        <v>14195</v>
      </c>
      <c r="K348" s="21">
        <f>76673+420655+821</f>
        <v>498149</v>
      </c>
      <c r="L348" s="21">
        <v>0</v>
      </c>
      <c r="M348" s="21">
        <v>0</v>
      </c>
      <c r="N348" s="68">
        <f t="shared" si="43"/>
        <v>625132</v>
      </c>
      <c r="O348" s="160">
        <v>0</v>
      </c>
      <c r="P348" s="160">
        <v>0</v>
      </c>
      <c r="Q348" s="160">
        <v>0</v>
      </c>
      <c r="R348" s="160">
        <v>0</v>
      </c>
      <c r="S348" s="65">
        <f t="shared" si="44"/>
        <v>835071</v>
      </c>
      <c r="T348" s="34">
        <f>8056+54673+44</f>
        <v>62773</v>
      </c>
      <c r="U348" s="34">
        <f>8511+60887</f>
        <v>69398</v>
      </c>
      <c r="V348" s="34">
        <f>104+938</f>
        <v>1042</v>
      </c>
      <c r="W348" s="34">
        <v>0</v>
      </c>
      <c r="X348" s="89">
        <f t="shared" si="45"/>
        <v>133213</v>
      </c>
      <c r="Y348" s="65">
        <f t="shared" si="46"/>
        <v>968284</v>
      </c>
    </row>
    <row r="349" spans="1:26" s="5" customFormat="1" ht="12.75" hidden="1" customHeight="1" x14ac:dyDescent="0.25">
      <c r="A349" s="24" t="s">
        <v>332</v>
      </c>
      <c r="B349" s="25"/>
      <c r="C349" s="27">
        <f t="shared" si="42"/>
        <v>144416</v>
      </c>
      <c r="D349" s="21">
        <v>20594</v>
      </c>
      <c r="E349" s="21">
        <v>40883</v>
      </c>
      <c r="F349" s="21">
        <v>0</v>
      </c>
      <c r="G349" s="89">
        <f>208726-(2003+46+784)</f>
        <v>205893</v>
      </c>
      <c r="H349" s="65">
        <v>0</v>
      </c>
      <c r="I349" s="34">
        <f>(126579+2003)-J349</f>
        <v>114253</v>
      </c>
      <c r="J349" s="21">
        <f>105+14224</f>
        <v>14329</v>
      </c>
      <c r="K349" s="21">
        <f>500403+784</f>
        <v>501187</v>
      </c>
      <c r="L349" s="21">
        <v>0</v>
      </c>
      <c r="M349" s="21">
        <v>0</v>
      </c>
      <c r="N349" s="68">
        <f t="shared" si="43"/>
        <v>629769</v>
      </c>
      <c r="O349" s="160">
        <v>0</v>
      </c>
      <c r="P349" s="160">
        <v>0</v>
      </c>
      <c r="Q349" s="160">
        <v>0</v>
      </c>
      <c r="R349" s="160">
        <v>0</v>
      </c>
      <c r="S349" s="65">
        <f t="shared" si="44"/>
        <v>835662</v>
      </c>
      <c r="T349" s="34">
        <f>46+63172</f>
        <v>63218</v>
      </c>
      <c r="U349" s="34">
        <f>69525</f>
        <v>69525</v>
      </c>
      <c r="V349" s="34">
        <v>1053</v>
      </c>
      <c r="W349" s="34">
        <v>0</v>
      </c>
      <c r="X349" s="89">
        <f t="shared" si="45"/>
        <v>133796</v>
      </c>
      <c r="Y349" s="65">
        <f t="shared" si="46"/>
        <v>969458</v>
      </c>
    </row>
    <row r="350" spans="1:26" s="5" customFormat="1" ht="12.75" hidden="1" customHeight="1" x14ac:dyDescent="0.25">
      <c r="A350" s="24" t="s">
        <v>333</v>
      </c>
      <c r="B350" s="25"/>
      <c r="C350" s="27">
        <f t="shared" si="42"/>
        <v>151377</v>
      </c>
      <c r="D350" s="21">
        <v>20825</v>
      </c>
      <c r="E350" s="21">
        <v>41730</v>
      </c>
      <c r="F350" s="21">
        <v>0</v>
      </c>
      <c r="G350" s="89">
        <f>239147-(2173+51+831+22160)</f>
        <v>213932</v>
      </c>
      <c r="H350" s="65">
        <v>0</v>
      </c>
      <c r="I350" s="34">
        <f>(121478+2173)-J350</f>
        <v>109443</v>
      </c>
      <c r="J350" s="21">
        <f>14087+121</f>
        <v>14208</v>
      </c>
      <c r="K350" s="21">
        <f>501381+831</f>
        <v>502212</v>
      </c>
      <c r="L350" s="21">
        <v>0</v>
      </c>
      <c r="M350" s="21">
        <v>0</v>
      </c>
      <c r="N350" s="68">
        <f t="shared" si="43"/>
        <v>625863</v>
      </c>
      <c r="O350" s="63">
        <f>932+41231+444+28110</f>
        <v>70717</v>
      </c>
      <c r="P350" s="21">
        <f>20220+64792+564+20904</f>
        <v>106480</v>
      </c>
      <c r="Q350" s="21">
        <v>0</v>
      </c>
      <c r="R350" s="89">
        <f t="shared" ref="R350:R355" si="47">SUM(O350:P350)</f>
        <v>177197</v>
      </c>
      <c r="S350" s="65">
        <f t="shared" si="44"/>
        <v>1016992</v>
      </c>
      <c r="T350" s="34">
        <f>64010+51</f>
        <v>64061</v>
      </c>
      <c r="U350" s="34">
        <f>70990</f>
        <v>70990</v>
      </c>
      <c r="V350" s="34">
        <v>1164</v>
      </c>
      <c r="W350" s="34">
        <v>0</v>
      </c>
      <c r="X350" s="89">
        <f t="shared" si="45"/>
        <v>136215</v>
      </c>
      <c r="Y350" s="65">
        <f t="shared" si="46"/>
        <v>1153207</v>
      </c>
    </row>
    <row r="351" spans="1:26" s="5" customFormat="1" ht="12.75" hidden="1" customHeight="1" x14ac:dyDescent="0.25">
      <c r="A351" s="24" t="s">
        <v>334</v>
      </c>
      <c r="B351" s="25"/>
      <c r="C351" s="27">
        <f t="shared" si="42"/>
        <v>150247</v>
      </c>
      <c r="D351" s="21">
        <v>21268</v>
      </c>
      <c r="E351" s="21">
        <v>41991</v>
      </c>
      <c r="F351" s="21">
        <v>0</v>
      </c>
      <c r="G351" s="89">
        <f>240415-(23860+2188+50+811)</f>
        <v>213506</v>
      </c>
      <c r="H351" s="65">
        <v>0</v>
      </c>
      <c r="I351" s="34">
        <f>119763+2188-J351</f>
        <v>107880</v>
      </c>
      <c r="J351" s="21">
        <f>13960+111</f>
        <v>14071</v>
      </c>
      <c r="K351" s="21">
        <f>503302+811</f>
        <v>504113</v>
      </c>
      <c r="L351" s="21">
        <v>0</v>
      </c>
      <c r="M351" s="21">
        <v>0</v>
      </c>
      <c r="N351" s="68">
        <f t="shared" si="43"/>
        <v>626064</v>
      </c>
      <c r="O351" s="63">
        <f>1112+46782+504+32428</f>
        <v>80826</v>
      </c>
      <c r="P351" s="21">
        <f>21408+81636+836+25874</f>
        <v>129754</v>
      </c>
      <c r="Q351" s="21">
        <v>0</v>
      </c>
      <c r="R351" s="89">
        <f t="shared" si="47"/>
        <v>210580</v>
      </c>
      <c r="S351" s="65">
        <f t="shared" si="44"/>
        <v>1050150</v>
      </c>
      <c r="T351" s="34">
        <f>64733+50</f>
        <v>64783</v>
      </c>
      <c r="U351" s="34">
        <f>71450</f>
        <v>71450</v>
      </c>
      <c r="V351" s="34">
        <v>1189</v>
      </c>
      <c r="W351" s="34">
        <v>0</v>
      </c>
      <c r="X351" s="89">
        <f t="shared" si="45"/>
        <v>137422</v>
      </c>
      <c r="Y351" s="65">
        <f t="shared" si="46"/>
        <v>1187572</v>
      </c>
    </row>
    <row r="352" spans="1:26" s="5" customFormat="1" ht="12.75" hidden="1" customHeight="1" x14ac:dyDescent="0.25">
      <c r="A352" s="24" t="s">
        <v>335</v>
      </c>
      <c r="B352" s="25"/>
      <c r="C352" s="27">
        <f t="shared" si="42"/>
        <v>149303</v>
      </c>
      <c r="D352" s="21">
        <v>21575</v>
      </c>
      <c r="E352" s="21">
        <v>42256</v>
      </c>
      <c r="F352" s="21">
        <v>0</v>
      </c>
      <c r="G352" s="89">
        <f>240896-(24730+2186+49+797)</f>
        <v>213134</v>
      </c>
      <c r="H352" s="65">
        <v>0</v>
      </c>
      <c r="I352" s="34">
        <f>117744+2186-J352</f>
        <v>106117</v>
      </c>
      <c r="J352" s="21">
        <f>13688+125</f>
        <v>13813</v>
      </c>
      <c r="K352" s="21">
        <f>503377+797</f>
        <v>504174</v>
      </c>
      <c r="L352" s="21">
        <v>0</v>
      </c>
      <c r="M352" s="21">
        <v>0</v>
      </c>
      <c r="N352" s="68">
        <f t="shared" si="43"/>
        <v>624104</v>
      </c>
      <c r="O352" s="63">
        <f>1168+49861+540+34253</f>
        <v>85822</v>
      </c>
      <c r="P352" s="21">
        <f>21949+90926+1073+27367</f>
        <v>141315</v>
      </c>
      <c r="Q352" s="21">
        <v>0</v>
      </c>
      <c r="R352" s="89">
        <f t="shared" si="47"/>
        <v>227137</v>
      </c>
      <c r="S352" s="65">
        <f t="shared" si="44"/>
        <v>1064375</v>
      </c>
      <c r="T352" s="34">
        <f>49+64672</f>
        <v>64721</v>
      </c>
      <c r="U352" s="34">
        <f>71131</f>
        <v>71131</v>
      </c>
      <c r="V352" s="34">
        <v>1195</v>
      </c>
      <c r="W352" s="34">
        <v>0</v>
      </c>
      <c r="X352" s="89">
        <f t="shared" si="45"/>
        <v>137047</v>
      </c>
      <c r="Y352" s="65">
        <f t="shared" si="46"/>
        <v>1201422</v>
      </c>
    </row>
    <row r="353" spans="1:25" s="5" customFormat="1" ht="12.75" hidden="1" customHeight="1" x14ac:dyDescent="0.25">
      <c r="A353" s="24" t="s">
        <v>336</v>
      </c>
      <c r="B353" s="25"/>
      <c r="C353" s="27">
        <f t="shared" si="42"/>
        <v>148833</v>
      </c>
      <c r="D353" s="21">
        <v>21925</v>
      </c>
      <c r="E353" s="21">
        <v>42615</v>
      </c>
      <c r="F353" s="21">
        <v>0</v>
      </c>
      <c r="G353" s="89">
        <f>241565-(25157+2187+49+799)</f>
        <v>213373</v>
      </c>
      <c r="H353" s="65">
        <v>0</v>
      </c>
      <c r="I353" s="34">
        <f>116514+2187-J353</f>
        <v>105141</v>
      </c>
      <c r="J353" s="21">
        <f>13438+122</f>
        <v>13560</v>
      </c>
      <c r="K353" s="21">
        <f>504498+799</f>
        <v>505297</v>
      </c>
      <c r="L353" s="21">
        <v>0</v>
      </c>
      <c r="M353" s="21">
        <v>0</v>
      </c>
      <c r="N353" s="68">
        <f t="shared" si="43"/>
        <v>623998</v>
      </c>
      <c r="O353" s="63">
        <f>1163+52484+516+35815</f>
        <v>89978</v>
      </c>
      <c r="P353" s="21">
        <f>22251+102161+1227+28898</f>
        <v>154537</v>
      </c>
      <c r="Q353" s="21">
        <v>0</v>
      </c>
      <c r="R353" s="89">
        <f t="shared" si="47"/>
        <v>244515</v>
      </c>
      <c r="S353" s="65">
        <f t="shared" si="44"/>
        <v>1081886</v>
      </c>
      <c r="T353" s="34">
        <f>64852+49</f>
        <v>64901</v>
      </c>
      <c r="U353" s="34">
        <v>70593</v>
      </c>
      <c r="V353" s="34">
        <v>1181</v>
      </c>
      <c r="W353" s="34">
        <v>0</v>
      </c>
      <c r="X353" s="89">
        <f t="shared" si="45"/>
        <v>136675</v>
      </c>
      <c r="Y353" s="65">
        <f t="shared" si="46"/>
        <v>1218561</v>
      </c>
    </row>
    <row r="354" spans="1:25" s="5" customFormat="1" ht="12.75" hidden="1" customHeight="1" x14ac:dyDescent="0.25">
      <c r="A354" s="24" t="s">
        <v>337</v>
      </c>
      <c r="B354" s="25"/>
      <c r="C354" s="27">
        <f t="shared" si="42"/>
        <v>148355</v>
      </c>
      <c r="D354" s="21">
        <v>22233</v>
      </c>
      <c r="E354" s="21">
        <v>42955</v>
      </c>
      <c r="F354" s="21">
        <v>0</v>
      </c>
      <c r="G354" s="89">
        <f>242423-(25866+2181+45+788)</f>
        <v>213543</v>
      </c>
      <c r="H354" s="65">
        <v>0</v>
      </c>
      <c r="I354" s="34">
        <f>115684+2181-J354</f>
        <v>104170</v>
      </c>
      <c r="J354" s="21">
        <v>13695</v>
      </c>
      <c r="K354" s="27">
        <f>507039+788</f>
        <v>507827</v>
      </c>
      <c r="L354" s="21">
        <v>0</v>
      </c>
      <c r="M354" s="21">
        <v>0</v>
      </c>
      <c r="N354" s="68">
        <f t="shared" si="43"/>
        <v>625692</v>
      </c>
      <c r="O354" s="63">
        <f>1186+55287+541+37539</f>
        <v>94553</v>
      </c>
      <c r="P354" s="21">
        <f>22713+112427+1426+30362</f>
        <v>166928</v>
      </c>
      <c r="Q354" s="21">
        <v>0</v>
      </c>
      <c r="R354" s="89">
        <f t="shared" si="47"/>
        <v>261481</v>
      </c>
      <c r="S354" s="65">
        <f t="shared" si="44"/>
        <v>1100716</v>
      </c>
      <c r="T354" s="34">
        <f>65185+45</f>
        <v>65230</v>
      </c>
      <c r="U354" s="34">
        <f>70939</f>
        <v>70939</v>
      </c>
      <c r="V354" s="34">
        <v>1202</v>
      </c>
      <c r="W354" s="34">
        <v>0</v>
      </c>
      <c r="X354" s="89">
        <f t="shared" si="45"/>
        <v>137371</v>
      </c>
      <c r="Y354" s="65">
        <f t="shared" si="46"/>
        <v>1238087</v>
      </c>
    </row>
    <row r="355" spans="1:25" s="5" customFormat="1" ht="12.75" hidden="1" customHeight="1" x14ac:dyDescent="0.25">
      <c r="A355" s="24" t="s">
        <v>338</v>
      </c>
      <c r="B355" s="25"/>
      <c r="C355" s="27">
        <f t="shared" si="42"/>
        <v>147887</v>
      </c>
      <c r="D355" s="21">
        <v>22516</v>
      </c>
      <c r="E355" s="21">
        <v>43330</v>
      </c>
      <c r="F355" s="21">
        <v>0</v>
      </c>
      <c r="G355" s="89">
        <f>243429-(26681+2193+48+774)</f>
        <v>213733</v>
      </c>
      <c r="H355" s="65">
        <v>0</v>
      </c>
      <c r="I355" s="34">
        <f>114823+2193-J355</f>
        <v>103219</v>
      </c>
      <c r="J355" s="21">
        <f>13667+130</f>
        <v>13797</v>
      </c>
      <c r="K355" s="27">
        <f>508828+774</f>
        <v>509602</v>
      </c>
      <c r="L355" s="21">
        <v>0</v>
      </c>
      <c r="M355" s="21">
        <v>0</v>
      </c>
      <c r="N355" s="68">
        <f t="shared" si="43"/>
        <v>626618</v>
      </c>
      <c r="O355" s="63">
        <f>1259+57468+563+38692</f>
        <v>97982</v>
      </c>
      <c r="P355" s="21">
        <f>23249+119881+1610+31413</f>
        <v>176153</v>
      </c>
      <c r="Q355" s="21">
        <v>0</v>
      </c>
      <c r="R355" s="89">
        <f t="shared" si="47"/>
        <v>274135</v>
      </c>
      <c r="S355" s="65">
        <f t="shared" si="44"/>
        <v>1114486</v>
      </c>
      <c r="T355" s="34">
        <f>65543+48</f>
        <v>65591</v>
      </c>
      <c r="U355" s="34">
        <f>71019</f>
        <v>71019</v>
      </c>
      <c r="V355" s="34">
        <v>1256</v>
      </c>
      <c r="W355" s="34">
        <v>0</v>
      </c>
      <c r="X355" s="89">
        <f t="shared" si="45"/>
        <v>137866</v>
      </c>
      <c r="Y355" s="65">
        <f t="shared" si="46"/>
        <v>1252352</v>
      </c>
    </row>
    <row r="356" spans="1:25" s="5" customFormat="1" ht="12.75" hidden="1" customHeight="1" x14ac:dyDescent="0.25">
      <c r="A356" s="24"/>
      <c r="B356" s="25"/>
      <c r="C356" s="21"/>
      <c r="D356" s="21"/>
      <c r="E356" s="21"/>
      <c r="F356" s="21"/>
      <c r="G356" s="89"/>
      <c r="H356" s="65"/>
      <c r="I356" s="34"/>
      <c r="J356" s="27"/>
      <c r="K356" s="21"/>
      <c r="L356" s="21"/>
      <c r="M356" s="21">
        <v>0</v>
      </c>
      <c r="N356" s="68"/>
      <c r="O356" s="63"/>
      <c r="P356" s="21"/>
      <c r="Q356" s="21">
        <v>0</v>
      </c>
      <c r="R356" s="89"/>
      <c r="S356" s="65">
        <f t="shared" si="44"/>
        <v>0</v>
      </c>
      <c r="T356" s="34"/>
      <c r="U356" s="34"/>
      <c r="V356" s="34"/>
      <c r="W356" s="34"/>
      <c r="X356" s="89"/>
      <c r="Y356" s="65"/>
    </row>
    <row r="357" spans="1:25" s="21" customFormat="1" ht="12.75" hidden="1" customHeight="1" x14ac:dyDescent="0.25">
      <c r="A357" s="24" t="s">
        <v>156</v>
      </c>
      <c r="B357" s="25"/>
      <c r="C357" s="27">
        <f t="shared" ref="C357:C367" si="48">IF((G357-D357-E357)&gt;C149,C149,G357-D357-E357)</f>
        <v>147214</v>
      </c>
      <c r="D357" s="21">
        <v>22801</v>
      </c>
      <c r="E357" s="21">
        <v>43623</v>
      </c>
      <c r="F357" s="21">
        <v>0</v>
      </c>
      <c r="G357" s="89">
        <f>244548-(27919+2176+52+763)</f>
        <v>213638</v>
      </c>
      <c r="H357" s="65">
        <v>0</v>
      </c>
      <c r="I357" s="34">
        <f>114294+2176-J357</f>
        <v>102779</v>
      </c>
      <c r="J357" s="21">
        <f>13565+126</f>
        <v>13691</v>
      </c>
      <c r="K357" s="27">
        <f>509258+763</f>
        <v>510021</v>
      </c>
      <c r="L357" s="21">
        <v>0</v>
      </c>
      <c r="M357" s="21">
        <v>0</v>
      </c>
      <c r="N357" s="68">
        <f t="shared" si="43"/>
        <v>626491</v>
      </c>
      <c r="O357" s="63">
        <f>1396+58367+693+39507</f>
        <v>99963</v>
      </c>
      <c r="P357" s="21">
        <f>23944+125462+1886+32314</f>
        <v>183606</v>
      </c>
      <c r="Q357" s="21">
        <v>0</v>
      </c>
      <c r="R357" s="89">
        <f>SUM(O357:P357)</f>
        <v>283569</v>
      </c>
      <c r="S357" s="65">
        <f t="shared" si="44"/>
        <v>1123698</v>
      </c>
      <c r="T357" s="34">
        <f>65816+52</f>
        <v>65868</v>
      </c>
      <c r="U357" s="34">
        <v>71366</v>
      </c>
      <c r="V357" s="34">
        <v>1314</v>
      </c>
      <c r="W357" s="34">
        <v>0</v>
      </c>
      <c r="X357" s="89">
        <f>SUM(T357:V357)</f>
        <v>138548</v>
      </c>
      <c r="Y357" s="65">
        <f>X357+S357</f>
        <v>1262246</v>
      </c>
    </row>
    <row r="358" spans="1:25" s="21" customFormat="1" ht="12.75" hidden="1" customHeight="1" x14ac:dyDescent="0.25">
      <c r="A358" s="24" t="s">
        <v>157</v>
      </c>
      <c r="B358" s="25"/>
      <c r="C358" s="27">
        <f t="shared" si="48"/>
        <v>148197</v>
      </c>
      <c r="D358" s="21">
        <v>16871</v>
      </c>
      <c r="E358" s="21">
        <v>48104</v>
      </c>
      <c r="F358" s="21">
        <v>0</v>
      </c>
      <c r="G358" s="89">
        <f>244862-(28734+2156+52+748)</f>
        <v>213172</v>
      </c>
      <c r="H358" s="65">
        <v>0</v>
      </c>
      <c r="I358" s="34">
        <f>114027+2156-J358</f>
        <v>102700</v>
      </c>
      <c r="J358" s="21">
        <f>13370+113</f>
        <v>13483</v>
      </c>
      <c r="K358" s="27">
        <f>508438+748</f>
        <v>509186</v>
      </c>
      <c r="L358" s="21">
        <v>0</v>
      </c>
      <c r="M358" s="21">
        <v>0</v>
      </c>
      <c r="N358" s="68">
        <f t="shared" ref="N358:N368" si="49">SUM(I358:M358)</f>
        <v>625369</v>
      </c>
      <c r="O358" s="63">
        <f>1566+59081+753+40194</f>
        <v>101594</v>
      </c>
      <c r="P358" s="21">
        <f>24300+130932+2115+33173</f>
        <v>190520</v>
      </c>
      <c r="Q358" s="21">
        <v>0</v>
      </c>
      <c r="R358" s="89">
        <f t="shared" ref="R358:R368" si="50">SUM(O357:Q357)</f>
        <v>283569</v>
      </c>
      <c r="S358" s="65">
        <f t="shared" si="44"/>
        <v>1122110</v>
      </c>
      <c r="T358" s="34">
        <f>65854+52+0</f>
        <v>65906</v>
      </c>
      <c r="U358" s="34">
        <v>71794</v>
      </c>
      <c r="V358" s="34">
        <v>1317</v>
      </c>
      <c r="W358" s="34">
        <v>0</v>
      </c>
      <c r="X358" s="89">
        <f t="shared" ref="X358:X420" si="51">SUM(T358:W358)</f>
        <v>139017</v>
      </c>
      <c r="Y358" s="65">
        <f t="shared" ref="Y358:Y368" si="52">X358+S358</f>
        <v>1261127</v>
      </c>
    </row>
    <row r="359" spans="1:25" s="21" customFormat="1" ht="12.75" hidden="1" customHeight="1" x14ac:dyDescent="0.25">
      <c r="A359" s="24" t="s">
        <v>158</v>
      </c>
      <c r="B359" s="25"/>
      <c r="C359" s="27">
        <f t="shared" si="48"/>
        <v>148208</v>
      </c>
      <c r="D359" s="21">
        <v>16760</v>
      </c>
      <c r="E359" s="21">
        <v>48340</v>
      </c>
      <c r="F359" s="21">
        <v>0</v>
      </c>
      <c r="G359" s="89">
        <f>242995-(26748+2141+49+749)</f>
        <v>213308</v>
      </c>
      <c r="H359" s="65">
        <v>0</v>
      </c>
      <c r="I359" s="34">
        <f>114260+2141-J359</f>
        <v>102808</v>
      </c>
      <c r="J359" s="21">
        <f>13479+114</f>
        <v>13593</v>
      </c>
      <c r="K359" s="27">
        <f>507575+749</f>
        <v>508324</v>
      </c>
      <c r="L359" s="21">
        <v>0</v>
      </c>
      <c r="M359" s="21">
        <v>0</v>
      </c>
      <c r="N359" s="68">
        <f t="shared" si="49"/>
        <v>624725</v>
      </c>
      <c r="O359" s="63">
        <f>1534+59690+713+40985</f>
        <v>102922</v>
      </c>
      <c r="P359" s="21">
        <f>22445+138825+2056+34348</f>
        <v>197674</v>
      </c>
      <c r="Q359" s="21">
        <v>0</v>
      </c>
      <c r="R359" s="89">
        <f t="shared" si="50"/>
        <v>292114</v>
      </c>
      <c r="S359" s="65">
        <f t="shared" si="44"/>
        <v>1130147</v>
      </c>
      <c r="T359" s="34">
        <f>65825+49+0</f>
        <v>65874</v>
      </c>
      <c r="U359" s="34">
        <v>72626</v>
      </c>
      <c r="V359" s="34">
        <v>1335</v>
      </c>
      <c r="W359" s="34">
        <v>0</v>
      </c>
      <c r="X359" s="89">
        <f t="shared" si="51"/>
        <v>139835</v>
      </c>
      <c r="Y359" s="65">
        <f t="shared" si="52"/>
        <v>1269982</v>
      </c>
    </row>
    <row r="360" spans="1:25" s="21" customFormat="1" ht="12.75" hidden="1" customHeight="1" x14ac:dyDescent="0.25">
      <c r="A360" s="24" t="s">
        <v>159</v>
      </c>
      <c r="B360" s="25"/>
      <c r="C360" s="27">
        <f t="shared" si="48"/>
        <v>148333</v>
      </c>
      <c r="D360" s="21">
        <v>16735</v>
      </c>
      <c r="E360" s="21">
        <v>48690</v>
      </c>
      <c r="F360" s="21">
        <v>0</v>
      </c>
      <c r="G360" s="89">
        <f>243395-(26672+2171+51+743)</f>
        <v>213758</v>
      </c>
      <c r="H360" s="65">
        <v>0</v>
      </c>
      <c r="I360" s="34">
        <f>115265+2171-J360</f>
        <v>104084</v>
      </c>
      <c r="J360" s="21">
        <f>13240+112</f>
        <v>13352</v>
      </c>
      <c r="K360" s="27">
        <f>509549+743</f>
        <v>510292</v>
      </c>
      <c r="L360" s="21">
        <v>0</v>
      </c>
      <c r="M360" s="21">
        <v>0</v>
      </c>
      <c r="N360" s="68">
        <f t="shared" si="49"/>
        <v>627728</v>
      </c>
      <c r="O360" s="63">
        <f>1601+61103+729+41960</f>
        <v>105393</v>
      </c>
      <c r="P360" s="21">
        <f>22241+145299+2101+35029</f>
        <v>204670</v>
      </c>
      <c r="Q360" s="21">
        <v>0</v>
      </c>
      <c r="R360" s="89">
        <f t="shared" si="50"/>
        <v>300596</v>
      </c>
      <c r="S360" s="65">
        <f t="shared" si="44"/>
        <v>1142082</v>
      </c>
      <c r="T360" s="34">
        <f>66379+51+0</f>
        <v>66430</v>
      </c>
      <c r="U360" s="34">
        <v>73483</v>
      </c>
      <c r="V360" s="34">
        <v>1375</v>
      </c>
      <c r="W360" s="34">
        <v>0</v>
      </c>
      <c r="X360" s="89">
        <f t="shared" si="51"/>
        <v>141288</v>
      </c>
      <c r="Y360" s="65">
        <f t="shared" si="52"/>
        <v>1283370</v>
      </c>
    </row>
    <row r="361" spans="1:25" s="21" customFormat="1" ht="12.75" hidden="1" customHeight="1" x14ac:dyDescent="0.25">
      <c r="A361" s="24" t="s">
        <v>160</v>
      </c>
      <c r="B361" s="25"/>
      <c r="C361" s="27">
        <f t="shared" si="48"/>
        <v>147699</v>
      </c>
      <c r="D361" s="21">
        <v>16854</v>
      </c>
      <c r="E361" s="21">
        <v>48885</v>
      </c>
      <c r="F361" s="21">
        <v>0</v>
      </c>
      <c r="G361" s="89">
        <f>243505-(27087+2182+49+749)</f>
        <v>213438</v>
      </c>
      <c r="H361" s="65">
        <v>0</v>
      </c>
      <c r="I361" s="34">
        <f>115349+2182-J361</f>
        <v>104543</v>
      </c>
      <c r="J361" s="21">
        <f>12886+102</f>
        <v>12988</v>
      </c>
      <c r="K361" s="27">
        <f>510167+749</f>
        <v>510916</v>
      </c>
      <c r="L361" s="21">
        <v>0</v>
      </c>
      <c r="M361" s="21">
        <v>0</v>
      </c>
      <c r="N361" s="68">
        <f t="shared" si="49"/>
        <v>628447</v>
      </c>
      <c r="O361" s="63">
        <f>1684+61498+730+42048</f>
        <v>105960</v>
      </c>
      <c r="P361" s="21">
        <f>22525+147312+2148+32616</f>
        <v>204601</v>
      </c>
      <c r="Q361" s="21">
        <v>0</v>
      </c>
      <c r="R361" s="89">
        <f t="shared" si="50"/>
        <v>310063</v>
      </c>
      <c r="S361" s="65">
        <f t="shared" si="44"/>
        <v>1151948</v>
      </c>
      <c r="T361" s="34">
        <f>66522+49+0</f>
        <v>66571</v>
      </c>
      <c r="U361" s="34">
        <v>73578</v>
      </c>
      <c r="V361" s="34">
        <v>1362</v>
      </c>
      <c r="W361" s="34">
        <v>0</v>
      </c>
      <c r="X361" s="89">
        <f t="shared" si="51"/>
        <v>141511</v>
      </c>
      <c r="Y361" s="65">
        <f t="shared" si="52"/>
        <v>1293459</v>
      </c>
    </row>
    <row r="362" spans="1:25" s="21" customFormat="1" ht="12.75" hidden="1" customHeight="1" x14ac:dyDescent="0.25">
      <c r="A362" s="24" t="s">
        <v>161</v>
      </c>
      <c r="B362" s="25"/>
      <c r="C362" s="27">
        <f t="shared" si="48"/>
        <v>147398</v>
      </c>
      <c r="D362" s="21">
        <v>16963</v>
      </c>
      <c r="E362" s="21">
        <v>49228</v>
      </c>
      <c r="F362" s="21">
        <v>0</v>
      </c>
      <c r="G362" s="89">
        <f>243987-(27406+2185+49+758)</f>
        <v>213589</v>
      </c>
      <c r="H362" s="65">
        <v>0</v>
      </c>
      <c r="I362" s="34">
        <f>115485+2185-J362</f>
        <v>104843</v>
      </c>
      <c r="J362" s="21">
        <f>12722+105</f>
        <v>12827</v>
      </c>
      <c r="K362" s="27">
        <f>512194+758</f>
        <v>512952</v>
      </c>
      <c r="L362" s="21">
        <v>0</v>
      </c>
      <c r="M362" s="21">
        <v>0</v>
      </c>
      <c r="N362" s="68">
        <f t="shared" si="49"/>
        <v>630622</v>
      </c>
      <c r="O362" s="63">
        <f>1692+62763+747+43581</f>
        <v>108783</v>
      </c>
      <c r="P362" s="21">
        <f>22710+152116+2257+34784</f>
        <v>211867</v>
      </c>
      <c r="Q362" s="21">
        <v>0</v>
      </c>
      <c r="R362" s="89">
        <f t="shared" si="50"/>
        <v>310561</v>
      </c>
      <c r="S362" s="65">
        <f t="shared" si="44"/>
        <v>1154772</v>
      </c>
      <c r="T362" s="34">
        <f>69030+49+0</f>
        <v>69079</v>
      </c>
      <c r="U362" s="34">
        <v>73411</v>
      </c>
      <c r="V362" s="34">
        <v>1453</v>
      </c>
      <c r="W362" s="34">
        <v>0</v>
      </c>
      <c r="X362" s="89">
        <f t="shared" si="51"/>
        <v>143943</v>
      </c>
      <c r="Y362" s="65">
        <f t="shared" si="52"/>
        <v>1298715</v>
      </c>
    </row>
    <row r="363" spans="1:25" s="21" customFormat="1" ht="12.75" hidden="1" customHeight="1" x14ac:dyDescent="0.25">
      <c r="A363" s="24" t="s">
        <v>162</v>
      </c>
      <c r="B363" s="25"/>
      <c r="C363" s="27">
        <f t="shared" si="48"/>
        <v>147415</v>
      </c>
      <c r="D363" s="21">
        <v>16969</v>
      </c>
      <c r="E363" s="21">
        <v>49300</v>
      </c>
      <c r="F363" s="21">
        <v>0</v>
      </c>
      <c r="G363" s="89">
        <f>245452-(28804+2163+50+751)</f>
        <v>213684</v>
      </c>
      <c r="H363" s="65">
        <v>0</v>
      </c>
      <c r="I363" s="34">
        <f>116103+2163-J363</f>
        <v>105631</v>
      </c>
      <c r="J363" s="21">
        <f>12532+103</f>
        <v>12635</v>
      </c>
      <c r="K363" s="27">
        <f>516914+751</f>
        <v>517665</v>
      </c>
      <c r="L363" s="21">
        <v>0</v>
      </c>
      <c r="M363" s="21">
        <v>0</v>
      </c>
      <c r="N363" s="68">
        <f t="shared" si="49"/>
        <v>635931</v>
      </c>
      <c r="O363" s="63">
        <f>1789+64936+824+46886</f>
        <v>114435</v>
      </c>
      <c r="P363" s="21">
        <f>23632+164869+2559+42381</f>
        <v>233441</v>
      </c>
      <c r="Q363" s="21">
        <v>0</v>
      </c>
      <c r="R363" s="89">
        <f t="shared" si="50"/>
        <v>320650</v>
      </c>
      <c r="S363" s="65">
        <f t="shared" si="44"/>
        <v>1170265</v>
      </c>
      <c r="T363" s="34">
        <f>73696+50+0</f>
        <v>73746</v>
      </c>
      <c r="U363" s="34">
        <v>73710</v>
      </c>
      <c r="V363" s="34">
        <v>1623</v>
      </c>
      <c r="W363" s="34">
        <v>0</v>
      </c>
      <c r="X363" s="89">
        <f t="shared" si="51"/>
        <v>149079</v>
      </c>
      <c r="Y363" s="65">
        <f t="shared" si="52"/>
        <v>1319344</v>
      </c>
    </row>
    <row r="364" spans="1:25" s="21" customFormat="1" ht="12.75" hidden="1" customHeight="1" x14ac:dyDescent="0.25">
      <c r="A364" s="24" t="s">
        <v>163</v>
      </c>
      <c r="B364" s="25"/>
      <c r="C364" s="27">
        <f t="shared" si="48"/>
        <v>146160</v>
      </c>
      <c r="D364" s="21">
        <v>16824</v>
      </c>
      <c r="E364" s="21">
        <v>49477</v>
      </c>
      <c r="F364" s="21">
        <v>0</v>
      </c>
      <c r="G364" s="89">
        <f>244668-(29298+2118+49+742)</f>
        <v>212461</v>
      </c>
      <c r="H364" s="65">
        <v>0</v>
      </c>
      <c r="I364" s="34">
        <f>115603+2118-J364</f>
        <v>105219</v>
      </c>
      <c r="J364" s="21">
        <f>12403+99</f>
        <v>12502</v>
      </c>
      <c r="K364" s="27">
        <f>515789+742</f>
        <v>516531</v>
      </c>
      <c r="L364" s="21">
        <v>0</v>
      </c>
      <c r="M364" s="21">
        <v>0</v>
      </c>
      <c r="N364" s="68">
        <f t="shared" si="49"/>
        <v>634252</v>
      </c>
      <c r="O364" s="63">
        <f>1816+65446+870+47874</f>
        <v>116006</v>
      </c>
      <c r="P364" s="21">
        <f>23917+169177+2695+44094</f>
        <v>239883</v>
      </c>
      <c r="Q364" s="21">
        <v>0</v>
      </c>
      <c r="R364" s="89">
        <f t="shared" si="50"/>
        <v>347876</v>
      </c>
      <c r="S364" s="65">
        <f t="shared" si="44"/>
        <v>1194589</v>
      </c>
      <c r="T364" s="34">
        <f>74413+49+0</f>
        <v>74462</v>
      </c>
      <c r="U364" s="34">
        <v>73929</v>
      </c>
      <c r="V364" s="34">
        <v>1581</v>
      </c>
      <c r="W364" s="34">
        <v>0</v>
      </c>
      <c r="X364" s="89">
        <f t="shared" si="51"/>
        <v>149972</v>
      </c>
      <c r="Y364" s="65">
        <f t="shared" si="52"/>
        <v>1344561</v>
      </c>
    </row>
    <row r="365" spans="1:25" s="21" customFormat="1" ht="12.75" hidden="1" customHeight="1" x14ac:dyDescent="0.25">
      <c r="A365" s="24" t="s">
        <v>164</v>
      </c>
      <c r="B365" s="25"/>
      <c r="C365" s="27">
        <f t="shared" si="48"/>
        <v>146551</v>
      </c>
      <c r="D365" s="21">
        <v>16687</v>
      </c>
      <c r="E365" s="21">
        <v>49495</v>
      </c>
      <c r="F365" s="21">
        <v>0</v>
      </c>
      <c r="G365" s="89">
        <f>245272-(29622+2120+53+744)</f>
        <v>212733</v>
      </c>
      <c r="H365" s="65">
        <v>0</v>
      </c>
      <c r="I365" s="34">
        <f>116356+2120-J365</f>
        <v>105880</v>
      </c>
      <c r="J365" s="21">
        <f>12494+102</f>
        <v>12596</v>
      </c>
      <c r="K365" s="27">
        <f>517825+744</f>
        <v>518569</v>
      </c>
      <c r="L365" s="21">
        <v>0</v>
      </c>
      <c r="M365" s="21">
        <v>0</v>
      </c>
      <c r="N365" s="68">
        <f t="shared" si="49"/>
        <v>637045</v>
      </c>
      <c r="O365" s="63">
        <f>1811+65960+922+48197</f>
        <v>116890</v>
      </c>
      <c r="P365" s="21">
        <f>24111+174048+2778+44728</f>
        <v>245665</v>
      </c>
      <c r="Q365" s="21">
        <v>0</v>
      </c>
      <c r="R365" s="89">
        <f t="shared" si="50"/>
        <v>355889</v>
      </c>
      <c r="S365" s="65">
        <f t="shared" si="44"/>
        <v>1205667</v>
      </c>
      <c r="T365" s="34">
        <f>74679+53+0</f>
        <v>74732</v>
      </c>
      <c r="U365" s="34">
        <v>74494</v>
      </c>
      <c r="V365" s="34">
        <v>1496</v>
      </c>
      <c r="W365" s="34">
        <v>0</v>
      </c>
      <c r="X365" s="89">
        <f t="shared" si="51"/>
        <v>150722</v>
      </c>
      <c r="Y365" s="65">
        <f t="shared" si="52"/>
        <v>1356389</v>
      </c>
    </row>
    <row r="366" spans="1:25" s="21" customFormat="1" ht="12.75" hidden="1" customHeight="1" x14ac:dyDescent="0.25">
      <c r="A366" s="24" t="s">
        <v>165</v>
      </c>
      <c r="B366" s="25"/>
      <c r="C366" s="27">
        <f t="shared" si="48"/>
        <v>147267</v>
      </c>
      <c r="D366" s="21">
        <v>16709</v>
      </c>
      <c r="E366" s="21">
        <v>49600</v>
      </c>
      <c r="F366" s="21">
        <v>0</v>
      </c>
      <c r="G366" s="89">
        <f>246909-(30377+2146+55+755)</f>
        <v>213576</v>
      </c>
      <c r="H366" s="65">
        <v>0</v>
      </c>
      <c r="I366" s="34">
        <f>117609+2146-J366</f>
        <v>106604</v>
      </c>
      <c r="J366" s="21">
        <f>13046+105</f>
        <v>13151</v>
      </c>
      <c r="K366" s="27">
        <f>520883+755</f>
        <v>521638</v>
      </c>
      <c r="L366" s="21">
        <v>0</v>
      </c>
      <c r="M366" s="21">
        <v>0</v>
      </c>
      <c r="N366" s="68">
        <f t="shared" si="49"/>
        <v>641393</v>
      </c>
      <c r="O366" s="63">
        <f>1861+66362+976+48347</f>
        <v>117546</v>
      </c>
      <c r="P366" s="21">
        <f>24604+178731+2936+45232</f>
        <v>251503</v>
      </c>
      <c r="Q366" s="21">
        <v>0</v>
      </c>
      <c r="R366" s="89">
        <f t="shared" si="50"/>
        <v>362555</v>
      </c>
      <c r="S366" s="65">
        <f t="shared" si="44"/>
        <v>1217524</v>
      </c>
      <c r="T366" s="34">
        <f>75132+55+0</f>
        <v>75187</v>
      </c>
      <c r="U366" s="34">
        <v>75205</v>
      </c>
      <c r="V366" s="34">
        <v>1568</v>
      </c>
      <c r="W366" s="34">
        <v>0</v>
      </c>
      <c r="X366" s="89">
        <f t="shared" si="51"/>
        <v>151960</v>
      </c>
      <c r="Y366" s="65">
        <f t="shared" si="52"/>
        <v>1369484</v>
      </c>
    </row>
    <row r="367" spans="1:25" s="21" customFormat="1" ht="12.75" hidden="1" customHeight="1" x14ac:dyDescent="0.25">
      <c r="A367" s="24" t="s">
        <v>166</v>
      </c>
      <c r="B367" s="25"/>
      <c r="C367" s="27">
        <f t="shared" si="48"/>
        <v>151079</v>
      </c>
      <c r="D367" s="21">
        <v>16913</v>
      </c>
      <c r="E367" s="21">
        <v>50213</v>
      </c>
      <c r="F367" s="21">
        <v>0</v>
      </c>
      <c r="G367" s="89">
        <f>253294-(31947+2301+59+782)</f>
        <v>218205</v>
      </c>
      <c r="H367" s="65">
        <v>0</v>
      </c>
      <c r="I367" s="34">
        <f>125871+2301-J367</f>
        <v>113268</v>
      </c>
      <c r="J367" s="21">
        <f>14771+133</f>
        <v>14904</v>
      </c>
      <c r="K367" s="27">
        <f>539159+782</f>
        <v>539941</v>
      </c>
      <c r="L367" s="21">
        <v>0</v>
      </c>
      <c r="M367" s="21">
        <v>0</v>
      </c>
      <c r="N367" s="68">
        <f t="shared" si="49"/>
        <v>668113</v>
      </c>
      <c r="O367" s="63">
        <f>68419+1915+49993+1014</f>
        <v>121341</v>
      </c>
      <c r="P367" s="21">
        <f>192159+25865+47208+3153</f>
        <v>268385</v>
      </c>
      <c r="Q367" s="21">
        <v>0</v>
      </c>
      <c r="R367" s="89">
        <f t="shared" si="50"/>
        <v>369049</v>
      </c>
      <c r="S367" s="65">
        <f t="shared" si="44"/>
        <v>1255367</v>
      </c>
      <c r="T367" s="34">
        <f>76387+59+0</f>
        <v>76446</v>
      </c>
      <c r="U367" s="34">
        <v>76274</v>
      </c>
      <c r="V367" s="34">
        <v>1692</v>
      </c>
      <c r="W367" s="34">
        <v>0</v>
      </c>
      <c r="X367" s="89">
        <f t="shared" si="51"/>
        <v>154412</v>
      </c>
      <c r="Y367" s="65">
        <f t="shared" si="52"/>
        <v>1409779</v>
      </c>
    </row>
    <row r="368" spans="1:25" s="21" customFormat="1" ht="12.75" hidden="1" customHeight="1" x14ac:dyDescent="0.25">
      <c r="A368" s="24" t="s">
        <v>167</v>
      </c>
      <c r="B368" s="25"/>
      <c r="C368" s="27">
        <f>IF((G368-D368-E368)&gt;C162,C162,G368-D368-E368)</f>
        <v>151164</v>
      </c>
      <c r="D368" s="21">
        <v>17252</v>
      </c>
      <c r="E368" s="21">
        <v>50972</v>
      </c>
      <c r="F368" s="21">
        <v>0</v>
      </c>
      <c r="G368" s="89">
        <f>255694-(33094+2367+61+784)</f>
        <v>219388</v>
      </c>
      <c r="H368" s="65">
        <v>0</v>
      </c>
      <c r="I368" s="34">
        <f>129843+2367-J368</f>
        <v>116230</v>
      </c>
      <c r="J368" s="21">
        <f>15847+133</f>
        <v>15980</v>
      </c>
      <c r="K368" s="27">
        <f>547375+784</f>
        <v>548159</v>
      </c>
      <c r="L368" s="21">
        <v>0</v>
      </c>
      <c r="M368" s="21">
        <v>0</v>
      </c>
      <c r="N368" s="68">
        <f t="shared" si="49"/>
        <v>680369</v>
      </c>
      <c r="O368" s="63">
        <f>69613+2015+50600+1057</f>
        <v>123285</v>
      </c>
      <c r="P368" s="21">
        <f>199038+26684+48084+3338</f>
        <v>277144</v>
      </c>
      <c r="Q368" s="21">
        <v>0</v>
      </c>
      <c r="R368" s="89">
        <f t="shared" si="50"/>
        <v>389726</v>
      </c>
      <c r="S368" s="65">
        <f t="shared" si="44"/>
        <v>1289483</v>
      </c>
      <c r="T368" s="34">
        <f>77024+61+0</f>
        <v>77085</v>
      </c>
      <c r="U368" s="34">
        <v>76281</v>
      </c>
      <c r="V368" s="34">
        <v>1783</v>
      </c>
      <c r="W368" s="34">
        <v>0</v>
      </c>
      <c r="X368" s="89">
        <f t="shared" si="51"/>
        <v>155149</v>
      </c>
      <c r="Y368" s="65">
        <f t="shared" si="52"/>
        <v>1444632</v>
      </c>
    </row>
    <row r="369" spans="1:25" s="21" customFormat="1" ht="12.75" hidden="1" customHeight="1" x14ac:dyDescent="0.25">
      <c r="A369" s="24"/>
      <c r="B369" s="25"/>
      <c r="C369" s="27"/>
      <c r="G369" s="89"/>
      <c r="H369" s="65"/>
      <c r="I369" s="34"/>
      <c r="K369" s="27"/>
      <c r="L369" s="27"/>
      <c r="M369" s="21">
        <v>0</v>
      </c>
      <c r="N369" s="68"/>
      <c r="O369" s="63"/>
      <c r="R369" s="89"/>
      <c r="S369" s="65">
        <f t="shared" si="44"/>
        <v>0</v>
      </c>
      <c r="T369" s="34"/>
      <c r="U369" s="34"/>
      <c r="V369" s="34"/>
      <c r="W369" s="34"/>
      <c r="X369" s="89"/>
      <c r="Y369" s="65"/>
    </row>
    <row r="370" spans="1:25" s="21" customFormat="1" ht="12.75" hidden="1" customHeight="1" x14ac:dyDescent="0.25">
      <c r="A370" s="24" t="s">
        <v>169</v>
      </c>
      <c r="B370" s="25"/>
      <c r="C370" s="27">
        <f t="shared" ref="C370:C381" si="53">IF((G370-D370-E370)&gt;C162,C162,G370-D370-E370)</f>
        <v>151617</v>
      </c>
      <c r="D370" s="21">
        <v>17285</v>
      </c>
      <c r="E370" s="21">
        <v>51370</v>
      </c>
      <c r="F370" s="21">
        <v>0</v>
      </c>
      <c r="G370" s="89">
        <f>257676-(34113+2441+61+789)</f>
        <v>220272</v>
      </c>
      <c r="H370" s="65">
        <v>0</v>
      </c>
      <c r="I370" s="34">
        <f>133002+2441-J370</f>
        <v>118550</v>
      </c>
      <c r="J370" s="21">
        <f>16745+148</f>
        <v>16893</v>
      </c>
      <c r="K370" s="27">
        <f>554670+789</f>
        <v>555459</v>
      </c>
      <c r="L370" s="27">
        <v>0</v>
      </c>
      <c r="M370" s="21">
        <v>0</v>
      </c>
      <c r="N370" s="68">
        <f>SUM(I370:M370)</f>
        <v>690902</v>
      </c>
      <c r="O370" s="63">
        <f>70627+2088+51109+1089</f>
        <v>124913</v>
      </c>
      <c r="P370" s="21">
        <f>205516+27481+48847+3455</f>
        <v>285299</v>
      </c>
      <c r="Q370" s="21">
        <v>0</v>
      </c>
      <c r="R370" s="89">
        <f t="shared" ref="R370:R381" si="54">SUM(O370:Q370)</f>
        <v>410212</v>
      </c>
      <c r="S370" s="65">
        <f t="shared" si="44"/>
        <v>1321386</v>
      </c>
      <c r="T370" s="34">
        <f>77616+61+0</f>
        <v>77677</v>
      </c>
      <c r="U370" s="34">
        <v>76185</v>
      </c>
      <c r="V370" s="34">
        <v>1860</v>
      </c>
      <c r="W370" s="34">
        <v>0</v>
      </c>
      <c r="X370" s="89">
        <f t="shared" si="51"/>
        <v>155722</v>
      </c>
      <c r="Y370" s="65">
        <f t="shared" ref="Y370:Y381" si="55">X370+S370</f>
        <v>1477108</v>
      </c>
    </row>
    <row r="371" spans="1:25" s="21" customFormat="1" ht="12.75" hidden="1" customHeight="1" x14ac:dyDescent="0.25">
      <c r="A371" s="24" t="s">
        <v>170</v>
      </c>
      <c r="B371" s="25"/>
      <c r="C371" s="27">
        <f t="shared" si="53"/>
        <v>152229</v>
      </c>
      <c r="D371" s="21">
        <v>17254</v>
      </c>
      <c r="E371" s="21">
        <v>51567</v>
      </c>
      <c r="F371" s="21">
        <v>0</v>
      </c>
      <c r="G371" s="89">
        <f>260228-(35841+2500+61+776)</f>
        <v>221050</v>
      </c>
      <c r="H371" s="65">
        <v>0</v>
      </c>
      <c r="I371" s="34">
        <f>135422+2500-J371</f>
        <v>120561</v>
      </c>
      <c r="J371" s="21">
        <f>17207+154</f>
        <v>17361</v>
      </c>
      <c r="K371" s="27">
        <f>558047+776</f>
        <v>558823</v>
      </c>
      <c r="L371" s="27">
        <v>0</v>
      </c>
      <c r="M371" s="21">
        <v>0</v>
      </c>
      <c r="N371" s="68">
        <f t="shared" ref="N371:N381" si="56">SUM(I371:M371)</f>
        <v>696745</v>
      </c>
      <c r="O371" s="63">
        <f>2187+71309+1158+51467</f>
        <v>126121</v>
      </c>
      <c r="P371" s="21">
        <f>28816+212562+3680+49954</f>
        <v>295012</v>
      </c>
      <c r="Q371" s="21">
        <v>0</v>
      </c>
      <c r="R371" s="89">
        <f t="shared" si="54"/>
        <v>421133</v>
      </c>
      <c r="S371" s="65">
        <f t="shared" si="44"/>
        <v>1338928</v>
      </c>
      <c r="T371" s="34">
        <f>77677+61+0</f>
        <v>77738</v>
      </c>
      <c r="U371" s="34">
        <v>76553</v>
      </c>
      <c r="V371" s="34">
        <v>1643</v>
      </c>
      <c r="W371" s="34">
        <v>0</v>
      </c>
      <c r="X371" s="89">
        <f t="shared" si="51"/>
        <v>155934</v>
      </c>
      <c r="Y371" s="65">
        <f t="shared" si="55"/>
        <v>1494862</v>
      </c>
    </row>
    <row r="372" spans="1:25" s="21" customFormat="1" ht="12.75" hidden="1" customHeight="1" x14ac:dyDescent="0.25">
      <c r="A372" s="24" t="s">
        <v>171</v>
      </c>
      <c r="B372" s="25"/>
      <c r="C372" s="27">
        <f t="shared" si="53"/>
        <v>152498</v>
      </c>
      <c r="D372" s="21">
        <v>17165</v>
      </c>
      <c r="E372" s="21">
        <v>51809</v>
      </c>
      <c r="F372" s="21">
        <v>0</v>
      </c>
      <c r="G372" s="89">
        <f>261578-(36696+2566+57+787)</f>
        <v>221472</v>
      </c>
      <c r="H372" s="65">
        <v>0</v>
      </c>
      <c r="I372" s="34">
        <f>137316+2566-J372</f>
        <v>122502</v>
      </c>
      <c r="J372" s="21">
        <f>17221+159</f>
        <v>17380</v>
      </c>
      <c r="K372" s="27">
        <f>563705+787</f>
        <v>564492</v>
      </c>
      <c r="L372" s="27">
        <v>0</v>
      </c>
      <c r="M372" s="21">
        <v>0</v>
      </c>
      <c r="N372" s="68">
        <f t="shared" si="56"/>
        <v>704374</v>
      </c>
      <c r="O372" s="63">
        <f>2229+72291+1191+51922</f>
        <v>127633</v>
      </c>
      <c r="P372" s="21">
        <f>29500+219478+3776+50869</f>
        <v>303623</v>
      </c>
      <c r="Q372" s="21">
        <v>0</v>
      </c>
      <c r="R372" s="89">
        <f t="shared" si="54"/>
        <v>431256</v>
      </c>
      <c r="S372" s="65">
        <f t="shared" si="44"/>
        <v>1357102</v>
      </c>
      <c r="T372" s="34">
        <f>77861+57+0</f>
        <v>77918</v>
      </c>
      <c r="U372" s="34">
        <v>76622</v>
      </c>
      <c r="V372" s="34">
        <v>1490</v>
      </c>
      <c r="W372" s="34">
        <v>0</v>
      </c>
      <c r="X372" s="89">
        <f t="shared" si="51"/>
        <v>156030</v>
      </c>
      <c r="Y372" s="65">
        <f t="shared" si="55"/>
        <v>1513132</v>
      </c>
    </row>
    <row r="373" spans="1:25" s="21" customFormat="1" ht="12.75" hidden="1" customHeight="1" x14ac:dyDescent="0.25">
      <c r="A373" s="24" t="s">
        <v>172</v>
      </c>
      <c r="B373" s="25"/>
      <c r="C373" s="27">
        <f t="shared" si="53"/>
        <v>152969</v>
      </c>
      <c r="D373" s="21">
        <v>17061</v>
      </c>
      <c r="E373" s="21">
        <v>52042</v>
      </c>
      <c r="F373" s="21">
        <v>0</v>
      </c>
      <c r="G373" s="89">
        <f>263199-(37639+2636+60+792)</f>
        <v>222072</v>
      </c>
      <c r="H373" s="65">
        <v>0</v>
      </c>
      <c r="I373" s="34">
        <f>139962+2636-J373</f>
        <v>124787</v>
      </c>
      <c r="J373" s="21">
        <f>17643+168</f>
        <v>17811</v>
      </c>
      <c r="K373" s="27">
        <f>570387+792</f>
        <v>571179</v>
      </c>
      <c r="L373" s="27">
        <v>0</v>
      </c>
      <c r="M373" s="21">
        <v>0</v>
      </c>
      <c r="N373" s="68">
        <f t="shared" si="56"/>
        <v>713777</v>
      </c>
      <c r="O373" s="63">
        <f>2280+73314+1188+52408</f>
        <v>129190</v>
      </c>
      <c r="P373" s="21">
        <f>30245+227426+3926+51351</f>
        <v>312948</v>
      </c>
      <c r="Q373" s="21">
        <v>0</v>
      </c>
      <c r="R373" s="89">
        <f t="shared" si="54"/>
        <v>442138</v>
      </c>
      <c r="S373" s="65">
        <f t="shared" si="44"/>
        <v>1377987</v>
      </c>
      <c r="T373" s="34">
        <f>77774+60+0</f>
        <v>77834</v>
      </c>
      <c r="U373" s="34">
        <v>76975</v>
      </c>
      <c r="V373" s="34">
        <v>1435</v>
      </c>
      <c r="W373" s="34">
        <v>0</v>
      </c>
      <c r="X373" s="89">
        <f t="shared" si="51"/>
        <v>156244</v>
      </c>
      <c r="Y373" s="65">
        <f t="shared" si="55"/>
        <v>1534231</v>
      </c>
    </row>
    <row r="374" spans="1:25" s="21" customFormat="1" ht="12.75" hidden="1" customHeight="1" x14ac:dyDescent="0.25">
      <c r="A374" s="24" t="s">
        <v>173</v>
      </c>
      <c r="B374" s="25"/>
      <c r="C374" s="27">
        <f t="shared" si="53"/>
        <v>153170</v>
      </c>
      <c r="D374" s="21">
        <v>17021</v>
      </c>
      <c r="E374" s="21">
        <v>52339</v>
      </c>
      <c r="F374" s="21">
        <v>0</v>
      </c>
      <c r="G374" s="89">
        <f>264739-(38625+2712+62+810)</f>
        <v>222530</v>
      </c>
      <c r="H374" s="65">
        <v>0</v>
      </c>
      <c r="I374" s="34">
        <f>141849+2712-J374</f>
        <v>126373</v>
      </c>
      <c r="J374" s="21">
        <f>18002+186</f>
        <v>18188</v>
      </c>
      <c r="K374" s="27">
        <f>575309+810</f>
        <v>576119</v>
      </c>
      <c r="L374" s="27">
        <v>0</v>
      </c>
      <c r="M374" s="21">
        <v>0</v>
      </c>
      <c r="N374" s="68">
        <f t="shared" si="56"/>
        <v>720680</v>
      </c>
      <c r="O374" s="63">
        <f>2352+74306+1216+52916</f>
        <v>130790</v>
      </c>
      <c r="P374" s="21">
        <f>31009+233874+4048+51444</f>
        <v>320375</v>
      </c>
      <c r="Q374" s="21">
        <v>0</v>
      </c>
      <c r="R374" s="89">
        <f t="shared" si="54"/>
        <v>451165</v>
      </c>
      <c r="S374" s="65">
        <f t="shared" si="44"/>
        <v>1394375</v>
      </c>
      <c r="T374" s="34">
        <f>77848+62+0</f>
        <v>77910</v>
      </c>
      <c r="U374" s="34">
        <v>77511</v>
      </c>
      <c r="V374" s="34">
        <v>1407</v>
      </c>
      <c r="W374" s="34">
        <v>0</v>
      </c>
      <c r="X374" s="89">
        <f t="shared" si="51"/>
        <v>156828</v>
      </c>
      <c r="Y374" s="65">
        <f t="shared" si="55"/>
        <v>1551203</v>
      </c>
    </row>
    <row r="375" spans="1:25" s="21" customFormat="1" ht="12.75" hidden="1" customHeight="1" x14ac:dyDescent="0.25">
      <c r="A375" s="24" t="s">
        <v>174</v>
      </c>
      <c r="B375" s="25"/>
      <c r="C375" s="27">
        <f t="shared" si="53"/>
        <v>153687</v>
      </c>
      <c r="D375" s="21">
        <v>16950</v>
      </c>
      <c r="E375" s="21">
        <v>52698</v>
      </c>
      <c r="F375" s="21">
        <v>0</v>
      </c>
      <c r="G375" s="89">
        <f>266492-(39494+2777+64+822)</f>
        <v>223335</v>
      </c>
      <c r="H375" s="65">
        <v>0</v>
      </c>
      <c r="I375" s="34">
        <f>144213+2777-J375</f>
        <v>128448</v>
      </c>
      <c r="J375" s="21">
        <f>18344+198</f>
        <v>18542</v>
      </c>
      <c r="K375" s="27">
        <f>581119+822</f>
        <v>581941</v>
      </c>
      <c r="L375" s="27">
        <v>0</v>
      </c>
      <c r="M375" s="21">
        <v>0</v>
      </c>
      <c r="N375" s="68">
        <f t="shared" si="56"/>
        <v>728931</v>
      </c>
      <c r="O375" s="63">
        <f>2367+75542+1247+53712</f>
        <v>132868</v>
      </c>
      <c r="P375" s="21">
        <f>31675+242371+4205+53504</f>
        <v>331755</v>
      </c>
      <c r="Q375" s="21">
        <v>0</v>
      </c>
      <c r="R375" s="89">
        <f t="shared" si="54"/>
        <v>464623</v>
      </c>
      <c r="S375" s="65">
        <f t="shared" si="44"/>
        <v>1416889</v>
      </c>
      <c r="T375" s="34">
        <f>78459+64+0</f>
        <v>78523</v>
      </c>
      <c r="U375" s="34">
        <v>78398</v>
      </c>
      <c r="V375" s="34">
        <v>1459</v>
      </c>
      <c r="W375" s="34">
        <v>0</v>
      </c>
      <c r="X375" s="89">
        <f t="shared" si="51"/>
        <v>158380</v>
      </c>
      <c r="Y375" s="65">
        <f t="shared" si="55"/>
        <v>1575269</v>
      </c>
    </row>
    <row r="376" spans="1:25" s="21" customFormat="1" ht="12.75" hidden="1" customHeight="1" x14ac:dyDescent="0.25">
      <c r="A376" s="24" t="s">
        <v>175</v>
      </c>
      <c r="B376" s="25"/>
      <c r="C376" s="27">
        <f t="shared" si="53"/>
        <v>154009</v>
      </c>
      <c r="D376" s="21">
        <v>16625</v>
      </c>
      <c r="E376" s="21">
        <v>52898</v>
      </c>
      <c r="F376" s="21">
        <v>0</v>
      </c>
      <c r="G376" s="89">
        <f>268045-(40806+2810+65+832)</f>
        <v>223532</v>
      </c>
      <c r="H376" s="65">
        <v>0</v>
      </c>
      <c r="I376" s="34">
        <f>146481+2810-J376</f>
        <v>130564</v>
      </c>
      <c r="J376" s="21">
        <f>18525+202</f>
        <v>18727</v>
      </c>
      <c r="K376" s="27">
        <f>586688+832</f>
        <v>587520</v>
      </c>
      <c r="L376" s="27">
        <v>0</v>
      </c>
      <c r="M376" s="21">
        <v>0</v>
      </c>
      <c r="N376" s="68">
        <f t="shared" si="56"/>
        <v>736811</v>
      </c>
      <c r="O376" s="63">
        <f>2447+76708+1290+54700</f>
        <v>135145</v>
      </c>
      <c r="P376" s="21">
        <f>32691+253511+4378+56772</f>
        <v>347352</v>
      </c>
      <c r="Q376" s="21">
        <v>0</v>
      </c>
      <c r="R376" s="89">
        <f t="shared" si="54"/>
        <v>482497</v>
      </c>
      <c r="S376" s="65">
        <f t="shared" si="44"/>
        <v>1442840</v>
      </c>
      <c r="T376" s="34">
        <f>79590+65+0</f>
        <v>79655</v>
      </c>
      <c r="U376" s="34">
        <v>79219</v>
      </c>
      <c r="V376" s="34">
        <v>1498</v>
      </c>
      <c r="W376" s="34">
        <v>0</v>
      </c>
      <c r="X376" s="89">
        <f t="shared" si="51"/>
        <v>160372</v>
      </c>
      <c r="Y376" s="65">
        <f t="shared" si="55"/>
        <v>1603212</v>
      </c>
    </row>
    <row r="377" spans="1:25" s="21" customFormat="1" ht="12.75" hidden="1" customHeight="1" x14ac:dyDescent="0.25">
      <c r="A377" s="24" t="s">
        <v>176</v>
      </c>
      <c r="B377" s="25"/>
      <c r="C377" s="27">
        <f t="shared" si="53"/>
        <v>153948</v>
      </c>
      <c r="D377" s="21">
        <v>16331</v>
      </c>
      <c r="E377" s="21">
        <v>53058</v>
      </c>
      <c r="F377" s="21">
        <v>0</v>
      </c>
      <c r="G377" s="89">
        <f>269398-(42244+2898+65+854)</f>
        <v>223337</v>
      </c>
      <c r="H377" s="65">
        <v>0</v>
      </c>
      <c r="I377" s="34">
        <f>148040+2898-J377</f>
        <v>132025</v>
      </c>
      <c r="J377" s="21">
        <f>18706+207</f>
        <v>18913</v>
      </c>
      <c r="K377" s="27">
        <f>590038+854</f>
        <v>590892</v>
      </c>
      <c r="L377" s="27">
        <v>0</v>
      </c>
      <c r="M377" s="21">
        <v>0</v>
      </c>
      <c r="N377" s="68">
        <f t="shared" si="56"/>
        <v>741830</v>
      </c>
      <c r="O377" s="63">
        <f>2529+77116+1327+55334</f>
        <v>136306</v>
      </c>
      <c r="P377" s="21">
        <f>33804+258675+4584+57702</f>
        <v>354765</v>
      </c>
      <c r="Q377" s="21">
        <v>0</v>
      </c>
      <c r="R377" s="89">
        <f t="shared" si="54"/>
        <v>491071</v>
      </c>
      <c r="S377" s="65">
        <f t="shared" si="44"/>
        <v>1456238</v>
      </c>
      <c r="T377" s="34">
        <f>79994+65+0</f>
        <v>80059</v>
      </c>
      <c r="U377" s="34">
        <v>79683</v>
      </c>
      <c r="V377" s="34">
        <v>1537</v>
      </c>
      <c r="W377" s="34">
        <v>0</v>
      </c>
      <c r="X377" s="89">
        <f t="shared" si="51"/>
        <v>161279</v>
      </c>
      <c r="Y377" s="65">
        <f t="shared" si="55"/>
        <v>1617517</v>
      </c>
    </row>
    <row r="378" spans="1:25" s="21" customFormat="1" ht="12.75" hidden="1" customHeight="1" x14ac:dyDescent="0.25">
      <c r="A378" s="24" t="s">
        <v>177</v>
      </c>
      <c r="B378" s="25"/>
      <c r="C378" s="27">
        <f t="shared" si="53"/>
        <v>154632</v>
      </c>
      <c r="D378" s="21">
        <v>16112</v>
      </c>
      <c r="E378" s="21">
        <v>53165</v>
      </c>
      <c r="F378" s="21">
        <v>0</v>
      </c>
      <c r="G378" s="89">
        <f>271482-(43687+2959+67+860)</f>
        <v>223909</v>
      </c>
      <c r="H378" s="65">
        <v>0</v>
      </c>
      <c r="I378" s="34">
        <f>150158+2959-J378</f>
        <v>134004</v>
      </c>
      <c r="J378" s="21">
        <f>18895+218</f>
        <v>19113</v>
      </c>
      <c r="K378" s="27">
        <f>594164+860</f>
        <v>595024</v>
      </c>
      <c r="L378" s="27">
        <v>0</v>
      </c>
      <c r="M378" s="21">
        <v>0</v>
      </c>
      <c r="N378" s="68">
        <f t="shared" si="56"/>
        <v>748141</v>
      </c>
      <c r="O378" s="63">
        <f>2615+77653+1375+56057</f>
        <v>137700</v>
      </c>
      <c r="P378" s="21">
        <f>34867+264697+4830+58373</f>
        <v>362767</v>
      </c>
      <c r="Q378" s="21">
        <v>0</v>
      </c>
      <c r="R378" s="89">
        <f t="shared" si="54"/>
        <v>500467</v>
      </c>
      <c r="S378" s="65">
        <f t="shared" si="44"/>
        <v>1472517</v>
      </c>
      <c r="T378" s="34">
        <f>80444+67+0</f>
        <v>80511</v>
      </c>
      <c r="U378" s="34">
        <v>80188</v>
      </c>
      <c r="V378" s="34">
        <v>1568</v>
      </c>
      <c r="W378" s="34">
        <v>0</v>
      </c>
      <c r="X378" s="89">
        <f t="shared" si="51"/>
        <v>162267</v>
      </c>
      <c r="Y378" s="65">
        <f t="shared" si="55"/>
        <v>1634784</v>
      </c>
    </row>
    <row r="379" spans="1:25" s="21" customFormat="1" ht="12.75" hidden="1" customHeight="1" x14ac:dyDescent="0.25">
      <c r="A379" s="24" t="s">
        <v>178</v>
      </c>
      <c r="B379" s="25"/>
      <c r="C379" s="27">
        <f t="shared" si="53"/>
        <v>154983</v>
      </c>
      <c r="D379" s="21">
        <v>16296</v>
      </c>
      <c r="E379" s="21">
        <v>53221</v>
      </c>
      <c r="F379" s="21">
        <v>0</v>
      </c>
      <c r="G379" s="89">
        <f>273513-(45073+3013+68+859)</f>
        <v>224500</v>
      </c>
      <c r="H379" s="65">
        <v>0</v>
      </c>
      <c r="I379" s="34">
        <f>151528+3013-J379</f>
        <v>135213</v>
      </c>
      <c r="J379" s="21">
        <f>19100+228</f>
        <v>19328</v>
      </c>
      <c r="K379" s="27">
        <f>597671+859</f>
        <v>598530</v>
      </c>
      <c r="L379" s="27">
        <v>0</v>
      </c>
      <c r="M379" s="21">
        <v>0</v>
      </c>
      <c r="N379" s="68">
        <f t="shared" si="56"/>
        <v>753071</v>
      </c>
      <c r="O379" s="63">
        <f>2675+78285+1452+56741</f>
        <v>139153</v>
      </c>
      <c r="P379" s="21">
        <f>35946+269691+5000+59131</f>
        <v>369768</v>
      </c>
      <c r="Q379" s="21">
        <v>0</v>
      </c>
      <c r="R379" s="89">
        <f t="shared" si="54"/>
        <v>508921</v>
      </c>
      <c r="S379" s="65">
        <f t="shared" si="44"/>
        <v>1486492</v>
      </c>
      <c r="T379" s="34">
        <f>80933+68+0</f>
        <v>81001</v>
      </c>
      <c r="U379" s="34">
        <v>80498</v>
      </c>
      <c r="V379" s="34">
        <v>1564</v>
      </c>
      <c r="W379" s="34">
        <v>0</v>
      </c>
      <c r="X379" s="89">
        <f t="shared" si="51"/>
        <v>163063</v>
      </c>
      <c r="Y379" s="65">
        <f t="shared" si="55"/>
        <v>1649555</v>
      </c>
    </row>
    <row r="380" spans="1:25" s="21" customFormat="1" ht="12.75" hidden="1" customHeight="1" x14ac:dyDescent="0.25">
      <c r="A380" s="24" t="s">
        <v>179</v>
      </c>
      <c r="B380" s="25"/>
      <c r="C380" s="27">
        <f t="shared" si="53"/>
        <v>155277</v>
      </c>
      <c r="D380" s="21">
        <v>16415</v>
      </c>
      <c r="E380" s="21">
        <v>53350</v>
      </c>
      <c r="F380" s="21">
        <v>0</v>
      </c>
      <c r="G380" s="89">
        <f>275092-(46041+3083+69+857)</f>
        <v>225042</v>
      </c>
      <c r="H380" s="65">
        <v>0</v>
      </c>
      <c r="I380" s="34">
        <f>152813+3083-J380</f>
        <v>136338</v>
      </c>
      <c r="J380" s="21">
        <f>19318+240</f>
        <v>19558</v>
      </c>
      <c r="K380" s="27">
        <f>600564+857</f>
        <v>601421</v>
      </c>
      <c r="L380" s="27">
        <v>0</v>
      </c>
      <c r="M380" s="21">
        <v>0</v>
      </c>
      <c r="N380" s="68">
        <f t="shared" si="56"/>
        <v>757317</v>
      </c>
      <c r="O380" s="63">
        <f>2727+78933+1488+57383</f>
        <v>140531</v>
      </c>
      <c r="P380" s="21">
        <f>36684+274451+5142+60098</f>
        <v>376375</v>
      </c>
      <c r="Q380" s="21">
        <v>0</v>
      </c>
      <c r="R380" s="89">
        <f t="shared" si="54"/>
        <v>516906</v>
      </c>
      <c r="S380" s="65">
        <f t="shared" si="44"/>
        <v>1499265</v>
      </c>
      <c r="T380" s="34">
        <f>81455+69+0</f>
        <v>81524</v>
      </c>
      <c r="U380" s="34">
        <v>80465</v>
      </c>
      <c r="V380" s="34">
        <v>1598</v>
      </c>
      <c r="W380" s="34">
        <v>0</v>
      </c>
      <c r="X380" s="89">
        <f t="shared" si="51"/>
        <v>163587</v>
      </c>
      <c r="Y380" s="65">
        <f t="shared" si="55"/>
        <v>1662852</v>
      </c>
    </row>
    <row r="381" spans="1:25" s="21" customFormat="1" ht="12.75" hidden="1" customHeight="1" x14ac:dyDescent="0.25">
      <c r="A381" s="24" t="s">
        <v>180</v>
      </c>
      <c r="B381" s="25"/>
      <c r="C381" s="27">
        <f t="shared" si="53"/>
        <v>155371</v>
      </c>
      <c r="D381" s="21">
        <v>16621</v>
      </c>
      <c r="E381" s="21">
        <v>53486</v>
      </c>
      <c r="F381" s="21">
        <v>0</v>
      </c>
      <c r="G381" s="89">
        <f>276741-(47190+3140+71+862)</f>
        <v>225478</v>
      </c>
      <c r="H381" s="65">
        <v>0</v>
      </c>
      <c r="I381" s="34">
        <f>154729+3140-J381</f>
        <v>137941</v>
      </c>
      <c r="J381" s="95">
        <f>19680+248</f>
        <v>19928</v>
      </c>
      <c r="K381" s="27">
        <f>604801+862</f>
        <v>605663</v>
      </c>
      <c r="L381" s="27">
        <v>0</v>
      </c>
      <c r="M381" s="21">
        <v>0</v>
      </c>
      <c r="N381" s="68">
        <f t="shared" si="56"/>
        <v>763532</v>
      </c>
      <c r="O381" s="63">
        <f>2822+79576+1529+57939</f>
        <v>141866</v>
      </c>
      <c r="P381" s="21">
        <f>37574+279246+5265+60880</f>
        <v>382965</v>
      </c>
      <c r="Q381" s="21">
        <v>0</v>
      </c>
      <c r="R381" s="89">
        <f t="shared" si="54"/>
        <v>524831</v>
      </c>
      <c r="S381" s="65">
        <f t="shared" si="44"/>
        <v>1513841</v>
      </c>
      <c r="T381" s="34">
        <f>82267+71+3</f>
        <v>82341</v>
      </c>
      <c r="U381" s="34">
        <v>80440</v>
      </c>
      <c r="V381" s="34">
        <v>1631</v>
      </c>
      <c r="W381" s="34">
        <v>0</v>
      </c>
      <c r="X381" s="89">
        <f t="shared" si="51"/>
        <v>164412</v>
      </c>
      <c r="Y381" s="65">
        <f t="shared" si="55"/>
        <v>1678253</v>
      </c>
    </row>
    <row r="382" spans="1:25" s="21" customFormat="1" ht="12.75" hidden="1" customHeight="1" x14ac:dyDescent="0.25">
      <c r="A382" s="24"/>
      <c r="B382" s="25"/>
      <c r="C382" s="27"/>
      <c r="G382" s="89"/>
      <c r="H382" s="65"/>
      <c r="I382" s="34"/>
      <c r="K382" s="27"/>
      <c r="L382" s="27"/>
      <c r="M382" s="21">
        <v>0</v>
      </c>
      <c r="N382" s="68"/>
      <c r="O382" s="63"/>
      <c r="R382" s="89"/>
      <c r="S382" s="65">
        <f t="shared" si="44"/>
        <v>0</v>
      </c>
      <c r="T382" s="34"/>
      <c r="U382" s="34"/>
      <c r="V382" s="34"/>
      <c r="W382" s="34"/>
      <c r="X382" s="89"/>
      <c r="Y382" s="65"/>
    </row>
    <row r="383" spans="1:25" s="21" customFormat="1" ht="12.75" hidden="1" customHeight="1" x14ac:dyDescent="0.25">
      <c r="A383" s="24" t="s">
        <v>183</v>
      </c>
      <c r="B383" s="25"/>
      <c r="C383" s="27">
        <f t="shared" ref="C383:C394" si="57">IF((G383-D383-E383)&gt;C175,C175,G383-D383-E383)</f>
        <v>155031</v>
      </c>
      <c r="D383" s="21">
        <v>16650</v>
      </c>
      <c r="E383" s="21">
        <v>53538</v>
      </c>
      <c r="F383" s="21">
        <v>0</v>
      </c>
      <c r="G383" s="89">
        <f>277615-(48264+3194+69+869)</f>
        <v>225219</v>
      </c>
      <c r="H383" s="65">
        <v>0</v>
      </c>
      <c r="I383" s="34">
        <f>156371+3194-J383</f>
        <v>139234</v>
      </c>
      <c r="J383" s="21">
        <f>20069+262</f>
        <v>20331</v>
      </c>
      <c r="K383" s="27">
        <f>609118+869</f>
        <v>609987</v>
      </c>
      <c r="L383" s="27">
        <v>0</v>
      </c>
      <c r="M383" s="21">
        <v>0</v>
      </c>
      <c r="N383" s="68">
        <f>SUM(I383:M383)</f>
        <v>769552</v>
      </c>
      <c r="O383" s="63">
        <f>2892+79961+1604+58441</f>
        <v>142898</v>
      </c>
      <c r="P383" s="21">
        <f>38366+283304+5402+61397</f>
        <v>388469</v>
      </c>
      <c r="Q383" s="21">
        <v>0</v>
      </c>
      <c r="R383" s="89">
        <f>SUM(O383:Q383)</f>
        <v>531367</v>
      </c>
      <c r="S383" s="65">
        <f t="shared" si="44"/>
        <v>1526138</v>
      </c>
      <c r="T383" s="34">
        <f>82912+69+2</f>
        <v>82983</v>
      </c>
      <c r="U383" s="34">
        <v>80251</v>
      </c>
      <c r="V383" s="34">
        <v>1651</v>
      </c>
      <c r="W383" s="34">
        <v>0</v>
      </c>
      <c r="X383" s="89">
        <f t="shared" si="51"/>
        <v>164885</v>
      </c>
      <c r="Y383" s="65">
        <f t="shared" ref="Y383:Y394" si="58">X383+S383</f>
        <v>1691023</v>
      </c>
    </row>
    <row r="384" spans="1:25" s="21" customFormat="1" ht="12.75" hidden="1" customHeight="1" x14ac:dyDescent="0.25">
      <c r="A384" s="24" t="s">
        <v>184</v>
      </c>
      <c r="B384" s="25"/>
      <c r="C384" s="27">
        <f t="shared" si="57"/>
        <v>154949</v>
      </c>
      <c r="D384" s="21">
        <v>16726</v>
      </c>
      <c r="E384" s="21">
        <v>53702</v>
      </c>
      <c r="F384" s="21">
        <v>0</v>
      </c>
      <c r="G384" s="89">
        <f>279232-(49687+3226+71+871)</f>
        <v>225377</v>
      </c>
      <c r="H384" s="65">
        <v>0</v>
      </c>
      <c r="I384" s="34">
        <f>158272+3226-J384</f>
        <v>140810</v>
      </c>
      <c r="J384" s="21">
        <f>20426+262</f>
        <v>20688</v>
      </c>
      <c r="K384" s="27">
        <f>613152+871</f>
        <v>614023</v>
      </c>
      <c r="L384" s="27">
        <v>0</v>
      </c>
      <c r="M384" s="21">
        <v>0</v>
      </c>
      <c r="N384" s="68">
        <f t="shared" ref="N384:N394" si="59">SUM(I384:M384)</f>
        <v>775521</v>
      </c>
      <c r="O384" s="63">
        <f>2968+80317+1658+58843</f>
        <v>143786</v>
      </c>
      <c r="P384" s="21">
        <f>39468+287180+5593+61886</f>
        <v>394127</v>
      </c>
      <c r="Q384" s="21">
        <v>0</v>
      </c>
      <c r="R384" s="89">
        <f t="shared" ref="R384:R394" si="60">SUM(O384:Q384)</f>
        <v>537913</v>
      </c>
      <c r="S384" s="65">
        <f t="shared" si="44"/>
        <v>1538811</v>
      </c>
      <c r="T384" s="34">
        <f>83683+71+2</f>
        <v>83756</v>
      </c>
      <c r="U384" s="34">
        <v>80233</v>
      </c>
      <c r="V384" s="34">
        <v>1943</v>
      </c>
      <c r="W384" s="34">
        <v>0</v>
      </c>
      <c r="X384" s="89">
        <f t="shared" si="51"/>
        <v>165932</v>
      </c>
      <c r="Y384" s="65">
        <f t="shared" si="58"/>
        <v>1704743</v>
      </c>
    </row>
    <row r="385" spans="1:25" s="21" customFormat="1" ht="12.75" hidden="1" customHeight="1" x14ac:dyDescent="0.25">
      <c r="A385" s="24" t="s">
        <v>185</v>
      </c>
      <c r="B385" s="25"/>
      <c r="C385" s="27">
        <f t="shared" si="57"/>
        <v>155354</v>
      </c>
      <c r="D385" s="21">
        <v>16771</v>
      </c>
      <c r="E385" s="21">
        <v>53878</v>
      </c>
      <c r="F385" s="21">
        <v>0</v>
      </c>
      <c r="G385" s="89">
        <f>280994-(50747+3290+71+883)</f>
        <v>226003</v>
      </c>
      <c r="H385" s="65">
        <v>0</v>
      </c>
      <c r="I385" s="34">
        <f>160382+3290-J385</f>
        <v>142593</v>
      </c>
      <c r="J385" s="21">
        <f>20812+267</f>
        <v>21079</v>
      </c>
      <c r="K385" s="27">
        <f>618469+883</f>
        <v>619352</v>
      </c>
      <c r="L385" s="27">
        <v>0</v>
      </c>
      <c r="M385" s="21">
        <v>0</v>
      </c>
      <c r="N385" s="68">
        <f t="shared" si="59"/>
        <v>783024</v>
      </c>
      <c r="O385" s="63">
        <f>3020+80760+1706+59761</f>
        <v>145247</v>
      </c>
      <c r="P385" s="21">
        <f>40276+294602+5745+63177</f>
        <v>403800</v>
      </c>
      <c r="Q385" s="21">
        <v>0</v>
      </c>
      <c r="R385" s="89">
        <f t="shared" si="60"/>
        <v>549047</v>
      </c>
      <c r="S385" s="65">
        <f t="shared" si="44"/>
        <v>1558074</v>
      </c>
      <c r="T385" s="34">
        <f>84887+71+1</f>
        <v>84959</v>
      </c>
      <c r="U385" s="34">
        <v>80075</v>
      </c>
      <c r="V385" s="34">
        <v>2692</v>
      </c>
      <c r="W385" s="34">
        <v>0</v>
      </c>
      <c r="X385" s="89">
        <f t="shared" si="51"/>
        <v>167726</v>
      </c>
      <c r="Y385" s="65">
        <f t="shared" si="58"/>
        <v>1725800</v>
      </c>
    </row>
    <row r="386" spans="1:25" s="21" customFormat="1" ht="12.75" hidden="1" customHeight="1" x14ac:dyDescent="0.25">
      <c r="A386" s="24" t="s">
        <v>186</v>
      </c>
      <c r="B386" s="25"/>
      <c r="C386" s="27">
        <f t="shared" si="57"/>
        <v>156040</v>
      </c>
      <c r="D386" s="21">
        <v>16797</v>
      </c>
      <c r="E386" s="21">
        <v>53767</v>
      </c>
      <c r="F386" s="21">
        <v>0</v>
      </c>
      <c r="G386" s="89">
        <f>282630-(51722+3351+70+883)</f>
        <v>226604</v>
      </c>
      <c r="H386" s="65">
        <v>0</v>
      </c>
      <c r="I386" s="34">
        <f>162022+3351-J386</f>
        <v>143994</v>
      </c>
      <c r="J386" s="21">
        <f>21104+275</f>
        <v>21379</v>
      </c>
      <c r="K386" s="27">
        <f>622898+883</f>
        <v>623781</v>
      </c>
      <c r="L386" s="27">
        <v>0</v>
      </c>
      <c r="M386" s="21">
        <v>0</v>
      </c>
      <c r="N386" s="68">
        <f t="shared" si="59"/>
        <v>789154</v>
      </c>
      <c r="O386" s="63">
        <f>3073+81158+1746+60401</f>
        <v>146378</v>
      </c>
      <c r="P386" s="21">
        <f>41029+300045+5874+63875</f>
        <v>410823</v>
      </c>
      <c r="Q386" s="21">
        <v>0</v>
      </c>
      <c r="R386" s="89">
        <f t="shared" si="60"/>
        <v>557201</v>
      </c>
      <c r="S386" s="65">
        <f t="shared" si="44"/>
        <v>1572959</v>
      </c>
      <c r="T386" s="34">
        <f>85945+70+0</f>
        <v>86015</v>
      </c>
      <c r="U386" s="34">
        <v>79796</v>
      </c>
      <c r="V386" s="34">
        <v>3314</v>
      </c>
      <c r="W386" s="34">
        <v>0</v>
      </c>
      <c r="X386" s="89">
        <f t="shared" si="51"/>
        <v>169125</v>
      </c>
      <c r="Y386" s="65">
        <f t="shared" si="58"/>
        <v>1742084</v>
      </c>
    </row>
    <row r="387" spans="1:25" s="21" customFormat="1" ht="12.75" hidden="1" customHeight="1" x14ac:dyDescent="0.25">
      <c r="A387" s="24" t="s">
        <v>187</v>
      </c>
      <c r="B387" s="25"/>
      <c r="C387" s="27">
        <f t="shared" si="57"/>
        <v>155857</v>
      </c>
      <c r="D387" s="21">
        <v>17011</v>
      </c>
      <c r="E387" s="21">
        <v>54340</v>
      </c>
      <c r="F387" s="21">
        <v>0</v>
      </c>
      <c r="G387" s="89">
        <f>284528-(52916+3430+72+902)</f>
        <v>227208</v>
      </c>
      <c r="H387" s="65">
        <v>0</v>
      </c>
      <c r="I387" s="34">
        <f>163832+3430-J387</f>
        <v>145565</v>
      </c>
      <c r="J387" s="21">
        <f>21413+284</f>
        <v>21697</v>
      </c>
      <c r="K387" s="27">
        <f>626479+902</f>
        <v>627381</v>
      </c>
      <c r="L387" s="27">
        <v>0</v>
      </c>
      <c r="M387" s="21">
        <v>0</v>
      </c>
      <c r="N387" s="68">
        <f t="shared" si="59"/>
        <v>794643</v>
      </c>
      <c r="O387" s="63">
        <f>3111+81230+1787+61051</f>
        <v>147179</v>
      </c>
      <c r="P387" s="21">
        <f>42014+305099+6004+64369</f>
        <v>417486</v>
      </c>
      <c r="Q387" s="21">
        <v>0</v>
      </c>
      <c r="R387" s="89">
        <f t="shared" si="60"/>
        <v>564665</v>
      </c>
      <c r="S387" s="65">
        <f t="shared" si="44"/>
        <v>1586516</v>
      </c>
      <c r="T387" s="34">
        <f>87122+72+0</f>
        <v>87194</v>
      </c>
      <c r="U387" s="34">
        <v>79753</v>
      </c>
      <c r="V387" s="34">
        <v>3802</v>
      </c>
      <c r="W387" s="34">
        <v>0</v>
      </c>
      <c r="X387" s="89">
        <f t="shared" si="51"/>
        <v>170749</v>
      </c>
      <c r="Y387" s="65">
        <f t="shared" si="58"/>
        <v>1757265</v>
      </c>
    </row>
    <row r="388" spans="1:25" s="21" customFormat="1" ht="12.75" hidden="1" customHeight="1" x14ac:dyDescent="0.25">
      <c r="A388" s="24" t="s">
        <v>188</v>
      </c>
      <c r="B388" s="25"/>
      <c r="C388" s="27">
        <f t="shared" si="57"/>
        <v>156132</v>
      </c>
      <c r="D388" s="21">
        <v>16960</v>
      </c>
      <c r="E388" s="21">
        <v>54589</v>
      </c>
      <c r="F388" s="21">
        <v>0</v>
      </c>
      <c r="G388" s="89">
        <f>286067-(53908+3492+75+911)</f>
        <v>227681</v>
      </c>
      <c r="H388" s="65">
        <v>0</v>
      </c>
      <c r="I388" s="34">
        <f>163716+3492-J388</f>
        <v>148656</v>
      </c>
      <c r="J388" s="21">
        <f>18280+272</f>
        <v>18552</v>
      </c>
      <c r="K388" s="27">
        <f>630923+911</f>
        <v>631834</v>
      </c>
      <c r="L388" s="27">
        <v>0</v>
      </c>
      <c r="M388" s="21">
        <v>0</v>
      </c>
      <c r="N388" s="68">
        <f t="shared" si="59"/>
        <v>799042</v>
      </c>
      <c r="O388" s="63">
        <f>82683+3214+62652+1815</f>
        <v>150364</v>
      </c>
      <c r="P388" s="21">
        <f>311707+42757+65757+6211</f>
        <v>426432</v>
      </c>
      <c r="Q388" s="21">
        <v>0</v>
      </c>
      <c r="R388" s="89">
        <f t="shared" si="60"/>
        <v>576796</v>
      </c>
      <c r="S388" s="65">
        <f t="shared" si="44"/>
        <v>1603519</v>
      </c>
      <c r="T388" s="34">
        <f>88117+75+0</f>
        <v>88192</v>
      </c>
      <c r="U388" s="34">
        <v>79829</v>
      </c>
      <c r="V388" s="34">
        <v>4243</v>
      </c>
      <c r="W388" s="34">
        <v>0</v>
      </c>
      <c r="X388" s="89">
        <f t="shared" si="51"/>
        <v>172264</v>
      </c>
      <c r="Y388" s="65">
        <f t="shared" si="58"/>
        <v>1775783</v>
      </c>
    </row>
    <row r="389" spans="1:25" s="21" customFormat="1" ht="12.75" hidden="1" customHeight="1" x14ac:dyDescent="0.25">
      <c r="A389" s="24" t="s">
        <v>189</v>
      </c>
      <c r="B389" s="25"/>
      <c r="C389" s="27">
        <f t="shared" si="57"/>
        <v>156312</v>
      </c>
      <c r="D389" s="21">
        <v>16989</v>
      </c>
      <c r="E389" s="21">
        <v>54745</v>
      </c>
      <c r="F389" s="21">
        <v>0</v>
      </c>
      <c r="G389" s="89">
        <f>287884-(55298+3545+77+918)</f>
        <v>228046</v>
      </c>
      <c r="H389" s="65">
        <v>0</v>
      </c>
      <c r="I389" s="34">
        <f>166106+3545-J389</f>
        <v>150650</v>
      </c>
      <c r="J389" s="21">
        <f>18717+284</f>
        <v>19001</v>
      </c>
      <c r="K389" s="27">
        <f>635968+918</f>
        <v>636886</v>
      </c>
      <c r="L389" s="27">
        <v>0</v>
      </c>
      <c r="M389" s="21">
        <v>0</v>
      </c>
      <c r="N389" s="68">
        <f t="shared" si="59"/>
        <v>806537</v>
      </c>
      <c r="O389" s="63">
        <f>82928+3289+63675+1903</f>
        <v>151795</v>
      </c>
      <c r="P389" s="21">
        <f>318045+43775+67523+6331</f>
        <v>435674</v>
      </c>
      <c r="Q389" s="21">
        <v>0</v>
      </c>
      <c r="R389" s="89">
        <f t="shared" si="60"/>
        <v>587469</v>
      </c>
      <c r="S389" s="65">
        <f t="shared" si="44"/>
        <v>1622052</v>
      </c>
      <c r="T389" s="34">
        <f>89707+77+0</f>
        <v>89784</v>
      </c>
      <c r="U389" s="34">
        <v>79814</v>
      </c>
      <c r="V389" s="34">
        <v>4510</v>
      </c>
      <c r="W389" s="34">
        <v>0</v>
      </c>
      <c r="X389" s="89">
        <f t="shared" si="51"/>
        <v>174108</v>
      </c>
      <c r="Y389" s="65">
        <f t="shared" si="58"/>
        <v>1796160</v>
      </c>
    </row>
    <row r="390" spans="1:25" s="21" customFormat="1" ht="12.75" hidden="1" customHeight="1" x14ac:dyDescent="0.25">
      <c r="A390" s="24" t="s">
        <v>190</v>
      </c>
      <c r="B390" s="25"/>
      <c r="C390" s="27">
        <f t="shared" si="57"/>
        <v>156488</v>
      </c>
      <c r="D390" s="21">
        <v>16901</v>
      </c>
      <c r="E390" s="21">
        <v>54714</v>
      </c>
      <c r="F390" s="21">
        <v>0</v>
      </c>
      <c r="G390" s="89">
        <f>288908-(56223+3584+77+921)</f>
        <v>228103</v>
      </c>
      <c r="H390" s="65">
        <v>0</v>
      </c>
      <c r="I390" s="34">
        <f>167188+3584-J390</f>
        <v>152106</v>
      </c>
      <c r="J390" s="21">
        <f>18381+285</f>
        <v>18666</v>
      </c>
      <c r="K390" s="27">
        <f>640097+921</f>
        <v>641018</v>
      </c>
      <c r="L390" s="27">
        <v>0</v>
      </c>
      <c r="M390" s="21">
        <v>0</v>
      </c>
      <c r="N390" s="68">
        <f t="shared" si="59"/>
        <v>811790</v>
      </c>
      <c r="O390" s="63">
        <f>83371+3305+64528+1942</f>
        <v>153146</v>
      </c>
      <c r="P390" s="21">
        <f>323173+44493+68561+6483</f>
        <v>442710</v>
      </c>
      <c r="Q390" s="21">
        <v>0</v>
      </c>
      <c r="R390" s="89">
        <f t="shared" si="60"/>
        <v>595856</v>
      </c>
      <c r="S390" s="65">
        <f t="shared" si="44"/>
        <v>1635749</v>
      </c>
      <c r="T390" s="34">
        <f>90868+77+1</f>
        <v>90946</v>
      </c>
      <c r="U390" s="34">
        <v>80044</v>
      </c>
      <c r="V390" s="34">
        <v>4627</v>
      </c>
      <c r="W390" s="34">
        <v>0</v>
      </c>
      <c r="X390" s="89">
        <f t="shared" si="51"/>
        <v>175617</v>
      </c>
      <c r="Y390" s="65">
        <f t="shared" si="58"/>
        <v>1811366</v>
      </c>
    </row>
    <row r="391" spans="1:25" s="21" customFormat="1" ht="12.75" hidden="1" customHeight="1" x14ac:dyDescent="0.25">
      <c r="A391" s="24" t="s">
        <v>191</v>
      </c>
      <c r="B391" s="25"/>
      <c r="C391" s="27">
        <f t="shared" si="57"/>
        <v>157140</v>
      </c>
      <c r="D391" s="21">
        <v>16844</v>
      </c>
      <c r="E391" s="21">
        <v>54760</v>
      </c>
      <c r="F391" s="21">
        <v>0</v>
      </c>
      <c r="G391" s="89">
        <f>290701-(57308+3630+75+944)</f>
        <v>228744</v>
      </c>
      <c r="H391" s="65">
        <v>0</v>
      </c>
      <c r="I391" s="34">
        <f>168775+3630-J391</f>
        <v>153721</v>
      </c>
      <c r="J391" s="21">
        <f>18400+284</f>
        <v>18684</v>
      </c>
      <c r="K391" s="27">
        <f>644095+944</f>
        <v>645039</v>
      </c>
      <c r="L391" s="27">
        <v>0</v>
      </c>
      <c r="M391" s="21">
        <v>0</v>
      </c>
      <c r="N391" s="68">
        <f t="shared" si="59"/>
        <v>817444</v>
      </c>
      <c r="O391" s="63">
        <f>83622+3338+65455+2011</f>
        <v>154426</v>
      </c>
      <c r="P391" s="21">
        <f>327318+45310+69176+6649</f>
        <v>448453</v>
      </c>
      <c r="Q391" s="21">
        <v>0</v>
      </c>
      <c r="R391" s="89">
        <f t="shared" si="60"/>
        <v>602879</v>
      </c>
      <c r="S391" s="65">
        <f t="shared" si="44"/>
        <v>1649067</v>
      </c>
      <c r="T391" s="34">
        <f>91883+75+1</f>
        <v>91959</v>
      </c>
      <c r="U391" s="34">
        <v>80203</v>
      </c>
      <c r="V391" s="34">
        <v>4931</v>
      </c>
      <c r="W391" s="34">
        <v>0</v>
      </c>
      <c r="X391" s="89">
        <f t="shared" si="51"/>
        <v>177093</v>
      </c>
      <c r="Y391" s="65">
        <f t="shared" si="58"/>
        <v>1826160</v>
      </c>
    </row>
    <row r="392" spans="1:25" s="21" customFormat="1" ht="12.75" hidden="1" customHeight="1" x14ac:dyDescent="0.25">
      <c r="A392" s="24" t="s">
        <v>192</v>
      </c>
      <c r="B392" s="25"/>
      <c r="C392" s="27">
        <f t="shared" si="57"/>
        <v>157107</v>
      </c>
      <c r="D392" s="21">
        <v>16925</v>
      </c>
      <c r="E392" s="21">
        <v>54989</v>
      </c>
      <c r="F392" s="21">
        <v>0</v>
      </c>
      <c r="G392" s="89">
        <f>292086-(58326+3701+76+962)</f>
        <v>229021</v>
      </c>
      <c r="H392" s="65">
        <v>0</v>
      </c>
      <c r="I392" s="34">
        <f>170050+3701-J392</f>
        <v>155253</v>
      </c>
      <c r="J392" s="21">
        <f>18202+296</f>
        <v>18498</v>
      </c>
      <c r="K392" s="27">
        <f>647784+962</f>
        <v>648746</v>
      </c>
      <c r="L392" s="27">
        <v>0</v>
      </c>
      <c r="M392" s="21">
        <v>0</v>
      </c>
      <c r="N392" s="68">
        <f t="shared" si="59"/>
        <v>822497</v>
      </c>
      <c r="O392" s="63">
        <f>83971+3360+66330+2061</f>
        <v>155722</v>
      </c>
      <c r="P392" s="21">
        <f>332799+46099+70062+6806</f>
        <v>455766</v>
      </c>
      <c r="Q392" s="21">
        <v>0</v>
      </c>
      <c r="R392" s="89">
        <f t="shared" si="60"/>
        <v>611488</v>
      </c>
      <c r="S392" s="65">
        <f t="shared" si="44"/>
        <v>1663006</v>
      </c>
      <c r="T392" s="34">
        <f>92814+76+3</f>
        <v>92893</v>
      </c>
      <c r="U392" s="34">
        <v>80359</v>
      </c>
      <c r="V392" s="34">
        <v>5204</v>
      </c>
      <c r="W392" s="34">
        <v>0</v>
      </c>
      <c r="X392" s="89">
        <f t="shared" si="51"/>
        <v>178456</v>
      </c>
      <c r="Y392" s="65">
        <f t="shared" si="58"/>
        <v>1841462</v>
      </c>
    </row>
    <row r="393" spans="1:25" s="21" customFormat="1" ht="12.75" hidden="1" customHeight="1" x14ac:dyDescent="0.25">
      <c r="A393" s="24" t="s">
        <v>193</v>
      </c>
      <c r="B393" s="25"/>
      <c r="C393" s="27">
        <f t="shared" si="57"/>
        <v>155919</v>
      </c>
      <c r="D393" s="21">
        <v>16936</v>
      </c>
      <c r="E393" s="21">
        <v>55321</v>
      </c>
      <c r="F393" s="21">
        <v>0</v>
      </c>
      <c r="G393" s="89">
        <f>292357-(59432+3717+75+957)</f>
        <v>228176</v>
      </c>
      <c r="H393" s="65">
        <v>0</v>
      </c>
      <c r="I393" s="34">
        <f>170735+3717-J393</f>
        <v>156056</v>
      </c>
      <c r="J393" s="21">
        <f>18099+297</f>
        <v>18396</v>
      </c>
      <c r="K393" s="27">
        <f>649770+957</f>
        <v>650727</v>
      </c>
      <c r="L393" s="27">
        <v>0</v>
      </c>
      <c r="M393" s="21">
        <v>0</v>
      </c>
      <c r="N393" s="68">
        <f t="shared" si="59"/>
        <v>825179</v>
      </c>
      <c r="O393" s="63">
        <f>84295+3412+67370+2121</f>
        <v>157198</v>
      </c>
      <c r="P393" s="21">
        <f>339586+47008+70698+6891</f>
        <v>464183</v>
      </c>
      <c r="Q393" s="21">
        <v>0</v>
      </c>
      <c r="R393" s="89">
        <f t="shared" si="60"/>
        <v>621381</v>
      </c>
      <c r="S393" s="65">
        <f t="shared" si="44"/>
        <v>1674736</v>
      </c>
      <c r="T393" s="34">
        <f>93686+75+1</f>
        <v>93762</v>
      </c>
      <c r="U393" s="34">
        <v>79327</v>
      </c>
      <c r="V393" s="34">
        <v>5430</v>
      </c>
      <c r="W393" s="34">
        <v>0</v>
      </c>
      <c r="X393" s="89">
        <f t="shared" si="51"/>
        <v>178519</v>
      </c>
      <c r="Y393" s="65">
        <f t="shared" si="58"/>
        <v>1853255</v>
      </c>
    </row>
    <row r="394" spans="1:25" s="21" customFormat="1" ht="12.75" hidden="1" customHeight="1" x14ac:dyDescent="0.25">
      <c r="A394" s="24" t="s">
        <v>194</v>
      </c>
      <c r="B394" s="25"/>
      <c r="C394" s="27">
        <f t="shared" si="57"/>
        <v>157705</v>
      </c>
      <c r="D394" s="21">
        <v>16723</v>
      </c>
      <c r="E394" s="21">
        <v>55386</v>
      </c>
      <c r="F394" s="21">
        <v>0</v>
      </c>
      <c r="G394" s="89">
        <f>295296-(60659+3782+77+964)</f>
        <v>229814</v>
      </c>
      <c r="H394" s="65">
        <v>0</v>
      </c>
      <c r="I394" s="34">
        <f>171469+3782-J394</f>
        <v>157019</v>
      </c>
      <c r="J394" s="21">
        <f>17933+299</f>
        <v>18232</v>
      </c>
      <c r="K394" s="27">
        <f>652246+964</f>
        <v>653210</v>
      </c>
      <c r="L394" s="27">
        <v>0</v>
      </c>
      <c r="M394" s="21">
        <v>0</v>
      </c>
      <c r="N394" s="68">
        <f t="shared" si="59"/>
        <v>828461</v>
      </c>
      <c r="O394" s="63">
        <f>84875+3444+67929+2177</f>
        <v>158425</v>
      </c>
      <c r="P394" s="21">
        <f>344404+47955+71168+7083</f>
        <v>470610</v>
      </c>
      <c r="Q394" s="21">
        <v>0</v>
      </c>
      <c r="R394" s="89">
        <f t="shared" si="60"/>
        <v>629035</v>
      </c>
      <c r="S394" s="65">
        <f t="shared" si="44"/>
        <v>1687310</v>
      </c>
      <c r="T394" s="34">
        <f>94469+77+2</f>
        <v>94548</v>
      </c>
      <c r="U394" s="34">
        <v>78442</v>
      </c>
      <c r="V394" s="34">
        <v>5797</v>
      </c>
      <c r="W394" s="34">
        <v>0</v>
      </c>
      <c r="X394" s="89">
        <f t="shared" si="51"/>
        <v>178787</v>
      </c>
      <c r="Y394" s="65">
        <f t="shared" si="58"/>
        <v>1866097</v>
      </c>
    </row>
    <row r="395" spans="1:25" s="21" customFormat="1" ht="12.75" hidden="1" customHeight="1" x14ac:dyDescent="0.25">
      <c r="A395" s="60"/>
      <c r="B395" s="25"/>
      <c r="C395" s="27"/>
      <c r="G395" s="89"/>
      <c r="H395" s="65"/>
      <c r="I395" s="34"/>
      <c r="K395" s="27"/>
      <c r="L395" s="27"/>
      <c r="M395" s="21">
        <v>0</v>
      </c>
      <c r="N395" s="68"/>
      <c r="O395" s="63"/>
      <c r="R395" s="89"/>
      <c r="S395" s="65">
        <f t="shared" si="44"/>
        <v>0</v>
      </c>
      <c r="T395" s="34"/>
      <c r="U395" s="34"/>
      <c r="V395" s="34"/>
      <c r="W395" s="34"/>
      <c r="X395" s="89"/>
      <c r="Y395" s="65"/>
    </row>
    <row r="396" spans="1:25" s="21" customFormat="1" ht="12.75" hidden="1" customHeight="1" x14ac:dyDescent="0.25">
      <c r="A396" s="24" t="s">
        <v>195</v>
      </c>
      <c r="B396" s="25"/>
      <c r="C396" s="27">
        <f t="shared" ref="C396:C407" si="61">IF((G396-D396-E396)&gt;C188,C188,G396-D396-E396)</f>
        <v>157721</v>
      </c>
      <c r="D396" s="21">
        <v>16942</v>
      </c>
      <c r="E396" s="21">
        <v>55729</v>
      </c>
      <c r="F396" s="21">
        <v>0</v>
      </c>
      <c r="G396" s="89">
        <f>296909-(61671+3795+76+975)</f>
        <v>230392</v>
      </c>
      <c r="H396" s="65">
        <v>0</v>
      </c>
      <c r="I396" s="34">
        <f>173235+3795-J396</f>
        <v>158636</v>
      </c>
      <c r="J396" s="21">
        <f>18099+295</f>
        <v>18394</v>
      </c>
      <c r="K396" s="27">
        <f>655568+975</f>
        <v>656543</v>
      </c>
      <c r="L396" s="27">
        <v>0</v>
      </c>
      <c r="M396" s="21">
        <v>0</v>
      </c>
      <c r="N396" s="68">
        <f>SUM(I396:M396)</f>
        <v>833573</v>
      </c>
      <c r="O396" s="63">
        <f>85219+3519+68312+2247</f>
        <v>159297</v>
      </c>
      <c r="P396" s="21">
        <f>347455+48699+71366+7206</f>
        <v>474726</v>
      </c>
      <c r="Q396" s="21">
        <v>0</v>
      </c>
      <c r="R396" s="89">
        <f>SUM(O396:Q396)</f>
        <v>634023</v>
      </c>
      <c r="S396" s="65">
        <f t="shared" si="44"/>
        <v>1697988</v>
      </c>
      <c r="T396" s="34">
        <f>95118+76+1</f>
        <v>95195</v>
      </c>
      <c r="U396" s="34">
        <v>78547</v>
      </c>
      <c r="V396" s="34">
        <v>5922</v>
      </c>
      <c r="W396" s="34">
        <v>0</v>
      </c>
      <c r="X396" s="89">
        <f t="shared" si="51"/>
        <v>179664</v>
      </c>
      <c r="Y396" s="65">
        <f t="shared" ref="Y396:Y424" si="62">X396+S396</f>
        <v>1877652</v>
      </c>
    </row>
    <row r="397" spans="1:25" s="21" customFormat="1" ht="12.75" hidden="1" customHeight="1" x14ac:dyDescent="0.25">
      <c r="A397" s="24" t="s">
        <v>202</v>
      </c>
      <c r="B397" s="25"/>
      <c r="C397" s="27">
        <f t="shared" si="61"/>
        <v>157778</v>
      </c>
      <c r="D397" s="21">
        <v>17014</v>
      </c>
      <c r="E397" s="21">
        <v>56027</v>
      </c>
      <c r="F397" s="21">
        <v>0</v>
      </c>
      <c r="G397" s="89">
        <f>298403-(62640+3872+78+994)</f>
        <v>230819</v>
      </c>
      <c r="H397" s="65">
        <v>0</v>
      </c>
      <c r="I397" s="34">
        <f>175385+3872-J397</f>
        <v>159925</v>
      </c>
      <c r="J397" s="21">
        <f>19025+307</f>
        <v>19332</v>
      </c>
      <c r="K397" s="27">
        <f>658526+994</f>
        <v>659520</v>
      </c>
      <c r="L397" s="27">
        <v>0</v>
      </c>
      <c r="M397" s="21">
        <v>0</v>
      </c>
      <c r="N397" s="68">
        <f t="shared" ref="N397:N407" si="63">SUM(I397:M397)</f>
        <v>838777</v>
      </c>
      <c r="O397" s="63">
        <f>85329+3558+68657+2290</f>
        <v>159834</v>
      </c>
      <c r="P397" s="21">
        <f>350714+49494+71490+7298</f>
        <v>478996</v>
      </c>
      <c r="Q397" s="21">
        <v>0</v>
      </c>
      <c r="R397" s="89">
        <f t="shared" ref="R397:R407" si="64">SUM(O397:Q397)</f>
        <v>638830</v>
      </c>
      <c r="S397" s="65">
        <f t="shared" si="44"/>
        <v>1708426</v>
      </c>
      <c r="T397" s="34">
        <f>95913+78+2</f>
        <v>95993</v>
      </c>
      <c r="U397" s="34">
        <v>78673</v>
      </c>
      <c r="V397" s="34">
        <v>5982</v>
      </c>
      <c r="W397" s="34">
        <v>142</v>
      </c>
      <c r="X397" s="89">
        <f t="shared" si="51"/>
        <v>180790</v>
      </c>
      <c r="Y397" s="65">
        <f t="shared" si="62"/>
        <v>1889216</v>
      </c>
    </row>
    <row r="398" spans="1:25" s="21" customFormat="1" ht="12.75" hidden="1" customHeight="1" x14ac:dyDescent="0.25">
      <c r="A398" s="24" t="s">
        <v>203</v>
      </c>
      <c r="B398" s="25"/>
      <c r="C398" s="27">
        <f t="shared" si="61"/>
        <v>157369</v>
      </c>
      <c r="D398" s="21">
        <v>17021</v>
      </c>
      <c r="E398" s="21">
        <v>56297</v>
      </c>
      <c r="F398" s="21">
        <v>0</v>
      </c>
      <c r="G398" s="89">
        <f>299418-(63749+3903+79+1000)</f>
        <v>230687</v>
      </c>
      <c r="H398" s="65">
        <v>0</v>
      </c>
      <c r="I398" s="34">
        <f>176968+3903-J398</f>
        <v>160218</v>
      </c>
      <c r="J398" s="21">
        <f>20339+314</f>
        <v>20653</v>
      </c>
      <c r="K398" s="27">
        <f>659640+1000</f>
        <v>660640</v>
      </c>
      <c r="L398" s="27">
        <v>0</v>
      </c>
      <c r="M398" s="21">
        <v>0</v>
      </c>
      <c r="N398" s="68">
        <f t="shared" si="63"/>
        <v>841511</v>
      </c>
      <c r="O398" s="63">
        <f>85055+3597+68948+2356</f>
        <v>159956</v>
      </c>
      <c r="P398" s="21">
        <f>355104+50378+71884+7418</f>
        <v>484784</v>
      </c>
      <c r="Q398" s="21">
        <v>0</v>
      </c>
      <c r="R398" s="89">
        <f t="shared" si="64"/>
        <v>644740</v>
      </c>
      <c r="S398" s="65">
        <f t="shared" si="44"/>
        <v>1716938</v>
      </c>
      <c r="T398" s="34">
        <f>96837+79+1</f>
        <v>96917</v>
      </c>
      <c r="U398" s="34">
        <v>79083</v>
      </c>
      <c r="V398" s="34">
        <v>5807</v>
      </c>
      <c r="W398" s="34">
        <v>850</v>
      </c>
      <c r="X398" s="89">
        <f t="shared" si="51"/>
        <v>182657</v>
      </c>
      <c r="Y398" s="65">
        <f t="shared" si="62"/>
        <v>1899595</v>
      </c>
    </row>
    <row r="399" spans="1:25" s="21" customFormat="1" ht="12.75" hidden="1" customHeight="1" x14ac:dyDescent="0.25">
      <c r="A399" s="24" t="s">
        <v>204</v>
      </c>
      <c r="B399" s="25"/>
      <c r="C399" s="27">
        <f t="shared" si="61"/>
        <v>157005</v>
      </c>
      <c r="D399" s="21">
        <v>17096</v>
      </c>
      <c r="E399" s="21">
        <v>56581</v>
      </c>
      <c r="F399" s="21">
        <v>0</v>
      </c>
      <c r="G399" s="89">
        <f>300809-(65080+3949+78+1020)</f>
        <v>230682</v>
      </c>
      <c r="H399" s="65">
        <v>0</v>
      </c>
      <c r="I399" s="34">
        <f>178133+3949-J399</f>
        <v>160438</v>
      </c>
      <c r="J399" s="21">
        <f>21325+319</f>
        <v>21644</v>
      </c>
      <c r="K399" s="27">
        <f>660067+1020</f>
        <v>661087</v>
      </c>
      <c r="L399" s="27">
        <v>0</v>
      </c>
      <c r="M399" s="21">
        <v>0</v>
      </c>
      <c r="N399" s="68">
        <f t="shared" si="63"/>
        <v>843169</v>
      </c>
      <c r="O399" s="63">
        <f>84900+3698+69288+2426</f>
        <v>160312</v>
      </c>
      <c r="P399" s="21">
        <f>358710+51397+71877+7559</f>
        <v>489543</v>
      </c>
      <c r="Q399" s="21">
        <v>0</v>
      </c>
      <c r="R399" s="89">
        <f t="shared" si="64"/>
        <v>649855</v>
      </c>
      <c r="S399" s="65">
        <f t="shared" si="44"/>
        <v>1723706</v>
      </c>
      <c r="T399" s="34">
        <f>97682+78+2</f>
        <v>97762</v>
      </c>
      <c r="U399" s="34">
        <v>79604</v>
      </c>
      <c r="V399" s="34">
        <v>5574</v>
      </c>
      <c r="W399" s="34">
        <v>1272</v>
      </c>
      <c r="X399" s="89">
        <f t="shared" si="51"/>
        <v>184212</v>
      </c>
      <c r="Y399" s="65">
        <f t="shared" si="62"/>
        <v>1907918</v>
      </c>
    </row>
    <row r="400" spans="1:25" s="21" customFormat="1" ht="12.75" hidden="1" customHeight="1" x14ac:dyDescent="0.25">
      <c r="A400" s="24" t="s">
        <v>205</v>
      </c>
      <c r="B400" s="25"/>
      <c r="C400" s="27">
        <f t="shared" si="61"/>
        <v>156797</v>
      </c>
      <c r="D400" s="21">
        <v>17138</v>
      </c>
      <c r="E400" s="21">
        <v>56937</v>
      </c>
      <c r="F400" s="21">
        <v>0</v>
      </c>
      <c r="G400" s="89">
        <f>302378-(66354+4056+77+1019)</f>
        <v>230872</v>
      </c>
      <c r="H400" s="65">
        <v>0</v>
      </c>
      <c r="I400" s="34">
        <f>179781+4056-J400</f>
        <v>161270</v>
      </c>
      <c r="J400" s="21">
        <f>22241+326</f>
        <v>22567</v>
      </c>
      <c r="K400" s="27">
        <f>662427+1019</f>
        <v>663446</v>
      </c>
      <c r="L400" s="27">
        <v>0</v>
      </c>
      <c r="M400" s="21">
        <v>0</v>
      </c>
      <c r="N400" s="68">
        <f t="shared" si="63"/>
        <v>847283</v>
      </c>
      <c r="O400" s="63">
        <f>84995+3767+69683+2483</f>
        <v>160928</v>
      </c>
      <c r="P400" s="21">
        <f>362830+52367+71913+7737</f>
        <v>494847</v>
      </c>
      <c r="Q400" s="21">
        <v>0</v>
      </c>
      <c r="R400" s="89">
        <f t="shared" si="64"/>
        <v>655775</v>
      </c>
      <c r="S400" s="65">
        <f t="shared" si="44"/>
        <v>1733930</v>
      </c>
      <c r="T400" s="34">
        <f>98661+77+0</f>
        <v>98738</v>
      </c>
      <c r="U400" s="34">
        <v>80150</v>
      </c>
      <c r="V400" s="34">
        <v>5180</v>
      </c>
      <c r="W400" s="34">
        <v>1710</v>
      </c>
      <c r="X400" s="89">
        <f t="shared" si="51"/>
        <v>185778</v>
      </c>
      <c r="Y400" s="65">
        <f t="shared" si="62"/>
        <v>1919708</v>
      </c>
    </row>
    <row r="401" spans="1:25" s="21" customFormat="1" ht="12.75" hidden="1" customHeight="1" x14ac:dyDescent="0.25">
      <c r="A401" s="24" t="s">
        <v>206</v>
      </c>
      <c r="B401" s="25"/>
      <c r="C401" s="27">
        <f t="shared" si="61"/>
        <v>157123</v>
      </c>
      <c r="D401" s="21">
        <v>17219</v>
      </c>
      <c r="E401" s="21">
        <v>57309</v>
      </c>
      <c r="F401" s="21">
        <v>0</v>
      </c>
      <c r="G401" s="89">
        <f>304104-(67252+4107+77+1017)</f>
        <v>231651</v>
      </c>
      <c r="H401" s="65">
        <v>0</v>
      </c>
      <c r="I401" s="34">
        <f>182010+4107-J401</f>
        <v>162406</v>
      </c>
      <c r="J401" s="21">
        <f>23379+332</f>
        <v>23711</v>
      </c>
      <c r="K401" s="27">
        <f>665130+1017</f>
        <v>666147</v>
      </c>
      <c r="L401" s="27">
        <v>0</v>
      </c>
      <c r="M401" s="21">
        <v>0</v>
      </c>
      <c r="N401" s="68">
        <f t="shared" si="63"/>
        <v>852264</v>
      </c>
      <c r="O401" s="63">
        <f>85171+3799+70530+2515</f>
        <v>162015</v>
      </c>
      <c r="P401" s="21">
        <f>368087+53049+73287+7889</f>
        <v>502312</v>
      </c>
      <c r="Q401" s="21">
        <v>0</v>
      </c>
      <c r="R401" s="89">
        <f t="shared" si="64"/>
        <v>664327</v>
      </c>
      <c r="S401" s="65">
        <f t="shared" si="44"/>
        <v>1748242</v>
      </c>
      <c r="T401" s="34">
        <f>100119+77+0</f>
        <v>100196</v>
      </c>
      <c r="U401" s="34">
        <v>80832</v>
      </c>
      <c r="V401" s="34">
        <v>4947</v>
      </c>
      <c r="W401" s="34">
        <v>2135</v>
      </c>
      <c r="X401" s="89">
        <f t="shared" si="51"/>
        <v>188110</v>
      </c>
      <c r="Y401" s="65">
        <f t="shared" si="62"/>
        <v>1936352</v>
      </c>
    </row>
    <row r="402" spans="1:25" s="21" customFormat="1" ht="12.75" hidden="1" customHeight="1" x14ac:dyDescent="0.25">
      <c r="A402" s="24" t="s">
        <v>207</v>
      </c>
      <c r="B402" s="25"/>
      <c r="C402" s="27">
        <f t="shared" si="61"/>
        <v>157028</v>
      </c>
      <c r="D402" s="21">
        <v>17260</v>
      </c>
      <c r="E402" s="21">
        <v>57571</v>
      </c>
      <c r="F402" s="21">
        <v>0</v>
      </c>
      <c r="G402" s="89">
        <f>304790-(67694+4151+77+1009)</f>
        <v>231859</v>
      </c>
      <c r="H402" s="65">
        <v>0</v>
      </c>
      <c r="I402" s="34">
        <f>183604+4151-J402</f>
        <v>163358</v>
      </c>
      <c r="J402" s="21">
        <f>24062+335</f>
        <v>24397</v>
      </c>
      <c r="K402" s="27">
        <f>667519+1009</f>
        <v>668528</v>
      </c>
      <c r="L402" s="27">
        <v>0</v>
      </c>
      <c r="M402" s="21">
        <v>0</v>
      </c>
      <c r="N402" s="68">
        <f t="shared" si="63"/>
        <v>856283</v>
      </c>
      <c r="O402" s="63">
        <f>85355+3808+71604+2543</f>
        <v>163310</v>
      </c>
      <c r="P402" s="21">
        <f>372916+53400+77601+7943</f>
        <v>511860</v>
      </c>
      <c r="Q402" s="21">
        <v>0</v>
      </c>
      <c r="R402" s="89">
        <f t="shared" si="64"/>
        <v>675170</v>
      </c>
      <c r="S402" s="65">
        <f t="shared" si="44"/>
        <v>1763312</v>
      </c>
      <c r="T402" s="34">
        <f>102142+77+2</f>
        <v>102221</v>
      </c>
      <c r="U402" s="34">
        <v>81218</v>
      </c>
      <c r="V402" s="34">
        <v>4669</v>
      </c>
      <c r="W402" s="34">
        <v>2492</v>
      </c>
      <c r="X402" s="89">
        <f t="shared" si="51"/>
        <v>190600</v>
      </c>
      <c r="Y402" s="65">
        <f t="shared" si="62"/>
        <v>1953912</v>
      </c>
    </row>
    <row r="403" spans="1:25" s="21" customFormat="1" ht="12.75" hidden="1" customHeight="1" x14ac:dyDescent="0.25">
      <c r="A403" s="24" t="s">
        <v>208</v>
      </c>
      <c r="B403" s="25"/>
      <c r="C403" s="27">
        <f t="shared" si="61"/>
        <v>156966</v>
      </c>
      <c r="D403" s="21">
        <v>17224</v>
      </c>
      <c r="E403" s="21">
        <v>57703</v>
      </c>
      <c r="F403" s="21">
        <v>0</v>
      </c>
      <c r="G403" s="89">
        <f>305671-(68496+4203+79+1000)</f>
        <v>231893</v>
      </c>
      <c r="H403" s="65">
        <v>0</v>
      </c>
      <c r="I403" s="34">
        <f>185593+4203-J403</f>
        <v>164561</v>
      </c>
      <c r="J403" s="21">
        <f>24896+339</f>
        <v>25235</v>
      </c>
      <c r="K403" s="27">
        <f>670683+1000</f>
        <v>671683</v>
      </c>
      <c r="L403" s="27">
        <v>0</v>
      </c>
      <c r="M403" s="21">
        <v>0</v>
      </c>
      <c r="N403" s="68">
        <f t="shared" si="63"/>
        <v>861479</v>
      </c>
      <c r="O403" s="63">
        <f>85579+3837+72251+2556</f>
        <v>164223</v>
      </c>
      <c r="P403" s="21">
        <f>377459+53974+79169+8129</f>
        <v>518731</v>
      </c>
      <c r="Q403" s="21">
        <v>0</v>
      </c>
      <c r="R403" s="89">
        <f t="shared" si="64"/>
        <v>682954</v>
      </c>
      <c r="S403" s="65">
        <f t="shared" si="44"/>
        <v>1776326</v>
      </c>
      <c r="T403" s="34">
        <f>103204+79+3</f>
        <v>103286</v>
      </c>
      <c r="U403" s="34">
        <v>81993</v>
      </c>
      <c r="V403" s="34">
        <v>4533</v>
      </c>
      <c r="W403" s="34">
        <v>2798</v>
      </c>
      <c r="X403" s="89">
        <f t="shared" si="51"/>
        <v>192610</v>
      </c>
      <c r="Y403" s="65">
        <f t="shared" si="62"/>
        <v>1968936</v>
      </c>
    </row>
    <row r="404" spans="1:25" s="21" customFormat="1" ht="12.75" hidden="1" customHeight="1" x14ac:dyDescent="0.25">
      <c r="A404" s="24" t="s">
        <v>209</v>
      </c>
      <c r="B404" s="25"/>
      <c r="C404" s="27">
        <f t="shared" si="61"/>
        <v>155986</v>
      </c>
      <c r="D404" s="21">
        <v>17472</v>
      </c>
      <c r="E404" s="21">
        <v>57855</v>
      </c>
      <c r="F404" s="21">
        <v>0</v>
      </c>
      <c r="G404" s="89">
        <f>307406-(69401+4263+81+1001)</f>
        <v>232660</v>
      </c>
      <c r="H404" s="65">
        <v>0</v>
      </c>
      <c r="I404" s="34">
        <f>187093+4263-J404</f>
        <v>165148</v>
      </c>
      <c r="J404" s="21">
        <f>25857+351</f>
        <v>26208</v>
      </c>
      <c r="K404" s="27">
        <f>673302+1001</f>
        <v>674303</v>
      </c>
      <c r="L404" s="27">
        <v>0</v>
      </c>
      <c r="M404" s="21">
        <v>0</v>
      </c>
      <c r="N404" s="68">
        <f t="shared" si="63"/>
        <v>865659</v>
      </c>
      <c r="O404" s="63">
        <f>85779+3869+72884+2605</f>
        <v>165137</v>
      </c>
      <c r="P404" s="21">
        <f>381136+54660+79565+8267</f>
        <v>523628</v>
      </c>
      <c r="Q404" s="21">
        <v>0</v>
      </c>
      <c r="R404" s="89">
        <f t="shared" si="64"/>
        <v>688765</v>
      </c>
      <c r="S404" s="65">
        <f t="shared" si="44"/>
        <v>1787084</v>
      </c>
      <c r="T404" s="34">
        <f>103985+81+1</f>
        <v>104067</v>
      </c>
      <c r="U404" s="34">
        <v>82449</v>
      </c>
      <c r="V404" s="34">
        <v>4195</v>
      </c>
      <c r="W404" s="34">
        <v>3269</v>
      </c>
      <c r="X404" s="89">
        <f t="shared" si="51"/>
        <v>193980</v>
      </c>
      <c r="Y404" s="65">
        <f t="shared" si="62"/>
        <v>1981064</v>
      </c>
    </row>
    <row r="405" spans="1:25" s="21" customFormat="1" ht="12.75" hidden="1" customHeight="1" x14ac:dyDescent="0.25">
      <c r="A405" s="24" t="s">
        <v>210</v>
      </c>
      <c r="B405" s="25"/>
      <c r="C405" s="27">
        <f t="shared" si="61"/>
        <v>152002</v>
      </c>
      <c r="D405" s="21">
        <v>17475</v>
      </c>
      <c r="E405" s="21">
        <v>58518</v>
      </c>
      <c r="F405" s="21">
        <v>0</v>
      </c>
      <c r="G405" s="89">
        <f>308872-(71307+4322+84+1019)</f>
        <v>232140</v>
      </c>
      <c r="H405" s="65">
        <v>0</v>
      </c>
      <c r="I405" s="34">
        <f>188139+4322-J405</f>
        <v>165792</v>
      </c>
      <c r="J405" s="21">
        <f>26317+352</f>
        <v>26669</v>
      </c>
      <c r="K405" s="27">
        <f>675642+1019</f>
        <v>676661</v>
      </c>
      <c r="L405" s="27">
        <v>0</v>
      </c>
      <c r="M405" s="21">
        <v>0</v>
      </c>
      <c r="N405" s="68">
        <f t="shared" si="63"/>
        <v>869122</v>
      </c>
      <c r="O405" s="63">
        <f>4073+2725+85839+73534</f>
        <v>166171</v>
      </c>
      <c r="P405" s="21">
        <f>56022+8487+382650+80106</f>
        <v>527265</v>
      </c>
      <c r="Q405" s="21">
        <v>0</v>
      </c>
      <c r="R405" s="89">
        <f t="shared" si="64"/>
        <v>693436</v>
      </c>
      <c r="S405" s="65">
        <f t="shared" si="44"/>
        <v>1794698</v>
      </c>
      <c r="T405" s="34">
        <f>104639+84+2</f>
        <v>104725</v>
      </c>
      <c r="U405" s="34">
        <v>82988</v>
      </c>
      <c r="V405" s="34">
        <v>4064</v>
      </c>
      <c r="W405" s="34">
        <v>3422</v>
      </c>
      <c r="X405" s="89">
        <f t="shared" si="51"/>
        <v>195199</v>
      </c>
      <c r="Y405" s="65">
        <f t="shared" si="62"/>
        <v>1989897</v>
      </c>
    </row>
    <row r="406" spans="1:25" s="21" customFormat="1" ht="12.75" hidden="1" customHeight="1" x14ac:dyDescent="0.25">
      <c r="A406" s="24" t="s">
        <v>211</v>
      </c>
      <c r="B406" s="25"/>
      <c r="C406" s="27">
        <f t="shared" si="61"/>
        <v>150241</v>
      </c>
      <c r="D406" s="21">
        <v>17376</v>
      </c>
      <c r="E406" s="21">
        <v>58892</v>
      </c>
      <c r="F406" s="21">
        <v>0</v>
      </c>
      <c r="G406" s="89">
        <f>309610-(71758+4328+85+1027)</f>
        <v>232412</v>
      </c>
      <c r="H406" s="65">
        <v>0</v>
      </c>
      <c r="I406" s="34">
        <f>187746+4328-J406</f>
        <v>164462</v>
      </c>
      <c r="J406" s="21">
        <f>27255+357</f>
        <v>27612</v>
      </c>
      <c r="K406" s="27">
        <f>674662+1027</f>
        <v>675689</v>
      </c>
      <c r="L406" s="27">
        <v>0</v>
      </c>
      <c r="M406" s="21">
        <v>0</v>
      </c>
      <c r="N406" s="68">
        <f t="shared" si="63"/>
        <v>867763</v>
      </c>
      <c r="O406" s="63">
        <f>4125+86396+2722+73641</f>
        <v>166884</v>
      </c>
      <c r="P406" s="21">
        <f>56382+386034+8529+80483</f>
        <v>531428</v>
      </c>
      <c r="Q406" s="21">
        <v>0</v>
      </c>
      <c r="R406" s="89">
        <f t="shared" si="64"/>
        <v>698312</v>
      </c>
      <c r="S406" s="65">
        <f t="shared" si="44"/>
        <v>1798487</v>
      </c>
      <c r="T406" s="34">
        <f>105172+85+2</f>
        <v>105259</v>
      </c>
      <c r="U406" s="34">
        <v>82807</v>
      </c>
      <c r="V406" s="34">
        <v>4026</v>
      </c>
      <c r="W406" s="34">
        <v>3620</v>
      </c>
      <c r="X406" s="89">
        <f t="shared" si="51"/>
        <v>195712</v>
      </c>
      <c r="Y406" s="65">
        <f t="shared" si="62"/>
        <v>1994199</v>
      </c>
    </row>
    <row r="407" spans="1:25" s="21" customFormat="1" ht="12.75" hidden="1" customHeight="1" x14ac:dyDescent="0.25">
      <c r="A407" s="24" t="s">
        <v>212</v>
      </c>
      <c r="B407" s="25"/>
      <c r="C407" s="27">
        <f t="shared" si="61"/>
        <v>150130</v>
      </c>
      <c r="D407" s="21">
        <v>17678</v>
      </c>
      <c r="E407" s="21">
        <v>59308</v>
      </c>
      <c r="F407" s="21">
        <v>0</v>
      </c>
      <c r="G407" s="89">
        <f>309299-(71885+4303+86+1033)</f>
        <v>231992</v>
      </c>
      <c r="H407" s="65">
        <v>0</v>
      </c>
      <c r="I407" s="34">
        <f>186508+4303-J407</f>
        <v>162808</v>
      </c>
      <c r="J407" s="21">
        <f>27634+369</f>
        <v>28003</v>
      </c>
      <c r="K407" s="27">
        <f>667446+1033</f>
        <v>668479</v>
      </c>
      <c r="L407" s="27">
        <v>0</v>
      </c>
      <c r="M407" s="21">
        <v>0</v>
      </c>
      <c r="N407" s="68">
        <f t="shared" si="63"/>
        <v>859290</v>
      </c>
      <c r="O407" s="63">
        <f>85258+4128+72393+2728</f>
        <v>164507</v>
      </c>
      <c r="P407" s="21">
        <f>381690+56441+79759+8588</f>
        <v>526478</v>
      </c>
      <c r="Q407" s="21">
        <v>0</v>
      </c>
      <c r="R407" s="89">
        <f t="shared" si="64"/>
        <v>690985</v>
      </c>
      <c r="S407" s="65">
        <f t="shared" si="44"/>
        <v>1782267</v>
      </c>
      <c r="T407" s="34">
        <f>104079+86+3</f>
        <v>104168</v>
      </c>
      <c r="U407" s="34">
        <v>83113</v>
      </c>
      <c r="V407" s="34">
        <v>3955</v>
      </c>
      <c r="W407" s="34">
        <v>3701</v>
      </c>
      <c r="X407" s="89">
        <f t="shared" si="51"/>
        <v>194937</v>
      </c>
      <c r="Y407" s="65">
        <f t="shared" si="62"/>
        <v>1977204</v>
      </c>
    </row>
    <row r="408" spans="1:25" s="21" customFormat="1" ht="12.75" hidden="1" customHeight="1" x14ac:dyDescent="0.25">
      <c r="A408" s="24"/>
      <c r="B408" s="25"/>
      <c r="C408" s="27"/>
      <c r="G408" s="89"/>
      <c r="H408" s="65"/>
      <c r="I408" s="34"/>
      <c r="K408" s="27"/>
      <c r="L408" s="27"/>
      <c r="M408" s="21">
        <v>0</v>
      </c>
      <c r="N408" s="68"/>
      <c r="O408" s="63"/>
      <c r="R408" s="89"/>
      <c r="S408" s="65">
        <f t="shared" si="44"/>
        <v>0</v>
      </c>
      <c r="T408" s="34"/>
      <c r="U408" s="34"/>
      <c r="V408" s="34"/>
      <c r="W408" s="34"/>
      <c r="X408" s="89"/>
      <c r="Y408" s="65">
        <f t="shared" si="62"/>
        <v>0</v>
      </c>
    </row>
    <row r="409" spans="1:25" s="21" customFormat="1" ht="12.75" hidden="1" customHeight="1" x14ac:dyDescent="0.25">
      <c r="A409" s="24" t="s">
        <v>213</v>
      </c>
      <c r="B409" s="25"/>
      <c r="C409" s="27">
        <f t="shared" ref="C409:C420" si="65">IF((G409-D409-E409)&gt;C201,C201,G409-D409-E409)</f>
        <v>149659</v>
      </c>
      <c r="D409" s="21">
        <v>17566</v>
      </c>
      <c r="E409" s="21">
        <v>59556</v>
      </c>
      <c r="F409" s="21">
        <v>0</v>
      </c>
      <c r="G409" s="89">
        <f>305725-(71670+4187+84+1029)</f>
        <v>228755</v>
      </c>
      <c r="H409" s="65">
        <v>0</v>
      </c>
      <c r="I409" s="34">
        <f>184329+4187-J409</f>
        <v>160776</v>
      </c>
      <c r="J409" s="21">
        <f>358+27382</f>
        <v>27740</v>
      </c>
      <c r="K409" s="27">
        <f>657029+1029</f>
        <v>658058</v>
      </c>
      <c r="L409" s="27">
        <v>0</v>
      </c>
      <c r="M409" s="21">
        <v>0</v>
      </c>
      <c r="N409" s="68">
        <f>SUM(I409:M409)</f>
        <v>846574</v>
      </c>
      <c r="O409" s="63">
        <f>4154+2684+83802+70636</f>
        <v>161276</v>
      </c>
      <c r="P409" s="21">
        <f>56282+8550+377755+78491</f>
        <v>521078</v>
      </c>
      <c r="Q409" s="21">
        <v>0</v>
      </c>
      <c r="R409" s="89">
        <f t="shared" ref="R409:R420" si="66">SUM(O409:Q409)</f>
        <v>682354</v>
      </c>
      <c r="S409" s="65">
        <f t="shared" ref="S409:S424" si="67">G409+H409+N409+R409</f>
        <v>1757683</v>
      </c>
      <c r="T409" s="34">
        <f>84+101528+2</f>
        <v>101614</v>
      </c>
      <c r="U409" s="34">
        <v>82595</v>
      </c>
      <c r="V409" s="34">
        <v>3874</v>
      </c>
      <c r="W409" s="34">
        <v>3752</v>
      </c>
      <c r="X409" s="89">
        <f t="shared" si="51"/>
        <v>191835</v>
      </c>
      <c r="Y409" s="65">
        <f t="shared" si="62"/>
        <v>1949518</v>
      </c>
    </row>
    <row r="410" spans="1:25" s="21" customFormat="1" ht="12.75" hidden="1" customHeight="1" x14ac:dyDescent="0.25">
      <c r="A410" s="24" t="s">
        <v>215</v>
      </c>
      <c r="B410" s="25"/>
      <c r="C410" s="27">
        <f t="shared" si="65"/>
        <v>149715</v>
      </c>
      <c r="D410" s="21">
        <v>17370</v>
      </c>
      <c r="E410" s="21">
        <v>58709</v>
      </c>
      <c r="F410" s="21">
        <v>0</v>
      </c>
      <c r="G410" s="89">
        <f>302517-(71609+4043+77+994)</f>
        <v>225794</v>
      </c>
      <c r="H410" s="65">
        <v>0</v>
      </c>
      <c r="I410" s="34">
        <f>182567+4043-J410</f>
        <v>159045</v>
      </c>
      <c r="J410" s="21">
        <f>343+27222</f>
        <v>27565</v>
      </c>
      <c r="K410" s="27">
        <f>994+646959</f>
        <v>647953</v>
      </c>
      <c r="L410" s="27">
        <v>0</v>
      </c>
      <c r="M410" s="21">
        <v>0</v>
      </c>
      <c r="N410" s="68">
        <f t="shared" ref="N410:N420" si="68">SUM(I410:M410)</f>
        <v>834563</v>
      </c>
      <c r="O410" s="63">
        <f>4149+2701+82097+68800</f>
        <v>157747</v>
      </c>
      <c r="P410" s="21">
        <f>56269+8490+374539+77215</f>
        <v>516513</v>
      </c>
      <c r="Q410" s="21">
        <v>0</v>
      </c>
      <c r="R410" s="89">
        <f t="shared" si="66"/>
        <v>674260</v>
      </c>
      <c r="S410" s="65">
        <f t="shared" si="67"/>
        <v>1734617</v>
      </c>
      <c r="T410" s="34">
        <f>77+99038+2</f>
        <v>99117</v>
      </c>
      <c r="U410" s="34">
        <v>82194</v>
      </c>
      <c r="V410" s="34">
        <v>3835</v>
      </c>
      <c r="W410" s="34">
        <v>3795</v>
      </c>
      <c r="X410" s="89">
        <f t="shared" si="51"/>
        <v>188941</v>
      </c>
      <c r="Y410" s="65">
        <f t="shared" si="62"/>
        <v>1923558</v>
      </c>
    </row>
    <row r="411" spans="1:25" s="21" customFormat="1" ht="12.75" hidden="1" customHeight="1" x14ac:dyDescent="0.25">
      <c r="A411" s="24" t="s">
        <v>216</v>
      </c>
      <c r="B411" s="25"/>
      <c r="C411" s="27">
        <f t="shared" si="65"/>
        <v>148959</v>
      </c>
      <c r="D411" s="21">
        <v>17143</v>
      </c>
      <c r="E411" s="21">
        <v>57656</v>
      </c>
      <c r="F411" s="21">
        <v>0</v>
      </c>
      <c r="G411" s="89">
        <f>300874-(71804+3921+77+1009)</f>
        <v>224063</v>
      </c>
      <c r="H411" s="65">
        <v>0</v>
      </c>
      <c r="I411" s="34">
        <f>3921+180240-J411</f>
        <v>156644</v>
      </c>
      <c r="J411" s="21">
        <f>334+27183</f>
        <v>27517</v>
      </c>
      <c r="K411" s="27">
        <f>1009+634634</f>
        <v>635643</v>
      </c>
      <c r="L411" s="27">
        <v>0</v>
      </c>
      <c r="M411" s="21">
        <v>0</v>
      </c>
      <c r="N411" s="68">
        <f t="shared" si="68"/>
        <v>819804</v>
      </c>
      <c r="O411" s="63">
        <f>4147+2720+79845+66786</f>
        <v>153498</v>
      </c>
      <c r="P411" s="21">
        <f>56436+8501+370622+75691</f>
        <v>511250</v>
      </c>
      <c r="Q411" s="21">
        <v>0</v>
      </c>
      <c r="R411" s="89">
        <f t="shared" si="66"/>
        <v>664748</v>
      </c>
      <c r="S411" s="65">
        <f t="shared" si="67"/>
        <v>1708615</v>
      </c>
      <c r="T411" s="34">
        <f>77+96342+1</f>
        <v>96420</v>
      </c>
      <c r="U411" s="34">
        <v>82224</v>
      </c>
      <c r="V411" s="34">
        <v>3812</v>
      </c>
      <c r="W411" s="34">
        <v>3787</v>
      </c>
      <c r="X411" s="89">
        <f t="shared" si="51"/>
        <v>186243</v>
      </c>
      <c r="Y411" s="65">
        <f t="shared" si="62"/>
        <v>1894858</v>
      </c>
    </row>
    <row r="412" spans="1:25" s="21" customFormat="1" ht="12.75" hidden="1" customHeight="1" x14ac:dyDescent="0.25">
      <c r="A412" s="24" t="s">
        <v>217</v>
      </c>
      <c r="B412" s="25"/>
      <c r="C412" s="27">
        <f t="shared" si="65"/>
        <v>148309</v>
      </c>
      <c r="D412" s="21">
        <v>16710</v>
      </c>
      <c r="E412" s="21">
        <v>58161</v>
      </c>
      <c r="F412" s="21">
        <v>0</v>
      </c>
      <c r="G412" s="89">
        <f>301812-(72103+3912+68+1018)</f>
        <v>224711</v>
      </c>
      <c r="H412" s="65">
        <v>0</v>
      </c>
      <c r="I412" s="34">
        <f>(3912+180635)-J412</f>
        <v>156391</v>
      </c>
      <c r="J412" s="21">
        <f>337+27819</f>
        <v>28156</v>
      </c>
      <c r="K412" s="27">
        <f>1018+634360</f>
        <v>635378</v>
      </c>
      <c r="L412" s="27">
        <v>0</v>
      </c>
      <c r="M412" s="21">
        <v>0</v>
      </c>
      <c r="N412" s="68">
        <f t="shared" si="68"/>
        <v>819925</v>
      </c>
      <c r="O412" s="63">
        <f>4127+2761+79115+65836</f>
        <v>151839</v>
      </c>
      <c r="P412" s="21">
        <f>56775+371008+8440+74996</f>
        <v>511219</v>
      </c>
      <c r="Q412" s="21">
        <v>0</v>
      </c>
      <c r="R412" s="89">
        <f t="shared" si="66"/>
        <v>663058</v>
      </c>
      <c r="S412" s="65">
        <f t="shared" si="67"/>
        <v>1707694</v>
      </c>
      <c r="T412" s="34">
        <f>96520+68+3</f>
        <v>96591</v>
      </c>
      <c r="U412" s="34">
        <v>84374</v>
      </c>
      <c r="V412" s="34">
        <v>3887</v>
      </c>
      <c r="W412" s="34">
        <v>3780</v>
      </c>
      <c r="X412" s="89">
        <f t="shared" si="51"/>
        <v>188632</v>
      </c>
      <c r="Y412" s="65">
        <f t="shared" si="62"/>
        <v>1896326</v>
      </c>
    </row>
    <row r="413" spans="1:25" s="21" customFormat="1" ht="12.75" hidden="1" customHeight="1" x14ac:dyDescent="0.25">
      <c r="A413" s="24" t="s">
        <v>218</v>
      </c>
      <c r="B413" s="25"/>
      <c r="C413" s="27">
        <f t="shared" si="65"/>
        <v>144401</v>
      </c>
      <c r="D413" s="21">
        <v>17043</v>
      </c>
      <c r="E413" s="21">
        <v>58472</v>
      </c>
      <c r="F413" s="21">
        <v>0</v>
      </c>
      <c r="G413" s="89">
        <f>302191-(1040+67+3893+72181)</f>
        <v>225010</v>
      </c>
      <c r="H413" s="65">
        <v>0</v>
      </c>
      <c r="I413" s="34">
        <f>3893+181583-J413</f>
        <v>156672</v>
      </c>
      <c r="J413" s="21">
        <f>325+28479</f>
        <v>28804</v>
      </c>
      <c r="K413" s="27">
        <f>633706+1040</f>
        <v>634746</v>
      </c>
      <c r="L413" s="27">
        <v>0</v>
      </c>
      <c r="M413" s="21">
        <v>0</v>
      </c>
      <c r="N413" s="68">
        <f t="shared" si="68"/>
        <v>820222</v>
      </c>
      <c r="O413" s="63">
        <f>4096+78648+2774+65801</f>
        <v>151319</v>
      </c>
      <c r="P413" s="21">
        <f>56970+375433+8341+74060</f>
        <v>514804</v>
      </c>
      <c r="Q413" s="21">
        <v>0</v>
      </c>
      <c r="R413" s="89">
        <f t="shared" si="66"/>
        <v>666123</v>
      </c>
      <c r="S413" s="65">
        <f t="shared" si="67"/>
        <v>1711355</v>
      </c>
      <c r="T413" s="34">
        <f>97234+67+3</f>
        <v>97304</v>
      </c>
      <c r="U413" s="34">
        <v>88876</v>
      </c>
      <c r="V413" s="21">
        <v>3934</v>
      </c>
      <c r="W413" s="21">
        <v>3786</v>
      </c>
      <c r="X413" s="89">
        <f t="shared" si="51"/>
        <v>193900</v>
      </c>
      <c r="Y413" s="65">
        <f t="shared" si="62"/>
        <v>1905255</v>
      </c>
    </row>
    <row r="414" spans="1:25" s="21" customFormat="1" ht="12.75" hidden="1" customHeight="1" x14ac:dyDescent="0.25">
      <c r="A414" s="24" t="s">
        <v>222</v>
      </c>
      <c r="B414" s="25"/>
      <c r="C414" s="27">
        <f t="shared" si="65"/>
        <v>143523</v>
      </c>
      <c r="D414" s="21">
        <v>16930</v>
      </c>
      <c r="E414" s="21">
        <v>59175</v>
      </c>
      <c r="F414" s="21">
        <v>0</v>
      </c>
      <c r="G414" s="89">
        <f>301206-(71825+3888+62+1039)</f>
        <v>224392</v>
      </c>
      <c r="H414" s="65">
        <v>0</v>
      </c>
      <c r="I414" s="34">
        <f>814077-(29011+629171)</f>
        <v>155895</v>
      </c>
      <c r="J414" s="21">
        <f>28678+333</f>
        <v>29011</v>
      </c>
      <c r="K414" s="27">
        <f>628132+1039</f>
        <v>629171</v>
      </c>
      <c r="L414" s="27">
        <v>0</v>
      </c>
      <c r="M414" s="21">
        <v>0</v>
      </c>
      <c r="N414" s="68">
        <f t="shared" si="68"/>
        <v>814077</v>
      </c>
      <c r="O414" s="63">
        <f>4074+2747+77747+64967</f>
        <v>149535</v>
      </c>
      <c r="P414" s="21">
        <f>56810+8149+72952+375750</f>
        <v>513661</v>
      </c>
      <c r="Q414" s="21">
        <v>0</v>
      </c>
      <c r="R414" s="89">
        <f t="shared" si="66"/>
        <v>663196</v>
      </c>
      <c r="S414" s="65">
        <f t="shared" si="67"/>
        <v>1701665</v>
      </c>
      <c r="T414" s="34">
        <f>96542+62+0</f>
        <v>96604</v>
      </c>
      <c r="U414" s="34">
        <v>92139</v>
      </c>
      <c r="V414" s="34">
        <v>3970</v>
      </c>
      <c r="W414" s="34">
        <v>3730</v>
      </c>
      <c r="X414" s="89">
        <f t="shared" si="51"/>
        <v>196443</v>
      </c>
      <c r="Y414" s="65">
        <f t="shared" si="62"/>
        <v>1898108</v>
      </c>
    </row>
    <row r="415" spans="1:25" s="21" customFormat="1" ht="12.75" hidden="1" customHeight="1" x14ac:dyDescent="0.25">
      <c r="A415" s="24" t="s">
        <v>223</v>
      </c>
      <c r="B415" s="36"/>
      <c r="C415" s="27">
        <f t="shared" si="65"/>
        <v>144083</v>
      </c>
      <c r="D415" s="21">
        <v>16985</v>
      </c>
      <c r="E415" s="21">
        <v>59497</v>
      </c>
      <c r="F415" s="21">
        <v>0</v>
      </c>
      <c r="G415" s="89">
        <f>300933-(72014+3799+62+1051)</f>
        <v>224007</v>
      </c>
      <c r="H415" s="65">
        <v>0</v>
      </c>
      <c r="I415" s="34">
        <f>3799+180620-J415</f>
        <v>155061</v>
      </c>
      <c r="J415" s="21">
        <f>29030+328</f>
        <v>29358</v>
      </c>
      <c r="K415" s="27">
        <f>624428+1051</f>
        <v>625479</v>
      </c>
      <c r="L415" s="27">
        <v>0</v>
      </c>
      <c r="M415" s="21">
        <v>0</v>
      </c>
      <c r="N415" s="68">
        <f t="shared" si="68"/>
        <v>809898</v>
      </c>
      <c r="O415" s="63">
        <f>4047+2781+77536+64766</f>
        <v>149130</v>
      </c>
      <c r="P415" s="21">
        <f>57002+8184+378377+72856</f>
        <v>516419</v>
      </c>
      <c r="Q415" s="21">
        <v>0</v>
      </c>
      <c r="R415" s="89">
        <f t="shared" si="66"/>
        <v>665549</v>
      </c>
      <c r="S415" s="65">
        <f t="shared" si="67"/>
        <v>1699454</v>
      </c>
      <c r="T415" s="34">
        <f>96649+62+2</f>
        <v>96713</v>
      </c>
      <c r="U415" s="34">
        <v>95185</v>
      </c>
      <c r="V415" s="34">
        <v>3853</v>
      </c>
      <c r="W415" s="34">
        <v>3801</v>
      </c>
      <c r="X415" s="89">
        <f t="shared" si="51"/>
        <v>199552</v>
      </c>
      <c r="Y415" s="65">
        <f t="shared" si="62"/>
        <v>1899006</v>
      </c>
    </row>
    <row r="416" spans="1:25" s="21" customFormat="1" ht="12.75" hidden="1" customHeight="1" x14ac:dyDescent="0.25">
      <c r="A416" s="24" t="s">
        <v>225</v>
      </c>
      <c r="B416" s="36"/>
      <c r="C416" s="27">
        <f t="shared" si="65"/>
        <v>142108</v>
      </c>
      <c r="D416" s="21">
        <v>17102</v>
      </c>
      <c r="E416" s="21">
        <v>59298</v>
      </c>
      <c r="F416" s="21">
        <v>0</v>
      </c>
      <c r="G416" s="89">
        <f>295036-(70034+3612+60+1024)</f>
        <v>220306</v>
      </c>
      <c r="H416" s="65">
        <v>0</v>
      </c>
      <c r="I416" s="34">
        <f>3612+174658-J416</f>
        <v>149854</v>
      </c>
      <c r="J416" s="21">
        <f>28104+312</f>
        <v>28416</v>
      </c>
      <c r="K416" s="27">
        <f>603100+1024</f>
        <v>604124</v>
      </c>
      <c r="L416" s="27">
        <v>0</v>
      </c>
      <c r="M416" s="21">
        <v>0</v>
      </c>
      <c r="N416" s="68">
        <f t="shared" si="68"/>
        <v>782394</v>
      </c>
      <c r="O416" s="63">
        <f>3794+2616+73738+61461</f>
        <v>141609</v>
      </c>
      <c r="P416" s="21">
        <f>55815+7809+372989+69868</f>
        <v>506481</v>
      </c>
      <c r="Q416" s="21">
        <v>0</v>
      </c>
      <c r="R416" s="89">
        <f t="shared" si="66"/>
        <v>648090</v>
      </c>
      <c r="S416" s="65">
        <f t="shared" si="67"/>
        <v>1650790</v>
      </c>
      <c r="T416" s="34">
        <f>91448+60+3</f>
        <v>91511</v>
      </c>
      <c r="U416" s="34">
        <v>94918</v>
      </c>
      <c r="V416" s="34">
        <v>3512</v>
      </c>
      <c r="W416" s="34">
        <v>3633</v>
      </c>
      <c r="X416" s="89">
        <f t="shared" si="51"/>
        <v>193574</v>
      </c>
      <c r="Y416" s="65">
        <f t="shared" si="62"/>
        <v>1844364</v>
      </c>
    </row>
    <row r="417" spans="1:26" s="21" customFormat="1" ht="12.75" hidden="1" customHeight="1" x14ac:dyDescent="0.25">
      <c r="A417" s="24" t="s">
        <v>226</v>
      </c>
      <c r="B417" s="36"/>
      <c r="C417" s="27">
        <f t="shared" si="65"/>
        <v>142162</v>
      </c>
      <c r="D417" s="21">
        <v>17090</v>
      </c>
      <c r="E417" s="21">
        <v>59352</v>
      </c>
      <c r="F417" s="21">
        <v>0</v>
      </c>
      <c r="G417" s="89">
        <f>293523-(70265+3568+61+1025)</f>
        <v>218604</v>
      </c>
      <c r="H417" s="65">
        <v>0</v>
      </c>
      <c r="I417" s="34">
        <f>3568+174759-J417</f>
        <v>149739</v>
      </c>
      <c r="J417" s="21">
        <f>306+28282</f>
        <v>28588</v>
      </c>
      <c r="K417" s="27">
        <f>598399+1025</f>
        <v>599424</v>
      </c>
      <c r="L417" s="27">
        <v>0</v>
      </c>
      <c r="M417" s="21">
        <v>0</v>
      </c>
      <c r="N417" s="68">
        <f t="shared" si="68"/>
        <v>777751</v>
      </c>
      <c r="O417" s="63">
        <f>3867+73305+2598+61149</f>
        <v>140919</v>
      </c>
      <c r="P417" s="21">
        <f>56004+369327+7796+68964</f>
        <v>502091</v>
      </c>
      <c r="Q417" s="21">
        <v>0</v>
      </c>
      <c r="R417" s="89">
        <f t="shared" si="66"/>
        <v>643010</v>
      </c>
      <c r="S417" s="65">
        <f t="shared" si="67"/>
        <v>1639365</v>
      </c>
      <c r="T417" s="34">
        <f>91373+61+2</f>
        <v>91436</v>
      </c>
      <c r="U417" s="34">
        <v>96569</v>
      </c>
      <c r="V417" s="34">
        <v>3483</v>
      </c>
      <c r="W417" s="34">
        <v>3365</v>
      </c>
      <c r="X417" s="89">
        <f t="shared" si="51"/>
        <v>194853</v>
      </c>
      <c r="Y417" s="65">
        <f t="shared" si="62"/>
        <v>1834218</v>
      </c>
    </row>
    <row r="418" spans="1:26" hidden="1" x14ac:dyDescent="0.25">
      <c r="A418" s="24" t="s">
        <v>339</v>
      </c>
      <c r="C418" s="27">
        <f t="shared" si="65"/>
        <v>138192</v>
      </c>
      <c r="D418" s="21">
        <v>16609</v>
      </c>
      <c r="E418" s="21">
        <v>60088</v>
      </c>
      <c r="F418" s="21">
        <v>0</v>
      </c>
      <c r="G418" s="89">
        <f>287698-(68486+3246+61+1016)</f>
        <v>214889</v>
      </c>
      <c r="H418" s="65">
        <v>0</v>
      </c>
      <c r="I418" s="34">
        <f>169587+3246-J418</f>
        <v>143995</v>
      </c>
      <c r="J418" s="21">
        <f>28545+293</f>
        <v>28838</v>
      </c>
      <c r="K418" s="27">
        <f>583538+1016</f>
        <v>584554</v>
      </c>
      <c r="L418" s="27">
        <v>0</v>
      </c>
      <c r="M418" s="21">
        <v>0</v>
      </c>
      <c r="N418" s="68">
        <f t="shared" si="68"/>
        <v>757387</v>
      </c>
      <c r="O418" s="63">
        <f>3733+2513+70110+57345</f>
        <v>133701</v>
      </c>
      <c r="P418" s="21">
        <f>54815+7425+353208+64235</f>
        <v>479683</v>
      </c>
      <c r="Q418" s="21">
        <v>0</v>
      </c>
      <c r="R418" s="89">
        <f t="shared" si="66"/>
        <v>613384</v>
      </c>
      <c r="S418" s="65">
        <f t="shared" si="67"/>
        <v>1585660</v>
      </c>
      <c r="T418" s="34">
        <f>87781+61+0</f>
        <v>87842</v>
      </c>
      <c r="U418" s="34">
        <v>95862</v>
      </c>
      <c r="V418" s="34">
        <v>3499</v>
      </c>
      <c r="W418" s="34">
        <v>3513</v>
      </c>
      <c r="X418" s="89">
        <f t="shared" si="51"/>
        <v>190716</v>
      </c>
      <c r="Y418" s="65">
        <f t="shared" si="62"/>
        <v>1776376</v>
      </c>
    </row>
    <row r="419" spans="1:26" hidden="1" x14ac:dyDescent="0.25">
      <c r="A419" s="24" t="s">
        <v>362</v>
      </c>
      <c r="C419" s="27">
        <f t="shared" si="65"/>
        <v>142507</v>
      </c>
      <c r="D419" s="21">
        <v>16167</v>
      </c>
      <c r="E419" s="21">
        <v>58926</v>
      </c>
      <c r="F419" s="21"/>
      <c r="G419" s="89">
        <f>288865-(67061+3026+66+1018)</f>
        <v>217694</v>
      </c>
      <c r="H419" s="65">
        <v>0</v>
      </c>
      <c r="I419" s="34">
        <f>168699+3026-J419</f>
        <v>144931</v>
      </c>
      <c r="J419" s="21">
        <f>26511+283</f>
        <v>26794</v>
      </c>
      <c r="K419" s="27">
        <f>584274+1018</f>
        <v>585292</v>
      </c>
      <c r="L419" s="27">
        <v>0</v>
      </c>
      <c r="M419" s="21">
        <v>0</v>
      </c>
      <c r="N419" s="68">
        <f t="shared" si="68"/>
        <v>757017</v>
      </c>
      <c r="O419" s="63">
        <f>3688+70693+2509+57645</f>
        <v>134535</v>
      </c>
      <c r="P419" s="21">
        <f>53774+360166+7090+65313</f>
        <v>486343</v>
      </c>
      <c r="Q419" s="21"/>
      <c r="R419" s="89">
        <f t="shared" si="66"/>
        <v>620878</v>
      </c>
      <c r="S419" s="65">
        <f t="shared" si="67"/>
        <v>1595589</v>
      </c>
      <c r="T419" s="34">
        <f>89371+66+0</f>
        <v>89437</v>
      </c>
      <c r="U419" s="34">
        <v>98635</v>
      </c>
      <c r="V419" s="34">
        <v>3535</v>
      </c>
      <c r="W419" s="34">
        <v>4063</v>
      </c>
      <c r="X419" s="89">
        <f t="shared" si="51"/>
        <v>195670</v>
      </c>
      <c r="Y419" s="65">
        <f t="shared" si="62"/>
        <v>1791259</v>
      </c>
    </row>
    <row r="420" spans="1:26" hidden="1" x14ac:dyDescent="0.25">
      <c r="A420" s="24" t="s">
        <v>363</v>
      </c>
      <c r="C420" s="27">
        <f t="shared" si="65"/>
        <v>142514</v>
      </c>
      <c r="D420" s="21">
        <v>16203</v>
      </c>
      <c r="E420" s="21">
        <v>59270</v>
      </c>
      <c r="F420" s="21"/>
      <c r="G420" s="89">
        <f>288242-(66245+2917+68+1025)</f>
        <v>217987</v>
      </c>
      <c r="H420" s="65">
        <v>0</v>
      </c>
      <c r="I420" s="34">
        <f>167991+2917-J420</f>
        <v>143386</v>
      </c>
      <c r="J420" s="21">
        <f>27251+271</f>
        <v>27522</v>
      </c>
      <c r="K420" s="27">
        <f>582635+1025</f>
        <v>583660</v>
      </c>
      <c r="L420" s="27">
        <v>0</v>
      </c>
      <c r="M420" s="21">
        <v>0</v>
      </c>
      <c r="N420" s="68">
        <f t="shared" si="68"/>
        <v>754568</v>
      </c>
      <c r="O420" s="63">
        <f>3650+69741+2474+56601</f>
        <v>132466</v>
      </c>
      <c r="P420" s="21">
        <f>53129+6992+356096+64068</f>
        <v>480285</v>
      </c>
      <c r="Q420" s="21"/>
      <c r="R420" s="89">
        <f t="shared" si="66"/>
        <v>612751</v>
      </c>
      <c r="S420" s="65">
        <f t="shared" si="67"/>
        <v>1585306</v>
      </c>
      <c r="T420" s="34">
        <f>91688+68+0</f>
        <v>91756</v>
      </c>
      <c r="U420" s="34">
        <v>96983</v>
      </c>
      <c r="V420" s="34">
        <v>3699</v>
      </c>
      <c r="W420" s="34">
        <v>4121</v>
      </c>
      <c r="X420" s="89">
        <f t="shared" si="51"/>
        <v>196559</v>
      </c>
      <c r="Y420" s="65">
        <f t="shared" si="62"/>
        <v>1781865</v>
      </c>
    </row>
    <row r="421" spans="1:26" hidden="1" x14ac:dyDescent="0.25">
      <c r="A421" s="24"/>
      <c r="C421" s="27"/>
      <c r="D421" s="21"/>
      <c r="E421" s="21"/>
      <c r="F421" s="21"/>
      <c r="G421" s="89"/>
      <c r="H421" s="65"/>
      <c r="I421" s="34"/>
      <c r="J421" s="21"/>
      <c r="K421" s="27"/>
      <c r="L421" s="27"/>
      <c r="M421" s="21"/>
      <c r="N421" s="68"/>
      <c r="O421" s="63"/>
      <c r="P421" s="21"/>
      <c r="Q421" s="21"/>
      <c r="R421" s="89"/>
      <c r="S421" s="65"/>
      <c r="T421" s="34"/>
      <c r="U421" s="34"/>
      <c r="V421" s="34"/>
      <c r="W421" s="34"/>
      <c r="X421" s="89"/>
      <c r="Y421" s="65"/>
    </row>
    <row r="422" spans="1:26" hidden="1" x14ac:dyDescent="0.25">
      <c r="A422" s="24" t="s">
        <v>368</v>
      </c>
      <c r="B422" s="28"/>
      <c r="C422" s="27">
        <f>G422-D422-E422-F422</f>
        <v>140935</v>
      </c>
      <c r="D422" s="21">
        <v>16367</v>
      </c>
      <c r="E422" s="21">
        <v>59941</v>
      </c>
      <c r="F422" s="21"/>
      <c r="G422" s="89">
        <f>286933-(65744+2848+67+1031)</f>
        <v>217243</v>
      </c>
      <c r="H422" s="65">
        <v>0</v>
      </c>
      <c r="I422" s="34">
        <f>167757+2848-J422</f>
        <v>142476</v>
      </c>
      <c r="J422" s="21">
        <f>27861+268</f>
        <v>28129</v>
      </c>
      <c r="K422" s="27">
        <f>582328+1031</f>
        <v>583359</v>
      </c>
      <c r="L422" s="27">
        <v>0</v>
      </c>
      <c r="M422" s="21">
        <v>0</v>
      </c>
      <c r="N422" s="68">
        <f t="shared" ref="N422:N424" si="69">SUM(I422:M422)</f>
        <v>753964</v>
      </c>
      <c r="O422" s="63">
        <f>3574+68866+2379+55876</f>
        <v>130695</v>
      </c>
      <c r="P422" s="21">
        <f>52791+7000+354175+63074</f>
        <v>477040</v>
      </c>
      <c r="Q422" s="21"/>
      <c r="R422" s="89">
        <f>SUM(O422:Q422)</f>
        <v>607735</v>
      </c>
      <c r="S422" s="65">
        <f t="shared" si="67"/>
        <v>1578942</v>
      </c>
      <c r="T422" s="34">
        <f>92996+67+0</f>
        <v>93063</v>
      </c>
      <c r="U422" s="34">
        <v>95738</v>
      </c>
      <c r="V422" s="34">
        <v>3847</v>
      </c>
      <c r="W422" s="34">
        <v>4214</v>
      </c>
      <c r="X422" s="89">
        <f t="shared" ref="X422" si="70">SUM(T422:W422)</f>
        <v>196862</v>
      </c>
      <c r="Y422" s="65">
        <f t="shared" si="62"/>
        <v>1775804</v>
      </c>
    </row>
    <row r="423" spans="1:26" hidden="1" x14ac:dyDescent="0.25">
      <c r="A423" s="24" t="s">
        <v>375</v>
      </c>
      <c r="B423" s="28"/>
      <c r="C423" s="27">
        <f>G423-D423-E423-F423</f>
        <v>140656</v>
      </c>
      <c r="D423" s="21">
        <v>16303</v>
      </c>
      <c r="E423" s="21">
        <v>60115</v>
      </c>
      <c r="F423" s="21"/>
      <c r="G423" s="89">
        <f>286173-(65226+2754+66+1053)</f>
        <v>217074</v>
      </c>
      <c r="H423" s="65">
        <v>0</v>
      </c>
      <c r="I423" s="34">
        <f>166399+2754-J422</f>
        <v>141024</v>
      </c>
      <c r="J423" s="21">
        <f>27064+260</f>
        <v>27324</v>
      </c>
      <c r="K423" s="27">
        <f>579475+1053</f>
        <v>580528</v>
      </c>
      <c r="L423" s="27">
        <v>0</v>
      </c>
      <c r="M423" s="21">
        <v>0</v>
      </c>
      <c r="N423" s="68">
        <f t="shared" si="69"/>
        <v>748876</v>
      </c>
      <c r="O423" s="63">
        <f>3588+68528+2376+55433</f>
        <v>129925</v>
      </c>
      <c r="P423" s="21">
        <f>52412+355985+6880+63060</f>
        <v>478337</v>
      </c>
      <c r="Q423" s="21"/>
      <c r="R423" s="89">
        <f>SUM(O423:Q423)</f>
        <v>608262</v>
      </c>
      <c r="S423" s="65">
        <f t="shared" si="67"/>
        <v>1574212</v>
      </c>
      <c r="T423" s="34">
        <f>93541+66+0</f>
        <v>93607</v>
      </c>
      <c r="U423" s="34">
        <v>93543</v>
      </c>
      <c r="V423" s="34">
        <v>3810</v>
      </c>
      <c r="W423" s="34">
        <v>4256</v>
      </c>
      <c r="X423" s="89">
        <f>T423+U423+V423+W423</f>
        <v>195216</v>
      </c>
      <c r="Y423" s="65">
        <f t="shared" si="62"/>
        <v>1769428</v>
      </c>
    </row>
    <row r="424" spans="1:26" hidden="1" x14ac:dyDescent="0.25">
      <c r="A424" s="24" t="s">
        <v>476</v>
      </c>
      <c r="B424" s="28"/>
      <c r="C424" s="27">
        <f>G424-D424-E424-F424</f>
        <v>140117</v>
      </c>
      <c r="D424" s="21">
        <v>16257</v>
      </c>
      <c r="E424" s="21">
        <v>60590</v>
      </c>
      <c r="F424" s="21"/>
      <c r="G424" s="89">
        <f>286400-(65610+2708+72+1046)</f>
        <v>216964</v>
      </c>
      <c r="H424" s="65"/>
      <c r="I424" s="34">
        <f>(165786+2708) -J424</f>
        <v>141025</v>
      </c>
      <c r="J424" s="21">
        <f>27213+256</f>
        <v>27469</v>
      </c>
      <c r="K424" s="27">
        <f>579128+1046</f>
        <v>580174</v>
      </c>
      <c r="L424" s="27"/>
      <c r="M424" s="21"/>
      <c r="N424" s="68">
        <f t="shared" si="69"/>
        <v>748668</v>
      </c>
      <c r="O424" s="63">
        <f>3605+67794+2386+54931</f>
        <v>128716</v>
      </c>
      <c r="P424" s="21">
        <f>52668+355648+6951+62600</f>
        <v>477867</v>
      </c>
      <c r="Q424" s="21"/>
      <c r="R424" s="89">
        <f>SUM(O424:Q424)</f>
        <v>606583</v>
      </c>
      <c r="S424" s="65">
        <f t="shared" si="67"/>
        <v>1572215</v>
      </c>
      <c r="T424" s="34">
        <f>94742+72+0</f>
        <v>94814</v>
      </c>
      <c r="U424" s="34">
        <v>92872</v>
      </c>
      <c r="V424" s="34">
        <v>3914</v>
      </c>
      <c r="W424" s="34">
        <v>4251</v>
      </c>
      <c r="X424" s="89">
        <f>T424+U424+V424+W424</f>
        <v>195851</v>
      </c>
      <c r="Y424" s="65">
        <f t="shared" si="62"/>
        <v>1768066</v>
      </c>
    </row>
    <row r="425" spans="1:26" ht="13.8" hidden="1" thickBot="1" x14ac:dyDescent="0.3">
      <c r="A425" s="24"/>
      <c r="B425" s="28"/>
      <c r="C425" s="27"/>
      <c r="D425" s="21"/>
      <c r="E425" s="21"/>
      <c r="F425" s="21"/>
      <c r="G425" s="92"/>
      <c r="H425" s="27"/>
      <c r="I425" s="27"/>
      <c r="J425" s="21"/>
      <c r="K425" s="27"/>
      <c r="L425" s="27"/>
      <c r="M425" s="21"/>
      <c r="N425" s="90"/>
      <c r="O425" s="21"/>
      <c r="P425" s="21"/>
      <c r="Q425" s="21"/>
      <c r="R425" s="92"/>
      <c r="S425" s="91"/>
      <c r="T425" s="34"/>
      <c r="U425" s="34"/>
      <c r="V425" s="34"/>
      <c r="W425" s="34"/>
      <c r="X425" s="90"/>
      <c r="Y425" s="123"/>
    </row>
    <row r="426" spans="1:26" ht="13.8" hidden="1" thickBot="1" x14ac:dyDescent="0.3">
      <c r="A426" s="24" t="s">
        <v>476</v>
      </c>
      <c r="B426" s="14"/>
      <c r="C426" s="157">
        <f>IF(C424&lt;=C216,C424/C216,1)</f>
        <v>0.98638517152290373</v>
      </c>
      <c r="D426" s="157">
        <f t="shared" ref="D426:Z426" si="71">IF(D424&lt;=D216,D424/D216,1)</f>
        <v>0.84355541718555416</v>
      </c>
      <c r="E426" s="157">
        <f t="shared" si="71"/>
        <v>0.98081748280048564</v>
      </c>
      <c r="F426" s="157">
        <f t="shared" si="71"/>
        <v>0</v>
      </c>
      <c r="G426" s="157">
        <f t="shared" si="71"/>
        <v>0.96446019052360654</v>
      </c>
      <c r="H426" s="157">
        <f t="shared" si="71"/>
        <v>0</v>
      </c>
      <c r="I426" s="157">
        <f t="shared" si="71"/>
        <v>1</v>
      </c>
      <c r="J426" s="157">
        <f t="shared" si="71"/>
        <v>0.9683093626621545</v>
      </c>
      <c r="K426" s="157">
        <f t="shared" si="71"/>
        <v>0.98913471554709176</v>
      </c>
      <c r="L426" s="157">
        <f t="shared" si="71"/>
        <v>0</v>
      </c>
      <c r="M426" s="157">
        <f t="shared" si="71"/>
        <v>0</v>
      </c>
      <c r="N426" s="157">
        <f t="shared" si="71"/>
        <v>0.8985960561865588</v>
      </c>
      <c r="O426" s="157">
        <f t="shared" si="71"/>
        <v>0.98907313774608496</v>
      </c>
      <c r="P426" s="157">
        <f t="shared" si="71"/>
        <v>0.97804716809287073</v>
      </c>
      <c r="Q426" s="157">
        <f t="shared" si="71"/>
        <v>0</v>
      </c>
      <c r="R426" s="157">
        <f t="shared" si="71"/>
        <v>0.91904287168795906</v>
      </c>
      <c r="S426" s="157">
        <f t="shared" si="71"/>
        <v>0.88057269724203369</v>
      </c>
      <c r="T426" s="157">
        <f t="shared" si="71"/>
        <v>0.99355541816428972</v>
      </c>
      <c r="U426" s="157">
        <f t="shared" si="71"/>
        <v>0.98967402308159547</v>
      </c>
      <c r="V426" s="157">
        <f t="shared" si="71"/>
        <v>0.95696821515892416</v>
      </c>
      <c r="W426" s="157">
        <f t="shared" si="71"/>
        <v>0.94340878828229024</v>
      </c>
      <c r="X426" s="157">
        <f t="shared" si="71"/>
        <v>0.98981634035155108</v>
      </c>
      <c r="Y426" s="157">
        <f t="shared" si="71"/>
        <v>0.89147143767596826</v>
      </c>
      <c r="Z426" s="157" t="e">
        <f t="shared" si="71"/>
        <v>#DIV/0!</v>
      </c>
    </row>
    <row r="427" spans="1:26" x14ac:dyDescent="0.25">
      <c r="B427" s="73"/>
      <c r="N427" s="30"/>
      <c r="O427" s="30"/>
      <c r="P427" s="30"/>
      <c r="Q427" s="30"/>
      <c r="R427" s="30"/>
      <c r="S427" s="91"/>
    </row>
    <row r="428" spans="1:26" x14ac:dyDescent="0.25"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33"/>
      <c r="X428" s="32"/>
      <c r="Y428" s="32"/>
    </row>
    <row r="429" spans="1:26" x14ac:dyDescent="0.25"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33"/>
      <c r="V429" s="6"/>
      <c r="W429" s="6"/>
      <c r="Y429" s="20"/>
    </row>
    <row r="430" spans="1:26" x14ac:dyDescent="0.25"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30"/>
      <c r="T430" s="32"/>
    </row>
    <row r="431" spans="1:26" x14ac:dyDescent="0.25"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32"/>
    </row>
    <row r="432" spans="1:26" x14ac:dyDescent="0.25"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</row>
  </sheetData>
  <mergeCells count="26">
    <mergeCell ref="L4:L5"/>
    <mergeCell ref="Q4:Q5"/>
    <mergeCell ref="V4:V5"/>
    <mergeCell ref="N4:N5"/>
    <mergeCell ref="O4:O5"/>
    <mergeCell ref="W4:W5"/>
    <mergeCell ref="P4:P5"/>
    <mergeCell ref="R4:R5"/>
    <mergeCell ref="T4:T5"/>
    <mergeCell ref="U4:U5"/>
    <mergeCell ref="C1:Y1"/>
    <mergeCell ref="T2:X2"/>
    <mergeCell ref="Y2:Y5"/>
    <mergeCell ref="C3:H3"/>
    <mergeCell ref="I3:N3"/>
    <mergeCell ref="O3:R3"/>
    <mergeCell ref="S3:S5"/>
    <mergeCell ref="T3:U3"/>
    <mergeCell ref="X3:X5"/>
    <mergeCell ref="C4:G4"/>
    <mergeCell ref="H4:H5"/>
    <mergeCell ref="I4:I5"/>
    <mergeCell ref="C2:R2"/>
    <mergeCell ref="J4:J5"/>
    <mergeCell ref="K4:K5"/>
    <mergeCell ref="M4:M5"/>
  </mergeCells>
  <phoneticPr fontId="35" type="noConversion"/>
  <pageMargins left="0.7" right="0.7" top="0.75" bottom="0.75" header="0.3" footer="0.3"/>
  <pageSetup scale="2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C108-A897-4829-87C1-44419FF9A6C6}">
  <sheetPr>
    <tabColor theme="0"/>
    <pageSetUpPr fitToPage="1"/>
  </sheetPr>
  <dimension ref="A1:Z432"/>
  <sheetViews>
    <sheetView zoomScale="90" zoomScaleNormal="90" workbookViewId="0">
      <pane xSplit="2" ySplit="5" topLeftCell="C413" activePane="bottomRight" state="frozen"/>
      <selection activeCell="F136" sqref="F136"/>
      <selection pane="topRight" activeCell="F136" sqref="F136"/>
      <selection pane="bottomLeft" activeCell="F136" sqref="F136"/>
      <selection pane="bottomRight" activeCell="F431" sqref="F431"/>
    </sheetView>
  </sheetViews>
  <sheetFormatPr defaultColWidth="9.109375" defaultRowHeight="13.2" x14ac:dyDescent="0.25"/>
  <cols>
    <col min="1" max="1" width="10.33203125" style="29" customWidth="1"/>
    <col min="2" max="2" width="1.5546875" style="29" hidden="1" customWidth="1"/>
    <col min="3" max="3" width="24" style="28" customWidth="1"/>
    <col min="4" max="4" width="11.44140625" style="28" customWidth="1"/>
    <col min="5" max="5" width="19.6640625" style="28" customWidth="1"/>
    <col min="6" max="6" width="9.88671875" style="28" customWidth="1"/>
    <col min="7" max="7" width="18.33203125" style="28" customWidth="1"/>
    <col min="8" max="8" width="24.6640625" style="28" customWidth="1"/>
    <col min="9" max="9" width="10.6640625" style="28" customWidth="1"/>
    <col min="10" max="10" width="11.33203125" style="28" customWidth="1"/>
    <col min="11" max="11" width="15.5546875" style="28" customWidth="1"/>
    <col min="12" max="12" width="22.33203125" style="28" customWidth="1"/>
    <col min="13" max="13" width="10.6640625" style="28" customWidth="1"/>
    <col min="14" max="14" width="14.6640625" style="28" customWidth="1"/>
    <col min="15" max="15" width="13.33203125" style="28" customWidth="1"/>
    <col min="16" max="16" width="10.6640625" style="28" customWidth="1"/>
    <col min="17" max="17" width="24.33203125" style="28" customWidth="1"/>
    <col min="18" max="18" width="12.6640625" style="28" customWidth="1"/>
    <col min="19" max="19" width="13.88671875" style="28" customWidth="1"/>
    <col min="20" max="20" width="17.88671875" style="28" customWidth="1"/>
    <col min="21" max="21" width="15.33203125" style="28" customWidth="1"/>
    <col min="22" max="22" width="17.5546875" style="28" customWidth="1"/>
    <col min="23" max="23" width="16" style="28" customWidth="1"/>
    <col min="24" max="24" width="11.33203125" style="28" customWidth="1"/>
    <col min="25" max="25" width="13.33203125" style="28" customWidth="1"/>
    <col min="26" max="26" width="0" style="28" hidden="1" customWidth="1"/>
    <col min="27" max="16384" width="9.109375" style="28"/>
  </cols>
  <sheetData>
    <row r="1" spans="1:25" s="42" customFormat="1" ht="17.399999999999999" x14ac:dyDescent="0.3">
      <c r="A1" s="43"/>
      <c r="B1" s="43"/>
      <c r="C1" s="170" t="s">
        <v>369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s="44" customFormat="1" ht="18.600000000000001" customHeight="1" x14ac:dyDescent="0.25">
      <c r="A2" s="45"/>
      <c r="B2" s="45"/>
      <c r="C2" s="194" t="s">
        <v>357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78"/>
      <c r="T2" s="171" t="s">
        <v>98</v>
      </c>
      <c r="U2" s="171"/>
      <c r="V2" s="171"/>
      <c r="W2" s="171"/>
      <c r="X2" s="171"/>
      <c r="Y2" s="172" t="s">
        <v>96</v>
      </c>
    </row>
    <row r="3" spans="1:25" s="42" customFormat="1" ht="12.75" customHeight="1" x14ac:dyDescent="0.25">
      <c r="A3" s="43"/>
      <c r="B3" s="43"/>
      <c r="C3" s="173" t="s">
        <v>116</v>
      </c>
      <c r="D3" s="174"/>
      <c r="E3" s="174"/>
      <c r="F3" s="174"/>
      <c r="G3" s="174"/>
      <c r="H3" s="175"/>
      <c r="I3" s="176" t="s">
        <v>101</v>
      </c>
      <c r="J3" s="177"/>
      <c r="K3" s="177"/>
      <c r="L3" s="177"/>
      <c r="M3" s="177"/>
      <c r="N3" s="178"/>
      <c r="O3" s="179" t="s">
        <v>154</v>
      </c>
      <c r="P3" s="180"/>
      <c r="Q3" s="180"/>
      <c r="R3" s="181"/>
      <c r="S3" s="182" t="s">
        <v>0</v>
      </c>
      <c r="T3" s="184" t="s">
        <v>97</v>
      </c>
      <c r="U3" s="185"/>
      <c r="V3" s="79" t="s">
        <v>95</v>
      </c>
      <c r="W3" s="80" t="s">
        <v>95</v>
      </c>
      <c r="X3" s="186" t="s">
        <v>0</v>
      </c>
      <c r="Y3" s="172"/>
    </row>
    <row r="4" spans="1:25" s="42" customFormat="1" ht="12.75" customHeight="1" x14ac:dyDescent="0.25">
      <c r="A4" s="43"/>
      <c r="B4" s="43"/>
      <c r="C4" s="188" t="s">
        <v>115</v>
      </c>
      <c r="D4" s="189"/>
      <c r="E4" s="189"/>
      <c r="F4" s="189"/>
      <c r="G4" s="189"/>
      <c r="H4" s="190" t="s">
        <v>103</v>
      </c>
      <c r="I4" s="192" t="s">
        <v>105</v>
      </c>
      <c r="J4" s="195" t="s">
        <v>88</v>
      </c>
      <c r="K4" s="195" t="s">
        <v>97</v>
      </c>
      <c r="L4" s="81"/>
      <c r="M4" s="195" t="s">
        <v>138</v>
      </c>
      <c r="N4" s="207" t="s">
        <v>0</v>
      </c>
      <c r="O4" s="209" t="s">
        <v>105</v>
      </c>
      <c r="P4" s="197" t="s">
        <v>155</v>
      </c>
      <c r="Q4" s="82"/>
      <c r="R4" s="199" t="s">
        <v>0</v>
      </c>
      <c r="S4" s="182"/>
      <c r="T4" s="201" t="s">
        <v>143</v>
      </c>
      <c r="U4" s="195" t="s">
        <v>144</v>
      </c>
      <c r="V4" s="201" t="s">
        <v>325</v>
      </c>
      <c r="W4" s="195" t="s">
        <v>221</v>
      </c>
      <c r="X4" s="186"/>
      <c r="Y4" s="172"/>
    </row>
    <row r="5" spans="1:25" s="40" customFormat="1" ht="135.6" customHeight="1" x14ac:dyDescent="0.25">
      <c r="A5" s="41"/>
      <c r="B5" s="41"/>
      <c r="C5" s="83" t="s">
        <v>366</v>
      </c>
      <c r="D5" s="84" t="s">
        <v>367</v>
      </c>
      <c r="E5" s="84" t="s">
        <v>113</v>
      </c>
      <c r="F5" s="84" t="s">
        <v>114</v>
      </c>
      <c r="G5" s="85" t="s">
        <v>0</v>
      </c>
      <c r="H5" s="191"/>
      <c r="I5" s="193"/>
      <c r="J5" s="196"/>
      <c r="K5" s="196"/>
      <c r="L5" s="93" t="s">
        <v>359</v>
      </c>
      <c r="M5" s="195"/>
      <c r="N5" s="208"/>
      <c r="O5" s="210"/>
      <c r="P5" s="198"/>
      <c r="Q5" s="93" t="s">
        <v>358</v>
      </c>
      <c r="R5" s="200"/>
      <c r="S5" s="183"/>
      <c r="T5" s="202"/>
      <c r="U5" s="195"/>
      <c r="V5" s="202"/>
      <c r="W5" s="195" t="s">
        <v>221</v>
      </c>
      <c r="X5" s="187"/>
      <c r="Y5" s="172"/>
    </row>
    <row r="6" spans="1:25" hidden="1" x14ac:dyDescent="0.25">
      <c r="A6" s="14">
        <v>39630</v>
      </c>
      <c r="B6" s="14"/>
      <c r="C6" s="15"/>
      <c r="D6" s="15"/>
      <c r="E6" s="15"/>
      <c r="F6" s="15"/>
      <c r="G6" s="152">
        <f>[5]Population!DQ251+[5]Population!DR251</f>
        <v>184652</v>
      </c>
      <c r="H6" s="59">
        <f>[5]Population!DS251+[5]Population!DT251</f>
        <v>44468</v>
      </c>
      <c r="I6" s="64">
        <f>Population!DP244</f>
        <v>62621</v>
      </c>
      <c r="J6" s="15">
        <f>Population!DR244</f>
        <v>16792</v>
      </c>
      <c r="K6" s="15">
        <f>Population!DO244+Population!DT244</f>
        <v>359112</v>
      </c>
      <c r="L6" s="15">
        <f>Population!DQ244</f>
        <v>0</v>
      </c>
      <c r="M6" s="15">
        <f>Population!DS244</f>
        <v>5804</v>
      </c>
      <c r="N6" s="68">
        <f>SUM(I6:M6)</f>
        <v>444329</v>
      </c>
      <c r="O6" s="63">
        <f>Population!DU244</f>
        <v>0</v>
      </c>
      <c r="P6" s="15">
        <f>Population!DV244</f>
        <v>0</v>
      </c>
      <c r="Q6" s="16">
        <v>0</v>
      </c>
      <c r="R6" s="88">
        <v>0</v>
      </c>
      <c r="S6" s="88">
        <f>G6+N6+R6+H6</f>
        <v>673449</v>
      </c>
      <c r="T6" s="17">
        <f>Population!DZ244</f>
        <v>36499</v>
      </c>
      <c r="U6" s="153">
        <f>Population!G244+Population!H244+Population!I244+Population!J244+Population!K244+Population!N244</f>
        <v>54123</v>
      </c>
      <c r="V6" s="15">
        <f>[5]Population!G251</f>
        <v>1128</v>
      </c>
      <c r="W6" s="15">
        <v>0</v>
      </c>
      <c r="X6" s="89">
        <f>SUM(T6:W6)</f>
        <v>91750</v>
      </c>
      <c r="Y6" s="65">
        <f>S6+X6</f>
        <v>765199</v>
      </c>
    </row>
    <row r="7" spans="1:25" hidden="1" x14ac:dyDescent="0.25">
      <c r="A7" s="14">
        <v>39661</v>
      </c>
      <c r="B7" s="14"/>
      <c r="C7" s="15"/>
      <c r="D7" s="15"/>
      <c r="E7" s="15"/>
      <c r="F7" s="15"/>
      <c r="G7" s="152">
        <f>[5]Population!DQ252+[5]Population!DR252</f>
        <v>184946</v>
      </c>
      <c r="H7" s="59">
        <f>[5]Population!DS252+[5]Population!DT252</f>
        <v>44818</v>
      </c>
      <c r="I7" s="64">
        <f>Population!DP245</f>
        <v>63443</v>
      </c>
      <c r="J7" s="15">
        <f>Population!DR245</f>
        <v>16825</v>
      </c>
      <c r="K7" s="15">
        <f>Population!DO245+Population!DT245</f>
        <v>360532</v>
      </c>
      <c r="L7" s="15">
        <f>Population!DQ245</f>
        <v>0</v>
      </c>
      <c r="M7" s="15">
        <f>Population!DS245</f>
        <v>5400</v>
      </c>
      <c r="N7" s="68">
        <f t="shared" ref="N7:N69" si="0">SUM(I7:M7)</f>
        <v>446200</v>
      </c>
      <c r="O7" s="63">
        <f>Population!DU245</f>
        <v>0</v>
      </c>
      <c r="P7" s="15">
        <f>Population!DV245</f>
        <v>0</v>
      </c>
      <c r="Q7" s="16">
        <v>0</v>
      </c>
      <c r="R7" s="88">
        <v>0</v>
      </c>
      <c r="S7" s="88">
        <f t="shared" ref="S7:S69" si="1">G7+N7+R7+H7</f>
        <v>675964</v>
      </c>
      <c r="T7" s="17">
        <f>Population!DZ245</f>
        <v>36792</v>
      </c>
      <c r="U7" s="153">
        <f>Population!G245+Population!H245+Population!I245+Population!J245+Population!K245+Population!N245</f>
        <v>55031</v>
      </c>
      <c r="V7" s="15">
        <f>[5]Population!G252</f>
        <v>1122</v>
      </c>
      <c r="W7" s="15">
        <v>0</v>
      </c>
      <c r="X7" s="89">
        <f t="shared" ref="X7:X69" si="2">SUM(T7:W7)</f>
        <v>92945</v>
      </c>
      <c r="Y7" s="65">
        <f t="shared" ref="Y7:Y69" si="3">S7+X7</f>
        <v>768909</v>
      </c>
    </row>
    <row r="8" spans="1:25" hidden="1" x14ac:dyDescent="0.25">
      <c r="A8" s="14">
        <v>39692</v>
      </c>
      <c r="B8" s="14"/>
      <c r="C8" s="15"/>
      <c r="D8" s="15"/>
      <c r="E8" s="15"/>
      <c r="F8" s="15"/>
      <c r="G8" s="152">
        <f>[5]Population!DQ253+[5]Population!DR253</f>
        <v>185334</v>
      </c>
      <c r="H8" s="59">
        <f>[5]Population!DS253+[5]Population!DT253</f>
        <v>45276</v>
      </c>
      <c r="I8" s="64">
        <f>Population!DP246</f>
        <v>63940</v>
      </c>
      <c r="J8" s="15">
        <f>Population!DR246</f>
        <v>16757</v>
      </c>
      <c r="K8" s="15">
        <f>Population!DO246+Population!DT246</f>
        <v>363048</v>
      </c>
      <c r="L8" s="15">
        <f>Population!DQ246</f>
        <v>0</v>
      </c>
      <c r="M8" s="15">
        <f>Population!DS246</f>
        <v>5037</v>
      </c>
      <c r="N8" s="68">
        <f t="shared" si="0"/>
        <v>448782</v>
      </c>
      <c r="O8" s="63">
        <f>Population!DU246</f>
        <v>0</v>
      </c>
      <c r="P8" s="15">
        <f>Population!DV246</f>
        <v>0</v>
      </c>
      <c r="Q8" s="16">
        <v>0</v>
      </c>
      <c r="R8" s="88">
        <v>0</v>
      </c>
      <c r="S8" s="88">
        <f t="shared" si="1"/>
        <v>679392</v>
      </c>
      <c r="T8" s="17">
        <f>Population!DZ246</f>
        <v>36952</v>
      </c>
      <c r="U8" s="153">
        <f>Population!G246+Population!H246+Population!I246+Population!J246+Population!K246+Population!N246</f>
        <v>55050</v>
      </c>
      <c r="V8" s="15">
        <f>[5]Population!G253</f>
        <v>1128</v>
      </c>
      <c r="W8" s="15">
        <v>0</v>
      </c>
      <c r="X8" s="89">
        <f t="shared" si="2"/>
        <v>93130</v>
      </c>
      <c r="Y8" s="65">
        <f t="shared" si="3"/>
        <v>772522</v>
      </c>
    </row>
    <row r="9" spans="1:25" hidden="1" x14ac:dyDescent="0.25">
      <c r="A9" s="14">
        <v>39722</v>
      </c>
      <c r="B9" s="14"/>
      <c r="C9" s="15"/>
      <c r="D9" s="15"/>
      <c r="E9" s="15"/>
      <c r="F9" s="15"/>
      <c r="G9" s="152">
        <f>[5]Population!DQ254+[5]Population!DR254</f>
        <v>185597</v>
      </c>
      <c r="H9" s="59">
        <f>[5]Population!DS254+[5]Population!DT254</f>
        <v>45659</v>
      </c>
      <c r="I9" s="64">
        <f>Population!DP247</f>
        <v>64903</v>
      </c>
      <c r="J9" s="15">
        <f>Population!DR247</f>
        <v>16994</v>
      </c>
      <c r="K9" s="15">
        <f>Population!DO247+Population!DT247</f>
        <v>367855</v>
      </c>
      <c r="L9" s="15">
        <f>Population!DQ247</f>
        <v>0</v>
      </c>
      <c r="M9" s="15">
        <f>Population!DS247</f>
        <v>4800</v>
      </c>
      <c r="N9" s="68">
        <f t="shared" si="0"/>
        <v>454552</v>
      </c>
      <c r="O9" s="63">
        <f>Population!DU247</f>
        <v>0</v>
      </c>
      <c r="P9" s="15">
        <f>Population!DV247</f>
        <v>0</v>
      </c>
      <c r="Q9" s="16">
        <v>0</v>
      </c>
      <c r="R9" s="88">
        <v>0</v>
      </c>
      <c r="S9" s="88">
        <f t="shared" si="1"/>
        <v>685808</v>
      </c>
      <c r="T9" s="17">
        <f>Population!DZ247</f>
        <v>37361</v>
      </c>
      <c r="U9" s="153">
        <f>Population!G247+Population!H247+Population!I247+Population!J247+Population!K247+Population!N247</f>
        <v>56080</v>
      </c>
      <c r="V9" s="15">
        <f>[5]Population!G254</f>
        <v>1119</v>
      </c>
      <c r="W9" s="15">
        <v>0</v>
      </c>
      <c r="X9" s="89">
        <f t="shared" si="2"/>
        <v>94560</v>
      </c>
      <c r="Y9" s="65">
        <f t="shared" si="3"/>
        <v>780368</v>
      </c>
    </row>
    <row r="10" spans="1:25" hidden="1" x14ac:dyDescent="0.25">
      <c r="A10" s="14">
        <v>39753</v>
      </c>
      <c r="B10" s="14"/>
      <c r="C10" s="15"/>
      <c r="D10" s="15"/>
      <c r="E10" s="15"/>
      <c r="F10" s="15"/>
      <c r="G10" s="152">
        <f>[5]Population!DQ255+[5]Population!DR255</f>
        <v>185798</v>
      </c>
      <c r="H10" s="59">
        <f>[5]Population!DS255+[5]Population!DT255</f>
        <v>45904</v>
      </c>
      <c r="I10" s="64">
        <f>Population!DP248</f>
        <v>66315</v>
      </c>
      <c r="J10" s="15">
        <f>Population!DR248</f>
        <v>16528</v>
      </c>
      <c r="K10" s="15">
        <f>Population!DO248+Population!DT248</f>
        <v>370399</v>
      </c>
      <c r="L10" s="15">
        <f>Population!DQ248</f>
        <v>0</v>
      </c>
      <c r="M10" s="15">
        <f>Population!DS248</f>
        <v>4638</v>
      </c>
      <c r="N10" s="68">
        <f t="shared" si="0"/>
        <v>457880</v>
      </c>
      <c r="O10" s="63">
        <f>Population!DU248</f>
        <v>0</v>
      </c>
      <c r="P10" s="15">
        <f>Population!DV248</f>
        <v>0</v>
      </c>
      <c r="Q10" s="16">
        <v>0</v>
      </c>
      <c r="R10" s="88">
        <v>0</v>
      </c>
      <c r="S10" s="88">
        <f t="shared" si="1"/>
        <v>689582</v>
      </c>
      <c r="T10" s="17">
        <f>Population!DZ248</f>
        <v>38083</v>
      </c>
      <c r="U10" s="153">
        <f>Population!G248+Population!H248+Population!I248+Population!J248+Population!K248+Population!N248</f>
        <v>56911</v>
      </c>
      <c r="V10" s="15">
        <f>[5]Population!G255</f>
        <v>1152</v>
      </c>
      <c r="W10" s="15">
        <v>0</v>
      </c>
      <c r="X10" s="89">
        <f t="shared" si="2"/>
        <v>96146</v>
      </c>
      <c r="Y10" s="65">
        <f t="shared" si="3"/>
        <v>785728</v>
      </c>
    </row>
    <row r="11" spans="1:25" hidden="1" x14ac:dyDescent="0.25">
      <c r="A11" s="14">
        <v>39783</v>
      </c>
      <c r="B11" s="14"/>
      <c r="C11" s="15"/>
      <c r="D11" s="15"/>
      <c r="E11" s="15"/>
      <c r="F11" s="15"/>
      <c r="G11" s="152">
        <f>[5]Population!DQ256+[5]Population!DR256</f>
        <v>186396</v>
      </c>
      <c r="H11" s="59">
        <f>[5]Population!DS256+[5]Population!DT256</f>
        <v>46257</v>
      </c>
      <c r="I11" s="64">
        <f>Population!DP249</f>
        <v>67001</v>
      </c>
      <c r="J11" s="15">
        <f>Population!DR249</f>
        <v>16249</v>
      </c>
      <c r="K11" s="15">
        <f>Population!DO249+Population!DT249</f>
        <v>373911</v>
      </c>
      <c r="L11" s="15">
        <f>Population!DQ249</f>
        <v>0</v>
      </c>
      <c r="M11" s="15">
        <f>Population!DS249</f>
        <v>4291</v>
      </c>
      <c r="N11" s="68">
        <f t="shared" si="0"/>
        <v>461452</v>
      </c>
      <c r="O11" s="63">
        <f>Population!DU249</f>
        <v>0</v>
      </c>
      <c r="P11" s="15">
        <f>Population!DV249</f>
        <v>0</v>
      </c>
      <c r="Q11" s="16">
        <v>0</v>
      </c>
      <c r="R11" s="88">
        <v>0</v>
      </c>
      <c r="S11" s="88">
        <f t="shared" si="1"/>
        <v>694105</v>
      </c>
      <c r="T11" s="17">
        <f>Population!DZ249</f>
        <v>38511</v>
      </c>
      <c r="U11" s="153">
        <f>Population!G249+Population!H249+Population!I249+Population!J249+Population!K249+Population!N249</f>
        <v>56831</v>
      </c>
      <c r="V11" s="15">
        <f>[5]Population!G256</f>
        <v>1201</v>
      </c>
      <c r="W11" s="15">
        <v>0</v>
      </c>
      <c r="X11" s="89">
        <f t="shared" si="2"/>
        <v>96543</v>
      </c>
      <c r="Y11" s="65">
        <f t="shared" si="3"/>
        <v>790648</v>
      </c>
    </row>
    <row r="12" spans="1:25" hidden="1" x14ac:dyDescent="0.25">
      <c r="A12" s="14">
        <v>39814</v>
      </c>
      <c r="B12" s="14"/>
      <c r="C12" s="15"/>
      <c r="D12" s="15"/>
      <c r="E12" s="15"/>
      <c r="F12" s="15"/>
      <c r="G12" s="152">
        <f>[5]Population!DQ257+[5]Population!DR257</f>
        <v>186843</v>
      </c>
      <c r="H12" s="59">
        <f>[5]Population!DS257+[5]Population!DT257</f>
        <v>46640</v>
      </c>
      <c r="I12" s="64">
        <f>Population!DP250</f>
        <v>67322</v>
      </c>
      <c r="J12" s="15">
        <f>Population!DR250</f>
        <v>16187</v>
      </c>
      <c r="K12" s="15">
        <f>Population!DO250+Population!DT250</f>
        <v>378178</v>
      </c>
      <c r="L12" s="15">
        <f>Population!DQ250</f>
        <v>0</v>
      </c>
      <c r="M12" s="15">
        <f>Population!DS250</f>
        <v>4026</v>
      </c>
      <c r="N12" s="68">
        <f t="shared" si="0"/>
        <v>465713</v>
      </c>
      <c r="O12" s="63">
        <f>Population!DU250</f>
        <v>0</v>
      </c>
      <c r="P12" s="15">
        <f>Population!DV250</f>
        <v>0</v>
      </c>
      <c r="Q12" s="16">
        <v>0</v>
      </c>
      <c r="R12" s="88">
        <v>0</v>
      </c>
      <c r="S12" s="88">
        <f t="shared" si="1"/>
        <v>699196</v>
      </c>
      <c r="T12" s="17">
        <f>Population!DZ250</f>
        <v>38809</v>
      </c>
      <c r="U12" s="153">
        <f>Population!G250+Population!H250+Population!I250+Population!J250+Population!K250+Population!N250</f>
        <v>57205</v>
      </c>
      <c r="V12" s="15">
        <f>[5]Population!G257</f>
        <v>1169</v>
      </c>
      <c r="W12" s="15">
        <v>0</v>
      </c>
      <c r="X12" s="89">
        <f t="shared" si="2"/>
        <v>97183</v>
      </c>
      <c r="Y12" s="65">
        <f t="shared" si="3"/>
        <v>796379</v>
      </c>
    </row>
    <row r="13" spans="1:25" hidden="1" x14ac:dyDescent="0.25">
      <c r="A13" s="14">
        <v>39845</v>
      </c>
      <c r="B13" s="14"/>
      <c r="C13" s="15"/>
      <c r="D13" s="15"/>
      <c r="E13" s="15"/>
      <c r="F13" s="15"/>
      <c r="G13" s="152">
        <f>[5]Population!DQ258+[5]Population!DR258</f>
        <v>186753</v>
      </c>
      <c r="H13" s="59">
        <f>[5]Population!DS258+[5]Population!DT258</f>
        <v>39424</v>
      </c>
      <c r="I13" s="64">
        <f>Population!DP251</f>
        <v>67786</v>
      </c>
      <c r="J13" s="15">
        <f>Population!DR251</f>
        <v>16016</v>
      </c>
      <c r="K13" s="15">
        <f>Population!DO251+Population!DT251</f>
        <v>382685</v>
      </c>
      <c r="L13" s="15">
        <f>Population!DQ251</f>
        <v>0</v>
      </c>
      <c r="M13" s="15">
        <f>Population!DS251</f>
        <v>3821</v>
      </c>
      <c r="N13" s="68">
        <f t="shared" si="0"/>
        <v>470308</v>
      </c>
      <c r="O13" s="63">
        <f>Population!DU251</f>
        <v>0</v>
      </c>
      <c r="P13" s="15">
        <f>Population!DV251</f>
        <v>0</v>
      </c>
      <c r="Q13" s="16">
        <v>0</v>
      </c>
      <c r="R13" s="88">
        <v>0</v>
      </c>
      <c r="S13" s="88">
        <f t="shared" si="1"/>
        <v>696485</v>
      </c>
      <c r="T13" s="17">
        <f>Population!DZ251</f>
        <v>39039</v>
      </c>
      <c r="U13" s="153">
        <f>Population!G251+Population!H251+Population!I251+Population!J251+Population!K251+Population!N251</f>
        <v>57005</v>
      </c>
      <c r="V13" s="15">
        <f>[5]Population!G258</f>
        <v>1165</v>
      </c>
      <c r="W13" s="15">
        <v>0</v>
      </c>
      <c r="X13" s="89">
        <f t="shared" si="2"/>
        <v>97209</v>
      </c>
      <c r="Y13" s="65">
        <f t="shared" si="3"/>
        <v>793694</v>
      </c>
    </row>
    <row r="14" spans="1:25" hidden="1" x14ac:dyDescent="0.25">
      <c r="A14" s="14">
        <v>39873</v>
      </c>
      <c r="B14" s="14"/>
      <c r="C14" s="15"/>
      <c r="D14" s="15"/>
      <c r="E14" s="15"/>
      <c r="F14" s="15"/>
      <c r="G14" s="152">
        <f>[5]Population!DQ259+[5]Population!DR259</f>
        <v>187213</v>
      </c>
      <c r="H14" s="59">
        <f>[5]Population!DS259+[5]Population!DT259</f>
        <v>42298</v>
      </c>
      <c r="I14" s="64">
        <f>Population!DP252</f>
        <v>68269</v>
      </c>
      <c r="J14" s="15">
        <f>Population!DR252</f>
        <v>16332</v>
      </c>
      <c r="K14" s="15">
        <f>Population!DO252+Population!DT252</f>
        <v>389448</v>
      </c>
      <c r="L14" s="15">
        <f>Population!DQ252</f>
        <v>0</v>
      </c>
      <c r="M14" s="15">
        <f>Population!DS252</f>
        <v>3774</v>
      </c>
      <c r="N14" s="68">
        <f t="shared" si="0"/>
        <v>477823</v>
      </c>
      <c r="O14" s="63">
        <f>Population!DU252</f>
        <v>0</v>
      </c>
      <c r="P14" s="15">
        <f>Population!DV252</f>
        <v>0</v>
      </c>
      <c r="Q14" s="16">
        <v>0</v>
      </c>
      <c r="R14" s="88">
        <v>0</v>
      </c>
      <c r="S14" s="88">
        <f t="shared" si="1"/>
        <v>707334</v>
      </c>
      <c r="T14" s="17">
        <f>Population!DZ252</f>
        <v>38731</v>
      </c>
      <c r="U14" s="153">
        <f>Population!G252+Population!H252+Population!I252+Population!J252+Population!K252+Population!N252</f>
        <v>56918</v>
      </c>
      <c r="V14" s="15">
        <f>[5]Population!G259</f>
        <v>1161</v>
      </c>
      <c r="W14" s="15">
        <v>0</v>
      </c>
      <c r="X14" s="89">
        <f t="shared" si="2"/>
        <v>96810</v>
      </c>
      <c r="Y14" s="65">
        <f t="shared" si="3"/>
        <v>804144</v>
      </c>
    </row>
    <row r="15" spans="1:25" hidden="1" x14ac:dyDescent="0.25">
      <c r="A15" s="14">
        <v>39904</v>
      </c>
      <c r="B15" s="14"/>
      <c r="C15" s="15"/>
      <c r="D15" s="15"/>
      <c r="E15" s="15"/>
      <c r="F15" s="15"/>
      <c r="G15" s="152">
        <f>[5]Population!DQ260+[5]Population!DR260</f>
        <v>187358</v>
      </c>
      <c r="H15" s="59">
        <f>[5]Population!DS260+[5]Population!DT260</f>
        <v>44541</v>
      </c>
      <c r="I15" s="64">
        <f>Population!DP253</f>
        <v>69264</v>
      </c>
      <c r="J15" s="15">
        <f>Population!DR253</f>
        <v>14034</v>
      </c>
      <c r="K15" s="15">
        <f>Population!DO253+Population!DT253</f>
        <v>395737</v>
      </c>
      <c r="L15" s="15">
        <f>Population!DQ253</f>
        <v>0</v>
      </c>
      <c r="M15" s="15">
        <f>Population!DS253</f>
        <v>3758</v>
      </c>
      <c r="N15" s="68">
        <f t="shared" si="0"/>
        <v>482793</v>
      </c>
      <c r="O15" s="63">
        <f>Population!DU253</f>
        <v>0</v>
      </c>
      <c r="P15" s="15">
        <f>Population!DV253</f>
        <v>0</v>
      </c>
      <c r="Q15" s="16">
        <v>0</v>
      </c>
      <c r="R15" s="88">
        <v>0</v>
      </c>
      <c r="S15" s="88">
        <f t="shared" si="1"/>
        <v>714692</v>
      </c>
      <c r="T15" s="17">
        <f>Population!DZ253</f>
        <v>38781</v>
      </c>
      <c r="U15" s="153">
        <f>Population!G253+Population!H253+Population!I253+Population!J253+Population!K253+Population!N253</f>
        <v>57569</v>
      </c>
      <c r="V15" s="15">
        <f>[5]Population!G260</f>
        <v>1127</v>
      </c>
      <c r="W15" s="15">
        <v>0</v>
      </c>
      <c r="X15" s="89">
        <f t="shared" si="2"/>
        <v>97477</v>
      </c>
      <c r="Y15" s="65">
        <f t="shared" si="3"/>
        <v>812169</v>
      </c>
    </row>
    <row r="16" spans="1:25" hidden="1" x14ac:dyDescent="0.25">
      <c r="A16" s="14">
        <v>39934</v>
      </c>
      <c r="B16" s="14"/>
      <c r="C16" s="15"/>
      <c r="D16" s="15"/>
      <c r="E16" s="15"/>
      <c r="F16" s="15"/>
      <c r="G16" s="152">
        <f>[5]Population!DQ261+[5]Population!DR261</f>
        <v>187577</v>
      </c>
      <c r="H16" s="59">
        <f>[5]Population!DS261+[5]Population!DT261</f>
        <v>45616</v>
      </c>
      <c r="I16" s="64">
        <f>Population!DP254</f>
        <v>70686</v>
      </c>
      <c r="J16" s="15">
        <f>Population!DR254</f>
        <v>14154</v>
      </c>
      <c r="K16" s="15">
        <f>Population!DO254+Population!DT254</f>
        <v>399947</v>
      </c>
      <c r="L16" s="15">
        <f>Population!DQ254</f>
        <v>0</v>
      </c>
      <c r="M16" s="15">
        <f>Population!DS254</f>
        <v>3798</v>
      </c>
      <c r="N16" s="68">
        <f t="shared" si="0"/>
        <v>488585</v>
      </c>
      <c r="O16" s="63">
        <f>Population!DU254</f>
        <v>0</v>
      </c>
      <c r="P16" s="15">
        <f>Population!DV254</f>
        <v>0</v>
      </c>
      <c r="Q16" s="16">
        <v>0</v>
      </c>
      <c r="R16" s="88">
        <v>0</v>
      </c>
      <c r="S16" s="88">
        <f t="shared" si="1"/>
        <v>721778</v>
      </c>
      <c r="T16" s="17">
        <f>Population!DZ254</f>
        <v>38787</v>
      </c>
      <c r="U16" s="153">
        <f>Population!G254+Population!H254+Population!I254+Population!J254+Population!K254+Population!N254</f>
        <v>57154</v>
      </c>
      <c r="V16" s="15">
        <f>[5]Population!G261</f>
        <v>1118</v>
      </c>
      <c r="W16" s="15">
        <v>0</v>
      </c>
      <c r="X16" s="89">
        <f t="shared" si="2"/>
        <v>97059</v>
      </c>
      <c r="Y16" s="65">
        <f t="shared" si="3"/>
        <v>818837</v>
      </c>
    </row>
    <row r="17" spans="1:25" hidden="1" x14ac:dyDescent="0.25">
      <c r="A17" s="14">
        <v>39965</v>
      </c>
      <c r="B17" s="14"/>
      <c r="C17" s="15"/>
      <c r="D17" s="15"/>
      <c r="E17" s="15"/>
      <c r="F17" s="15"/>
      <c r="G17" s="152">
        <f>[5]Population!DQ262+[5]Population!DR262</f>
        <v>188381</v>
      </c>
      <c r="H17" s="59">
        <f>[5]Population!DS262+[5]Population!DT262</f>
        <v>46258</v>
      </c>
      <c r="I17" s="64">
        <f>Population!DP255</f>
        <v>71027</v>
      </c>
      <c r="J17" s="15">
        <f>Population!DR255</f>
        <v>14471</v>
      </c>
      <c r="K17" s="15">
        <f>Population!DO255+Population!DT255</f>
        <v>404891</v>
      </c>
      <c r="L17" s="15">
        <f>Population!DQ255</f>
        <v>0</v>
      </c>
      <c r="M17" s="15">
        <f>Population!DS255</f>
        <v>3949</v>
      </c>
      <c r="N17" s="68">
        <f t="shared" si="0"/>
        <v>494338</v>
      </c>
      <c r="O17" s="63">
        <f>Population!DU255</f>
        <v>0</v>
      </c>
      <c r="P17" s="15">
        <f>Population!DV255</f>
        <v>0</v>
      </c>
      <c r="Q17" s="16">
        <v>0</v>
      </c>
      <c r="R17" s="88">
        <v>0</v>
      </c>
      <c r="S17" s="88">
        <f t="shared" si="1"/>
        <v>728977</v>
      </c>
      <c r="T17" s="17">
        <f>Population!DZ255</f>
        <v>39119</v>
      </c>
      <c r="U17" s="153">
        <f>Population!G255+Population!H255+Population!I255+Population!J255+Population!K255+Population!N255</f>
        <v>57089</v>
      </c>
      <c r="V17" s="15">
        <f>[5]Population!G262</f>
        <v>1124</v>
      </c>
      <c r="W17" s="15">
        <v>0</v>
      </c>
      <c r="X17" s="89">
        <f t="shared" si="2"/>
        <v>97332</v>
      </c>
      <c r="Y17" s="65">
        <f t="shared" si="3"/>
        <v>826309</v>
      </c>
    </row>
    <row r="18" spans="1:25" hidden="1" x14ac:dyDescent="0.25">
      <c r="A18" s="14"/>
      <c r="B18" s="14"/>
      <c r="C18" s="15"/>
      <c r="D18" s="15"/>
      <c r="E18" s="15"/>
      <c r="F18" s="15"/>
      <c r="G18" s="152"/>
      <c r="H18" s="59"/>
      <c r="I18" s="64"/>
      <c r="J18" s="15"/>
      <c r="K18" s="15"/>
      <c r="L18" s="15"/>
      <c r="M18" s="15"/>
      <c r="N18" s="68"/>
      <c r="O18" s="63"/>
      <c r="P18" s="15"/>
      <c r="Q18" s="16"/>
      <c r="R18" s="88"/>
      <c r="S18" s="88"/>
      <c r="T18" s="17"/>
      <c r="U18" s="153"/>
      <c r="V18" s="15"/>
      <c r="W18" s="15"/>
      <c r="X18" s="89"/>
      <c r="Y18" s="65"/>
    </row>
    <row r="19" spans="1:25" hidden="1" x14ac:dyDescent="0.25">
      <c r="A19" s="14">
        <v>39995</v>
      </c>
      <c r="B19" s="14"/>
      <c r="C19" s="15"/>
      <c r="D19" s="15"/>
      <c r="E19" s="15"/>
      <c r="F19" s="15"/>
      <c r="G19" s="152">
        <f>[5]Population!DQ263+[5]Population!DR263</f>
        <v>188739</v>
      </c>
      <c r="H19" s="59">
        <f>[5]Population!DS263+[5]Population!DT263</f>
        <v>46724</v>
      </c>
      <c r="I19" s="64">
        <f>Population!DP256</f>
        <v>71971</v>
      </c>
      <c r="J19" s="15">
        <f>Population!DR256</f>
        <v>14764</v>
      </c>
      <c r="K19" s="15">
        <f>Population!DO256+Population!DT256</f>
        <v>409632</v>
      </c>
      <c r="L19" s="15">
        <f>Population!DQ256</f>
        <v>0</v>
      </c>
      <c r="M19" s="15">
        <f>Population!DS256</f>
        <v>4055</v>
      </c>
      <c r="N19" s="68">
        <f t="shared" si="0"/>
        <v>500422</v>
      </c>
      <c r="O19" s="63">
        <f>Population!DU256</f>
        <v>0</v>
      </c>
      <c r="P19" s="15">
        <f>Population!DV256</f>
        <v>0</v>
      </c>
      <c r="Q19" s="16">
        <v>0</v>
      </c>
      <c r="R19" s="88">
        <v>0</v>
      </c>
      <c r="S19" s="88">
        <f t="shared" si="1"/>
        <v>735885</v>
      </c>
      <c r="T19" s="17">
        <f>Population!DZ256</f>
        <v>39566</v>
      </c>
      <c r="U19" s="153">
        <f>Population!G256+Population!H256+Population!I256+Population!J256+Population!K256+Population!N256</f>
        <v>56953</v>
      </c>
      <c r="V19" s="15">
        <f>[5]Population!G263</f>
        <v>1094</v>
      </c>
      <c r="W19" s="15">
        <v>0</v>
      </c>
      <c r="X19" s="89">
        <f t="shared" si="2"/>
        <v>97613</v>
      </c>
      <c r="Y19" s="65">
        <f t="shared" si="3"/>
        <v>833498</v>
      </c>
    </row>
    <row r="20" spans="1:25" hidden="1" x14ac:dyDescent="0.25">
      <c r="A20" s="14">
        <v>40026</v>
      </c>
      <c r="B20" s="14"/>
      <c r="C20" s="15"/>
      <c r="D20" s="15"/>
      <c r="E20" s="15"/>
      <c r="F20" s="15"/>
      <c r="G20" s="152">
        <f>[5]Population!DQ264+[5]Population!DR264</f>
        <v>188940</v>
      </c>
      <c r="H20" s="59">
        <f>[5]Population!DS264+[5]Population!DT264</f>
        <v>47274</v>
      </c>
      <c r="I20" s="64">
        <f>Population!DP257</f>
        <v>73301</v>
      </c>
      <c r="J20" s="15">
        <f>Population!DR257</f>
        <v>14779</v>
      </c>
      <c r="K20" s="15">
        <f>Population!DO257+Population!DT257</f>
        <v>411809</v>
      </c>
      <c r="L20" s="15">
        <f>Population!DQ257</f>
        <v>0</v>
      </c>
      <c r="M20" s="15">
        <f>Population!DS257</f>
        <v>4145</v>
      </c>
      <c r="N20" s="68">
        <f t="shared" si="0"/>
        <v>504034</v>
      </c>
      <c r="O20" s="63">
        <f>Population!DU257</f>
        <v>0</v>
      </c>
      <c r="P20" s="15">
        <f>Population!DV257</f>
        <v>0</v>
      </c>
      <c r="Q20" s="16">
        <v>0</v>
      </c>
      <c r="R20" s="88">
        <v>0</v>
      </c>
      <c r="S20" s="88">
        <f t="shared" si="1"/>
        <v>740248</v>
      </c>
      <c r="T20" s="17">
        <f>Population!DZ257</f>
        <v>40269</v>
      </c>
      <c r="U20" s="153">
        <f>Population!G257+Population!H257+Population!I257+Population!J257+Population!K257+Population!N257</f>
        <v>56533</v>
      </c>
      <c r="V20" s="15">
        <f>[5]Population!G264</f>
        <v>1130</v>
      </c>
      <c r="W20" s="15">
        <v>0</v>
      </c>
      <c r="X20" s="89">
        <f t="shared" si="2"/>
        <v>97932</v>
      </c>
      <c r="Y20" s="65">
        <f t="shared" si="3"/>
        <v>838180</v>
      </c>
    </row>
    <row r="21" spans="1:25" hidden="1" x14ac:dyDescent="0.25">
      <c r="A21" s="14">
        <v>40057</v>
      </c>
      <c r="B21" s="14"/>
      <c r="C21" s="15"/>
      <c r="D21" s="15"/>
      <c r="E21" s="15"/>
      <c r="F21" s="15"/>
      <c r="G21" s="152">
        <f>[5]Population!DQ265+[5]Population!DR265</f>
        <v>189027</v>
      </c>
      <c r="H21" s="59">
        <f>[5]Population!DS265+[5]Population!DT265</f>
        <v>47732</v>
      </c>
      <c r="I21" s="64">
        <f>Population!DP258</f>
        <v>74328</v>
      </c>
      <c r="J21" s="15">
        <f>Population!DR258</f>
        <v>14680</v>
      </c>
      <c r="K21" s="15">
        <f>Population!DO258+Population!DT258</f>
        <v>417213</v>
      </c>
      <c r="L21" s="15">
        <f>Population!DQ258</f>
        <v>0</v>
      </c>
      <c r="M21" s="15">
        <f>Population!DS258</f>
        <v>4268</v>
      </c>
      <c r="N21" s="68">
        <f t="shared" si="0"/>
        <v>510489</v>
      </c>
      <c r="O21" s="63">
        <f>Population!DU258</f>
        <v>0</v>
      </c>
      <c r="P21" s="15">
        <f>Population!DV258</f>
        <v>0</v>
      </c>
      <c r="Q21" s="16">
        <v>0</v>
      </c>
      <c r="R21" s="88">
        <v>0</v>
      </c>
      <c r="S21" s="88">
        <f t="shared" si="1"/>
        <v>747248</v>
      </c>
      <c r="T21" s="17">
        <f>Population!DZ258</f>
        <v>40829</v>
      </c>
      <c r="U21" s="153">
        <f>Population!G258+Population!H258+Population!I258+Population!J258+Population!K258+Population!N258</f>
        <v>56291</v>
      </c>
      <c r="V21" s="15">
        <f>[5]Population!G265</f>
        <v>1149</v>
      </c>
      <c r="W21" s="15">
        <v>0</v>
      </c>
      <c r="X21" s="89">
        <f t="shared" si="2"/>
        <v>98269</v>
      </c>
      <c r="Y21" s="65">
        <f t="shared" si="3"/>
        <v>845517</v>
      </c>
    </row>
    <row r="22" spans="1:25" hidden="1" x14ac:dyDescent="0.25">
      <c r="A22" s="14">
        <v>40087</v>
      </c>
      <c r="B22" s="14"/>
      <c r="C22" s="15"/>
      <c r="D22" s="15"/>
      <c r="E22" s="15"/>
      <c r="F22" s="15"/>
      <c r="G22" s="152">
        <f>[5]Population!DQ266+[5]Population!DR266</f>
        <v>189495</v>
      </c>
      <c r="H22" s="59">
        <f>[5]Population!DS266+[5]Population!DT266</f>
        <v>47701</v>
      </c>
      <c r="I22" s="64">
        <f>Population!DP259</f>
        <v>75754</v>
      </c>
      <c r="J22" s="15">
        <f>Population!DR259</f>
        <v>14804</v>
      </c>
      <c r="K22" s="15">
        <f>Population!DO259+Population!DT259</f>
        <v>423789</v>
      </c>
      <c r="L22" s="15">
        <f>Population!DQ259</f>
        <v>0</v>
      </c>
      <c r="M22" s="15">
        <f>Population!DS259</f>
        <v>4371</v>
      </c>
      <c r="N22" s="68">
        <f t="shared" si="0"/>
        <v>518718</v>
      </c>
      <c r="O22" s="63">
        <f>Population!DU259</f>
        <v>0</v>
      </c>
      <c r="P22" s="15">
        <f>Population!DV259</f>
        <v>0</v>
      </c>
      <c r="Q22" s="16">
        <v>0</v>
      </c>
      <c r="R22" s="88">
        <v>0</v>
      </c>
      <c r="S22" s="88">
        <f t="shared" si="1"/>
        <v>755914</v>
      </c>
      <c r="T22" s="17">
        <f>Population!DZ259</f>
        <v>41951</v>
      </c>
      <c r="U22" s="153">
        <f>Population!G259+Population!H259+Population!I259+Population!J259+Population!K259+Population!N259</f>
        <v>56271</v>
      </c>
      <c r="V22" s="15">
        <f>[5]Population!G266</f>
        <v>1157</v>
      </c>
      <c r="W22" s="15">
        <v>0</v>
      </c>
      <c r="X22" s="89">
        <f t="shared" si="2"/>
        <v>99379</v>
      </c>
      <c r="Y22" s="65">
        <f t="shared" si="3"/>
        <v>855293</v>
      </c>
    </row>
    <row r="23" spans="1:25" hidden="1" x14ac:dyDescent="0.25">
      <c r="A23" s="14">
        <v>40118</v>
      </c>
      <c r="B23" s="14"/>
      <c r="C23" s="15"/>
      <c r="D23" s="15"/>
      <c r="E23" s="15"/>
      <c r="F23" s="15"/>
      <c r="G23" s="152">
        <f>[5]Population!DQ267+[5]Population!DR267</f>
        <v>190413</v>
      </c>
      <c r="H23" s="59">
        <f>[5]Population!DS267+[5]Population!DT267</f>
        <v>48861</v>
      </c>
      <c r="I23" s="64">
        <f>Population!DP260</f>
        <v>77109</v>
      </c>
      <c r="J23" s="15">
        <f>Population!DR260</f>
        <v>14351</v>
      </c>
      <c r="K23" s="15">
        <f>Population!DO260+Population!DT260</f>
        <v>426918</v>
      </c>
      <c r="L23" s="15">
        <f>Population!DQ260</f>
        <v>0</v>
      </c>
      <c r="M23" s="15">
        <f>Population!DS260</f>
        <v>4480</v>
      </c>
      <c r="N23" s="68">
        <f t="shared" si="0"/>
        <v>522858</v>
      </c>
      <c r="O23" s="63">
        <f>Population!DU260</f>
        <v>0</v>
      </c>
      <c r="P23" s="15">
        <f>Population!DV260</f>
        <v>0</v>
      </c>
      <c r="Q23" s="16">
        <v>0</v>
      </c>
      <c r="R23" s="88">
        <v>0</v>
      </c>
      <c r="S23" s="88">
        <f t="shared" si="1"/>
        <v>762132</v>
      </c>
      <c r="T23" s="17">
        <f>Population!DZ260</f>
        <v>43135</v>
      </c>
      <c r="U23" s="153">
        <f>Population!G260+Population!H260+Population!I260+Population!J260+Population!K260+Population!N260</f>
        <v>56570</v>
      </c>
      <c r="V23" s="15">
        <f>[5]Population!G267</f>
        <v>1195</v>
      </c>
      <c r="W23" s="15">
        <v>0</v>
      </c>
      <c r="X23" s="89">
        <f t="shared" si="2"/>
        <v>100900</v>
      </c>
      <c r="Y23" s="65">
        <f t="shared" si="3"/>
        <v>863032</v>
      </c>
    </row>
    <row r="24" spans="1:25" hidden="1" x14ac:dyDescent="0.25">
      <c r="A24" s="14">
        <v>40148</v>
      </c>
      <c r="B24" s="14"/>
      <c r="C24" s="15"/>
      <c r="D24" s="15"/>
      <c r="E24" s="15"/>
      <c r="F24" s="15"/>
      <c r="G24" s="152">
        <f>[5]Population!DQ268+[5]Population!DR268</f>
        <v>191214</v>
      </c>
      <c r="H24" s="59">
        <f>[5]Population!DS268+[5]Population!DT268</f>
        <v>49284</v>
      </c>
      <c r="I24" s="64">
        <f>Population!DP261</f>
        <v>77288</v>
      </c>
      <c r="J24" s="15">
        <f>Population!DR261</f>
        <v>14298</v>
      </c>
      <c r="K24" s="15">
        <f>Population!DO261+Population!DT261</f>
        <v>430361</v>
      </c>
      <c r="L24" s="15">
        <f>Population!DQ261</f>
        <v>0</v>
      </c>
      <c r="M24" s="15">
        <f>Population!DS261</f>
        <v>4602</v>
      </c>
      <c r="N24" s="68">
        <f t="shared" si="0"/>
        <v>526549</v>
      </c>
      <c r="O24" s="63">
        <f>Population!DU261</f>
        <v>0</v>
      </c>
      <c r="P24" s="15">
        <f>Population!DV261</f>
        <v>0</v>
      </c>
      <c r="Q24" s="16">
        <v>0</v>
      </c>
      <c r="R24" s="88">
        <v>0</v>
      </c>
      <c r="S24" s="88">
        <f t="shared" si="1"/>
        <v>767047</v>
      </c>
      <c r="T24" s="17">
        <f>Population!DZ261</f>
        <v>44098</v>
      </c>
      <c r="U24" s="153">
        <f>Population!G261+Population!H261+Population!I261+Population!J261+Population!K261+Population!N261</f>
        <v>56402</v>
      </c>
      <c r="V24" s="15">
        <f>[5]Population!G268</f>
        <v>1193</v>
      </c>
      <c r="W24" s="15">
        <v>0</v>
      </c>
      <c r="X24" s="89">
        <f t="shared" si="2"/>
        <v>101693</v>
      </c>
      <c r="Y24" s="65">
        <f t="shared" si="3"/>
        <v>868740</v>
      </c>
    </row>
    <row r="25" spans="1:25" hidden="1" x14ac:dyDescent="0.25">
      <c r="A25" s="14">
        <v>40179</v>
      </c>
      <c r="B25" s="14"/>
      <c r="C25" s="15"/>
      <c r="D25" s="15"/>
      <c r="E25" s="15"/>
      <c r="F25" s="15"/>
      <c r="G25" s="152">
        <f>[5]Population!DQ269+[5]Population!DR269</f>
        <v>191411</v>
      </c>
      <c r="H25" s="59">
        <f>[5]Population!DS269+[5]Population!DT269</f>
        <v>49597</v>
      </c>
      <c r="I25" s="64">
        <f>Population!DP262</f>
        <v>78185</v>
      </c>
      <c r="J25" s="15">
        <f>Population!DR262</f>
        <v>15385</v>
      </c>
      <c r="K25" s="15">
        <f>Population!DO262+Population!DT262</f>
        <v>435204</v>
      </c>
      <c r="L25" s="15">
        <f>Population!DQ262</f>
        <v>0</v>
      </c>
      <c r="M25" s="15">
        <f>Population!DS262</f>
        <v>4718</v>
      </c>
      <c r="N25" s="68">
        <f t="shared" si="0"/>
        <v>533492</v>
      </c>
      <c r="O25" s="63">
        <f>Population!DU262</f>
        <v>0</v>
      </c>
      <c r="P25" s="15">
        <f>Population!DV262</f>
        <v>0</v>
      </c>
      <c r="Q25" s="16">
        <v>0</v>
      </c>
      <c r="R25" s="88">
        <v>0</v>
      </c>
      <c r="S25" s="88">
        <f t="shared" si="1"/>
        <v>774500</v>
      </c>
      <c r="T25" s="17">
        <f>Population!DZ262</f>
        <v>44723</v>
      </c>
      <c r="U25" s="153">
        <f>Population!G262+Population!H262+Population!I262+Population!J262+Population!K262+Population!N262</f>
        <v>56131</v>
      </c>
      <c r="V25" s="15">
        <f>[5]Population!G269</f>
        <v>1165</v>
      </c>
      <c r="W25" s="15">
        <v>0</v>
      </c>
      <c r="X25" s="89">
        <f t="shared" si="2"/>
        <v>102019</v>
      </c>
      <c r="Y25" s="65">
        <f t="shared" si="3"/>
        <v>876519</v>
      </c>
    </row>
    <row r="26" spans="1:25" hidden="1" x14ac:dyDescent="0.25">
      <c r="A26" s="14">
        <v>40210</v>
      </c>
      <c r="B26" s="14"/>
      <c r="C26" s="15"/>
      <c r="D26" s="15"/>
      <c r="E26" s="15"/>
      <c r="F26" s="15"/>
      <c r="G26" s="152">
        <f>[5]Population!DQ270+[5]Population!DR270</f>
        <v>191864</v>
      </c>
      <c r="H26" s="59">
        <f>[5]Population!DS270+[5]Population!DT270</f>
        <v>41796</v>
      </c>
      <c r="I26" s="64">
        <f>Population!DP263</f>
        <v>79634</v>
      </c>
      <c r="J26" s="15">
        <f>Population!DR263</f>
        <v>15892</v>
      </c>
      <c r="K26" s="15">
        <f>Population!DO263+Population!DT263</f>
        <v>435866</v>
      </c>
      <c r="L26" s="15">
        <f>Population!DQ263</f>
        <v>0</v>
      </c>
      <c r="M26" s="15">
        <f>Population!DS263</f>
        <v>4741</v>
      </c>
      <c r="N26" s="68">
        <f t="shared" si="0"/>
        <v>536133</v>
      </c>
      <c r="O26" s="63">
        <f>Population!DU263</f>
        <v>0</v>
      </c>
      <c r="P26" s="15">
        <f>Population!DV263</f>
        <v>0</v>
      </c>
      <c r="Q26" s="16">
        <v>0</v>
      </c>
      <c r="R26" s="88">
        <v>0</v>
      </c>
      <c r="S26" s="88">
        <f t="shared" si="1"/>
        <v>769793</v>
      </c>
      <c r="T26" s="17">
        <f>Population!DZ263</f>
        <v>44913</v>
      </c>
      <c r="U26" s="153">
        <f>Population!G263+Population!H263+Population!I263+Population!J263+Population!K263+Population!N263</f>
        <v>54944</v>
      </c>
      <c r="V26" s="15">
        <f>[5]Population!G270</f>
        <v>1165</v>
      </c>
      <c r="W26" s="15">
        <v>0</v>
      </c>
      <c r="X26" s="89">
        <f t="shared" si="2"/>
        <v>101022</v>
      </c>
      <c r="Y26" s="65">
        <f t="shared" si="3"/>
        <v>870815</v>
      </c>
    </row>
    <row r="27" spans="1:25" hidden="1" x14ac:dyDescent="0.25">
      <c r="A27" s="14">
        <v>40238</v>
      </c>
      <c r="B27" s="14"/>
      <c r="C27" s="15"/>
      <c r="D27" s="15"/>
      <c r="E27" s="15"/>
      <c r="F27" s="15"/>
      <c r="G27" s="152">
        <f>[5]Population!DQ271+[5]Population!DR271</f>
        <v>192248</v>
      </c>
      <c r="H27" s="59">
        <f>[5]Population!DS271+[5]Population!DT271</f>
        <v>47857</v>
      </c>
      <c r="I27" s="64">
        <f>Population!DP264</f>
        <v>79494</v>
      </c>
      <c r="J27" s="15">
        <f>Population!DR264</f>
        <v>15880</v>
      </c>
      <c r="K27" s="15">
        <f>Population!DO264+Population!DT264</f>
        <v>440219</v>
      </c>
      <c r="L27" s="15">
        <f>Population!DQ264</f>
        <v>0</v>
      </c>
      <c r="M27" s="15">
        <f>Population!DS264</f>
        <v>4947</v>
      </c>
      <c r="N27" s="68">
        <f t="shared" si="0"/>
        <v>540540</v>
      </c>
      <c r="O27" s="63">
        <f>Population!DU264</f>
        <v>0</v>
      </c>
      <c r="P27" s="15">
        <f>Population!DV264</f>
        <v>0</v>
      </c>
      <c r="Q27" s="16">
        <v>0</v>
      </c>
      <c r="R27" s="88">
        <v>0</v>
      </c>
      <c r="S27" s="88">
        <f t="shared" si="1"/>
        <v>780645</v>
      </c>
      <c r="T27" s="17">
        <f>Population!DZ264</f>
        <v>44823</v>
      </c>
      <c r="U27" s="153">
        <f>Population!G264+Population!H264+Population!I264+Population!J264+Population!K264+Population!N264</f>
        <v>54301</v>
      </c>
      <c r="V27" s="15">
        <f>[5]Population!G271</f>
        <v>1189</v>
      </c>
      <c r="W27" s="15">
        <v>0</v>
      </c>
      <c r="X27" s="89">
        <f t="shared" si="2"/>
        <v>100313</v>
      </c>
      <c r="Y27" s="65">
        <f t="shared" si="3"/>
        <v>880958</v>
      </c>
    </row>
    <row r="28" spans="1:25" hidden="1" x14ac:dyDescent="0.25">
      <c r="A28" s="14">
        <v>40269</v>
      </c>
      <c r="B28" s="14"/>
      <c r="C28" s="15"/>
      <c r="D28" s="15"/>
      <c r="E28" s="15"/>
      <c r="F28" s="15"/>
      <c r="G28" s="152">
        <f>[5]Population!DQ272+[5]Population!DR272</f>
        <v>192123</v>
      </c>
      <c r="H28" s="59">
        <f>[5]Population!DS272+[5]Population!DT272</f>
        <v>48688</v>
      </c>
      <c r="I28" s="64">
        <f>Population!DP265</f>
        <v>80833</v>
      </c>
      <c r="J28" s="15">
        <f>Population!DR265</f>
        <v>15819</v>
      </c>
      <c r="K28" s="15">
        <f>Population!DO265+Population!DT265</f>
        <v>443132</v>
      </c>
      <c r="L28" s="15">
        <f>Population!DQ265</f>
        <v>0</v>
      </c>
      <c r="M28" s="15">
        <f>Population!DS265</f>
        <v>5106</v>
      </c>
      <c r="N28" s="68">
        <f t="shared" si="0"/>
        <v>544890</v>
      </c>
      <c r="O28" s="63">
        <f>Population!DU265</f>
        <v>0</v>
      </c>
      <c r="P28" s="15">
        <f>Population!DV265</f>
        <v>0</v>
      </c>
      <c r="Q28" s="16">
        <v>0</v>
      </c>
      <c r="R28" s="88">
        <v>0</v>
      </c>
      <c r="S28" s="88">
        <f t="shared" si="1"/>
        <v>785701</v>
      </c>
      <c r="T28" s="17">
        <f>Population!DZ265</f>
        <v>44854</v>
      </c>
      <c r="U28" s="153">
        <f>Population!G265+Population!H265+Population!I265+Population!J265+Population!K265+Population!N265</f>
        <v>53798</v>
      </c>
      <c r="V28" s="15">
        <f>[5]Population!G272</f>
        <v>1149</v>
      </c>
      <c r="W28" s="15">
        <v>0</v>
      </c>
      <c r="X28" s="89">
        <f t="shared" si="2"/>
        <v>99801</v>
      </c>
      <c r="Y28" s="65">
        <f t="shared" si="3"/>
        <v>885502</v>
      </c>
    </row>
    <row r="29" spans="1:25" hidden="1" x14ac:dyDescent="0.25">
      <c r="A29" s="14">
        <v>40299</v>
      </c>
      <c r="B29" s="14"/>
      <c r="C29" s="15"/>
      <c r="D29" s="15"/>
      <c r="E29" s="15"/>
      <c r="F29" s="15"/>
      <c r="G29" s="152">
        <f>[5]Population!DQ273+[5]Population!DR273</f>
        <v>192682</v>
      </c>
      <c r="H29" s="59">
        <f>[5]Population!DS273+[5]Population!DT273</f>
        <v>49513</v>
      </c>
      <c r="I29" s="64">
        <f>Population!DP266</f>
        <v>81004</v>
      </c>
      <c r="J29" s="15">
        <f>Population!DR266</f>
        <v>15550</v>
      </c>
      <c r="K29" s="15">
        <f>Population!DO266+Population!DT266</f>
        <v>444030</v>
      </c>
      <c r="L29" s="15">
        <f>Population!DQ266</f>
        <v>0</v>
      </c>
      <c r="M29" s="15">
        <f>Population!DS266</f>
        <v>5276</v>
      </c>
      <c r="N29" s="68">
        <f t="shared" si="0"/>
        <v>545860</v>
      </c>
      <c r="O29" s="63">
        <f>Population!DU266</f>
        <v>0</v>
      </c>
      <c r="P29" s="15">
        <f>Population!DV266</f>
        <v>0</v>
      </c>
      <c r="Q29" s="16">
        <v>0</v>
      </c>
      <c r="R29" s="88">
        <v>0</v>
      </c>
      <c r="S29" s="88">
        <f t="shared" si="1"/>
        <v>788055</v>
      </c>
      <c r="T29" s="17">
        <f>Population!DZ266</f>
        <v>44943</v>
      </c>
      <c r="U29" s="153">
        <f>Population!G266+Population!H266+Population!I266+Population!J266+Population!K266+Population!N266</f>
        <v>53751</v>
      </c>
      <c r="V29" s="15">
        <f>[5]Population!G273</f>
        <v>1170</v>
      </c>
      <c r="W29" s="15">
        <v>0</v>
      </c>
      <c r="X29" s="89">
        <f t="shared" si="2"/>
        <v>99864</v>
      </c>
      <c r="Y29" s="65">
        <f t="shared" si="3"/>
        <v>887919</v>
      </c>
    </row>
    <row r="30" spans="1:25" hidden="1" x14ac:dyDescent="0.25">
      <c r="A30" s="14">
        <v>40330</v>
      </c>
      <c r="B30" s="14"/>
      <c r="C30" s="15"/>
      <c r="D30" s="15"/>
      <c r="E30" s="15"/>
      <c r="F30" s="15"/>
      <c r="G30" s="152">
        <f>[5]Population!DQ274+[5]Population!DR274</f>
        <v>193535</v>
      </c>
      <c r="H30" s="59">
        <f>[5]Population!DS274+[5]Population!DT274</f>
        <v>50251</v>
      </c>
      <c r="I30" s="64">
        <f>Population!DP267</f>
        <v>81283</v>
      </c>
      <c r="J30" s="15">
        <f>Population!DR267</f>
        <v>15228</v>
      </c>
      <c r="K30" s="15">
        <f>Population!DO267+Population!DT267</f>
        <v>442226</v>
      </c>
      <c r="L30" s="15">
        <f>Population!DQ267</f>
        <v>0</v>
      </c>
      <c r="M30" s="15">
        <f>Population!DS267</f>
        <v>5370</v>
      </c>
      <c r="N30" s="68">
        <f t="shared" si="0"/>
        <v>544107</v>
      </c>
      <c r="O30" s="63">
        <f>Population!DU267</f>
        <v>0</v>
      </c>
      <c r="P30" s="15">
        <f>Population!DV267</f>
        <v>0</v>
      </c>
      <c r="Q30" s="16">
        <v>0</v>
      </c>
      <c r="R30" s="88">
        <v>0</v>
      </c>
      <c r="S30" s="88">
        <f t="shared" si="1"/>
        <v>787893</v>
      </c>
      <c r="T30" s="17">
        <f>Population!DZ267</f>
        <v>45107</v>
      </c>
      <c r="U30" s="153">
        <f>Population!G267+Population!H267+Population!I267+Population!J267+Population!K267+Population!N267</f>
        <v>53870</v>
      </c>
      <c r="V30" s="15">
        <f>[5]Population!G274</f>
        <v>1204</v>
      </c>
      <c r="W30" s="15">
        <v>0</v>
      </c>
      <c r="X30" s="89">
        <f t="shared" si="2"/>
        <v>100181</v>
      </c>
      <c r="Y30" s="65">
        <f t="shared" si="3"/>
        <v>888074</v>
      </c>
    </row>
    <row r="31" spans="1:25" hidden="1" x14ac:dyDescent="0.25">
      <c r="A31" s="14"/>
      <c r="B31" s="14"/>
      <c r="C31" s="15"/>
      <c r="D31" s="15"/>
      <c r="E31" s="15"/>
      <c r="F31" s="15"/>
      <c r="G31" s="15"/>
      <c r="H31" s="59"/>
      <c r="I31" s="64"/>
      <c r="J31" s="15"/>
      <c r="K31" s="15"/>
      <c r="L31" s="15"/>
      <c r="M31" s="15"/>
      <c r="N31" s="68"/>
      <c r="O31" s="63"/>
      <c r="P31" s="15"/>
      <c r="Q31" s="16"/>
      <c r="R31" s="88"/>
      <c r="S31" s="88"/>
      <c r="T31" s="17"/>
      <c r="U31" s="153"/>
      <c r="V31" s="15"/>
      <c r="W31" s="15"/>
      <c r="X31" s="89"/>
      <c r="Y31" s="65"/>
    </row>
    <row r="32" spans="1:25" hidden="1" x14ac:dyDescent="0.25">
      <c r="A32" s="14">
        <v>40360</v>
      </c>
      <c r="B32" s="14"/>
      <c r="C32" s="15"/>
      <c r="D32" s="15"/>
      <c r="E32" s="15"/>
      <c r="F32" s="15"/>
      <c r="G32" s="152">
        <f>[5]Population!DQ275+[5]Population!DR275</f>
        <v>194144</v>
      </c>
      <c r="H32" s="59">
        <f>[5]Population!DS275+[5]Population!DT275</f>
        <v>50710</v>
      </c>
      <c r="I32" s="64">
        <f>Population!DP268</f>
        <v>80537</v>
      </c>
      <c r="J32" s="15">
        <f>Population!DR268</f>
        <v>15300</v>
      </c>
      <c r="K32" s="15">
        <f>Population!DO268+Population!DT268</f>
        <v>445897</v>
      </c>
      <c r="L32" s="15">
        <f>Population!DQ268</f>
        <v>0</v>
      </c>
      <c r="M32" s="15">
        <f>Population!DS268</f>
        <v>5522</v>
      </c>
      <c r="N32" s="68">
        <f t="shared" si="0"/>
        <v>547256</v>
      </c>
      <c r="O32" s="63">
        <f>Population!DU268</f>
        <v>0</v>
      </c>
      <c r="P32" s="15">
        <f>Population!DV268</f>
        <v>0</v>
      </c>
      <c r="Q32" s="16">
        <v>0</v>
      </c>
      <c r="R32" s="88">
        <v>0</v>
      </c>
      <c r="S32" s="88">
        <f t="shared" si="1"/>
        <v>792110</v>
      </c>
      <c r="T32" s="17">
        <f>Population!DZ268</f>
        <v>45021</v>
      </c>
      <c r="U32" s="153">
        <f>Population!G268+Population!H268+Population!I268+Population!J268+Population!K268+Population!N268</f>
        <v>53910</v>
      </c>
      <c r="V32" s="15">
        <f>[5]Population!G275</f>
        <v>1231</v>
      </c>
      <c r="W32" s="15">
        <v>0</v>
      </c>
      <c r="X32" s="89">
        <f t="shared" si="2"/>
        <v>100162</v>
      </c>
      <c r="Y32" s="65">
        <f t="shared" si="3"/>
        <v>892272</v>
      </c>
    </row>
    <row r="33" spans="1:25" hidden="1" x14ac:dyDescent="0.25">
      <c r="A33" s="14">
        <v>40391</v>
      </c>
      <c r="B33" s="14"/>
      <c r="C33" s="15"/>
      <c r="D33" s="15"/>
      <c r="E33" s="15"/>
      <c r="F33" s="15"/>
      <c r="G33" s="152">
        <f>[5]Population!DQ276+[5]Population!DR276</f>
        <v>194075</v>
      </c>
      <c r="H33" s="59">
        <f>[5]Population!DS276+[5]Population!DT276</f>
        <v>51173</v>
      </c>
      <c r="I33" s="64">
        <f>Population!DP269</f>
        <v>82542</v>
      </c>
      <c r="J33" s="15">
        <f>Population!DR269</f>
        <v>14577</v>
      </c>
      <c r="K33" s="15">
        <f>Population!DO269+Population!DT269</f>
        <v>447265</v>
      </c>
      <c r="L33" s="15">
        <f>Population!DQ269</f>
        <v>0</v>
      </c>
      <c r="M33" s="15">
        <f>Population!DS269</f>
        <v>5649</v>
      </c>
      <c r="N33" s="68">
        <f t="shared" si="0"/>
        <v>550033</v>
      </c>
      <c r="O33" s="63">
        <f>Population!DU269</f>
        <v>0</v>
      </c>
      <c r="P33" s="15">
        <f>Population!DV269</f>
        <v>0</v>
      </c>
      <c r="Q33" s="16">
        <v>0</v>
      </c>
      <c r="R33" s="88">
        <v>0</v>
      </c>
      <c r="S33" s="88">
        <f t="shared" si="1"/>
        <v>795281</v>
      </c>
      <c r="T33" s="17">
        <f>Population!DZ269</f>
        <v>45310</v>
      </c>
      <c r="U33" s="153">
        <f>Population!G269+Population!H269+Population!I269+Population!J269+Population!K269+Population!N269</f>
        <v>54114</v>
      </c>
      <c r="V33" s="15">
        <f>[5]Population!G276</f>
        <v>1196</v>
      </c>
      <c r="W33" s="15">
        <v>0</v>
      </c>
      <c r="X33" s="89">
        <f t="shared" si="2"/>
        <v>100620</v>
      </c>
      <c r="Y33" s="65">
        <f t="shared" si="3"/>
        <v>895901</v>
      </c>
    </row>
    <row r="34" spans="1:25" hidden="1" x14ac:dyDescent="0.25">
      <c r="A34" s="14">
        <v>40422</v>
      </c>
      <c r="B34" s="14"/>
      <c r="C34" s="15"/>
      <c r="D34" s="15"/>
      <c r="E34" s="15"/>
      <c r="F34" s="15"/>
      <c r="G34" s="152">
        <f>[5]Population!DQ277+[5]Population!DR277</f>
        <v>195067</v>
      </c>
      <c r="H34" s="59">
        <f>[5]Population!DS277+[5]Population!DT277</f>
        <v>51794</v>
      </c>
      <c r="I34" s="64">
        <f>Population!DP270</f>
        <v>83264</v>
      </c>
      <c r="J34" s="15">
        <f>Population!DR270</f>
        <v>14596</v>
      </c>
      <c r="K34" s="15">
        <f>Population!DO270+Population!DT270</f>
        <v>449007</v>
      </c>
      <c r="L34" s="15">
        <f>Population!DQ270</f>
        <v>0</v>
      </c>
      <c r="M34" s="15">
        <f>Population!DS270</f>
        <v>5790</v>
      </c>
      <c r="N34" s="68">
        <f t="shared" si="0"/>
        <v>552657</v>
      </c>
      <c r="O34" s="63">
        <f>Population!DU270</f>
        <v>0</v>
      </c>
      <c r="P34" s="15">
        <f>Population!DV270</f>
        <v>0</v>
      </c>
      <c r="Q34" s="16">
        <v>0</v>
      </c>
      <c r="R34" s="88">
        <v>0</v>
      </c>
      <c r="S34" s="88">
        <f t="shared" si="1"/>
        <v>799518</v>
      </c>
      <c r="T34" s="17">
        <f>Population!DZ270</f>
        <v>45451</v>
      </c>
      <c r="U34" s="153">
        <f>Population!G270+Population!H270+Population!I270+Population!J270+Population!K270+Population!N270</f>
        <v>54912</v>
      </c>
      <c r="V34" s="15">
        <f>[5]Population!G277</f>
        <v>1196</v>
      </c>
      <c r="W34" s="15">
        <v>0</v>
      </c>
      <c r="X34" s="89">
        <f t="shared" si="2"/>
        <v>101559</v>
      </c>
      <c r="Y34" s="65">
        <f t="shared" si="3"/>
        <v>901077</v>
      </c>
    </row>
    <row r="35" spans="1:25" hidden="1" x14ac:dyDescent="0.25">
      <c r="A35" s="14">
        <v>40452</v>
      </c>
      <c r="B35" s="14"/>
      <c r="C35" s="18"/>
      <c r="D35" s="18"/>
      <c r="E35" s="18"/>
      <c r="F35" s="18"/>
      <c r="G35" s="154">
        <f>[5]Population!DQ278+[5]Population!DR278</f>
        <v>195523</v>
      </c>
      <c r="H35" s="59">
        <f>[5]Population!DS278+[5]Population!DT278</f>
        <v>52213</v>
      </c>
      <c r="I35" s="64">
        <f>Population!DP271</f>
        <v>84146</v>
      </c>
      <c r="J35" s="15">
        <f>Population!DR271</f>
        <v>14405</v>
      </c>
      <c r="K35" s="15">
        <f>Population!DO271+Population!DT271</f>
        <v>450986</v>
      </c>
      <c r="L35" s="15">
        <f>Population!DQ271</f>
        <v>0</v>
      </c>
      <c r="M35" s="15">
        <f>Population!DS271</f>
        <v>5850</v>
      </c>
      <c r="N35" s="68">
        <f t="shared" si="0"/>
        <v>555387</v>
      </c>
      <c r="O35" s="63">
        <f>Population!DU271</f>
        <v>0</v>
      </c>
      <c r="P35" s="15">
        <f>Population!DV271</f>
        <v>0</v>
      </c>
      <c r="Q35" s="16">
        <v>0</v>
      </c>
      <c r="R35" s="88">
        <v>0</v>
      </c>
      <c r="S35" s="88">
        <f t="shared" si="1"/>
        <v>803123</v>
      </c>
      <c r="T35" s="17">
        <f>Population!DZ271</f>
        <v>46291</v>
      </c>
      <c r="U35" s="153">
        <f>Population!G271+Population!H271+Population!I271+Population!J271+Population!K271+Population!N271</f>
        <v>55225</v>
      </c>
      <c r="V35" s="18">
        <f>[5]Population!G278</f>
        <v>1257</v>
      </c>
      <c r="W35" s="15">
        <v>0</v>
      </c>
      <c r="X35" s="89">
        <f t="shared" si="2"/>
        <v>102773</v>
      </c>
      <c r="Y35" s="65">
        <f t="shared" si="3"/>
        <v>905896</v>
      </c>
    </row>
    <row r="36" spans="1:25" hidden="1" x14ac:dyDescent="0.25">
      <c r="A36" s="14">
        <v>40483</v>
      </c>
      <c r="B36" s="14"/>
      <c r="C36" s="15"/>
      <c r="D36" s="15"/>
      <c r="E36" s="15"/>
      <c r="F36" s="15"/>
      <c r="G36" s="152">
        <f>[5]Population!DQ279+[5]Population!DR279</f>
        <v>196519</v>
      </c>
      <c r="H36" s="59">
        <f>[5]Population!DS279+[5]Population!DT279</f>
        <v>52615</v>
      </c>
      <c r="I36" s="64">
        <f>Population!DP272</f>
        <v>84666</v>
      </c>
      <c r="J36" s="15">
        <f>Population!DR272</f>
        <v>14150</v>
      </c>
      <c r="K36" s="15">
        <f>Population!DO272+Population!DT272</f>
        <v>452303</v>
      </c>
      <c r="L36" s="15">
        <f>Population!DQ272</f>
        <v>0</v>
      </c>
      <c r="M36" s="15">
        <f>Population!DS272</f>
        <v>5984</v>
      </c>
      <c r="N36" s="68">
        <f t="shared" si="0"/>
        <v>557103</v>
      </c>
      <c r="O36" s="63">
        <f>Population!DU272</f>
        <v>0</v>
      </c>
      <c r="P36" s="15">
        <f>Population!DV272</f>
        <v>0</v>
      </c>
      <c r="Q36" s="16">
        <v>0</v>
      </c>
      <c r="R36" s="88">
        <v>0</v>
      </c>
      <c r="S36" s="88">
        <f t="shared" si="1"/>
        <v>806237</v>
      </c>
      <c r="T36" s="17">
        <f>Population!DZ272</f>
        <v>47070</v>
      </c>
      <c r="U36" s="153">
        <f>Population!G272+Population!H272+Population!I272+Population!J272+Population!K272+Population!N272</f>
        <v>56432</v>
      </c>
      <c r="V36" s="15">
        <f>[5]Population!G279</f>
        <v>1264</v>
      </c>
      <c r="W36" s="15">
        <v>0</v>
      </c>
      <c r="X36" s="89">
        <f t="shared" si="2"/>
        <v>104766</v>
      </c>
      <c r="Y36" s="65">
        <f t="shared" si="3"/>
        <v>911003</v>
      </c>
    </row>
    <row r="37" spans="1:25" hidden="1" x14ac:dyDescent="0.25">
      <c r="A37" s="14">
        <v>40513</v>
      </c>
      <c r="B37" s="14"/>
      <c r="C37" s="15"/>
      <c r="D37" s="15"/>
      <c r="E37" s="15"/>
      <c r="F37" s="15"/>
      <c r="G37" s="152">
        <f>[5]Population!DQ280+[5]Population!DR280</f>
        <v>196935</v>
      </c>
      <c r="H37" s="59">
        <f>[5]Population!DS280+[5]Population!DT280</f>
        <v>53113</v>
      </c>
      <c r="I37" s="64">
        <f>Population!DP273</f>
        <v>84664</v>
      </c>
      <c r="J37" s="15">
        <f>Population!DR273</f>
        <v>13932</v>
      </c>
      <c r="K37" s="15">
        <f>Population!DO273+Population!DT273</f>
        <v>449801</v>
      </c>
      <c r="L37" s="15">
        <f>Population!DQ273</f>
        <v>0</v>
      </c>
      <c r="M37" s="15">
        <f>Population!DS273</f>
        <v>6066</v>
      </c>
      <c r="N37" s="68">
        <f t="shared" si="0"/>
        <v>554463</v>
      </c>
      <c r="O37" s="63">
        <f>Population!DU273</f>
        <v>0</v>
      </c>
      <c r="P37" s="15">
        <f>Population!DV273</f>
        <v>0</v>
      </c>
      <c r="Q37" s="16">
        <v>0</v>
      </c>
      <c r="R37" s="88">
        <v>0</v>
      </c>
      <c r="S37" s="88">
        <f t="shared" si="1"/>
        <v>804511</v>
      </c>
      <c r="T37" s="17">
        <f>Population!DZ273</f>
        <v>47391</v>
      </c>
      <c r="U37" s="153">
        <f>Population!G273+Population!H273+Population!I273+Population!J273+Population!K273+Population!N273</f>
        <v>57308</v>
      </c>
      <c r="V37" s="15">
        <f>[5]Population!G280</f>
        <v>1289</v>
      </c>
      <c r="W37" s="15">
        <v>0</v>
      </c>
      <c r="X37" s="89">
        <f t="shared" si="2"/>
        <v>105988</v>
      </c>
      <c r="Y37" s="65">
        <f t="shared" si="3"/>
        <v>910499</v>
      </c>
    </row>
    <row r="38" spans="1:25" hidden="1" x14ac:dyDescent="0.25">
      <c r="A38" s="14">
        <v>40544</v>
      </c>
      <c r="B38" s="14"/>
      <c r="C38" s="15"/>
      <c r="D38" s="15"/>
      <c r="E38" s="15"/>
      <c r="F38" s="15"/>
      <c r="G38" s="152">
        <f>[5]Population!DQ281+[5]Population!DR281</f>
        <v>197530</v>
      </c>
      <c r="H38" s="59">
        <f>[5]Population!DS281+[5]Population!DT281</f>
        <v>53573</v>
      </c>
      <c r="I38" s="64">
        <f>Population!DP274</f>
        <v>84169</v>
      </c>
      <c r="J38" s="15">
        <f>Population!DR274</f>
        <v>14071</v>
      </c>
      <c r="K38" s="15">
        <f>Population!DO274+Population!DT274</f>
        <v>452073</v>
      </c>
      <c r="L38" s="15">
        <f>Population!DQ274</f>
        <v>0</v>
      </c>
      <c r="M38" s="15">
        <f>Population!DS274</f>
        <v>6151</v>
      </c>
      <c r="N38" s="68">
        <f t="shared" si="0"/>
        <v>556464</v>
      </c>
      <c r="O38" s="63">
        <f>Population!DU274</f>
        <v>0</v>
      </c>
      <c r="P38" s="15">
        <f>Population!DV274</f>
        <v>0</v>
      </c>
      <c r="Q38" s="16">
        <v>0</v>
      </c>
      <c r="R38" s="88">
        <v>0</v>
      </c>
      <c r="S38" s="88">
        <f t="shared" si="1"/>
        <v>807567</v>
      </c>
      <c r="T38" s="17">
        <f>Population!DZ274</f>
        <v>47391</v>
      </c>
      <c r="U38" s="153">
        <f>Population!G274+Population!H274+Population!I274+Population!J274+Population!K274+Population!N274</f>
        <v>57554</v>
      </c>
      <c r="V38" s="15">
        <f>[5]Population!G281</f>
        <v>1292</v>
      </c>
      <c r="W38" s="15">
        <v>0</v>
      </c>
      <c r="X38" s="89">
        <f t="shared" si="2"/>
        <v>106237</v>
      </c>
      <c r="Y38" s="65">
        <f t="shared" si="3"/>
        <v>913804</v>
      </c>
    </row>
    <row r="39" spans="1:25" hidden="1" x14ac:dyDescent="0.25">
      <c r="A39" s="14">
        <v>40575</v>
      </c>
      <c r="B39" s="14"/>
      <c r="C39" s="15"/>
      <c r="D39" s="15"/>
      <c r="E39" s="15"/>
      <c r="F39" s="15"/>
      <c r="G39" s="152">
        <f>[5]Population!DQ282+[5]Population!DR282</f>
        <v>197663</v>
      </c>
      <c r="H39" s="59">
        <f>[5]Population!DS282+[5]Population!DT282</f>
        <v>44326</v>
      </c>
      <c r="I39" s="64">
        <f>Population!DP275</f>
        <v>85054</v>
      </c>
      <c r="J39" s="15">
        <f>Population!DR275</f>
        <v>14074</v>
      </c>
      <c r="K39" s="15">
        <f>Population!DO275+Population!DT275</f>
        <v>450265</v>
      </c>
      <c r="L39" s="15">
        <f>Population!DQ275</f>
        <v>0</v>
      </c>
      <c r="M39" s="15">
        <f>Population!DS275</f>
        <v>6307</v>
      </c>
      <c r="N39" s="68">
        <f t="shared" si="0"/>
        <v>555700</v>
      </c>
      <c r="O39" s="63">
        <f>Population!DU275</f>
        <v>0</v>
      </c>
      <c r="P39" s="15">
        <f>Population!DV275</f>
        <v>0</v>
      </c>
      <c r="Q39" s="16">
        <v>0</v>
      </c>
      <c r="R39" s="88">
        <v>0</v>
      </c>
      <c r="S39" s="88">
        <f t="shared" si="1"/>
        <v>797689</v>
      </c>
      <c r="T39" s="17">
        <f>Population!DZ275</f>
        <v>47306</v>
      </c>
      <c r="U39" s="153">
        <f>Population!G275+Population!H275+Population!I275+Population!J275+Population!K275+Population!N275</f>
        <v>57994</v>
      </c>
      <c r="V39" s="15">
        <f>[5]Population!G282</f>
        <v>1267</v>
      </c>
      <c r="W39" s="15">
        <v>0</v>
      </c>
      <c r="X39" s="89">
        <f t="shared" si="2"/>
        <v>106567</v>
      </c>
      <c r="Y39" s="65">
        <f t="shared" si="3"/>
        <v>904256</v>
      </c>
    </row>
    <row r="40" spans="1:25" hidden="1" x14ac:dyDescent="0.25">
      <c r="A40" s="14">
        <v>40603</v>
      </c>
      <c r="B40" s="14"/>
      <c r="C40" s="15"/>
      <c r="D40" s="15"/>
      <c r="E40" s="15"/>
      <c r="F40" s="15"/>
      <c r="G40" s="152">
        <f>[5]Population!DQ283+[5]Population!DR283</f>
        <v>198188</v>
      </c>
      <c r="H40" s="59">
        <f>[5]Population!DS283+[5]Population!DT283</f>
        <v>51178</v>
      </c>
      <c r="I40" s="64">
        <f>Population!DP276</f>
        <v>84315</v>
      </c>
      <c r="J40" s="15">
        <f>Population!DR276</f>
        <v>14697</v>
      </c>
      <c r="K40" s="15">
        <f>Population!DO276+Population!DT276</f>
        <v>453983</v>
      </c>
      <c r="L40" s="15">
        <f>Population!DQ276</f>
        <v>0</v>
      </c>
      <c r="M40" s="15">
        <f>Population!DS276</f>
        <v>6906</v>
      </c>
      <c r="N40" s="68">
        <f t="shared" si="0"/>
        <v>559901</v>
      </c>
      <c r="O40" s="63">
        <f>Population!DU276</f>
        <v>0</v>
      </c>
      <c r="P40" s="15">
        <f>Population!DV276</f>
        <v>0</v>
      </c>
      <c r="Q40" s="16">
        <v>0</v>
      </c>
      <c r="R40" s="88">
        <v>0</v>
      </c>
      <c r="S40" s="88">
        <f t="shared" si="1"/>
        <v>809267</v>
      </c>
      <c r="T40" s="17">
        <f>Population!DZ276</f>
        <v>46520</v>
      </c>
      <c r="U40" s="153">
        <f>Population!G276+Population!H276+Population!I276+Population!J276+Population!K276+Population!N276</f>
        <v>58282</v>
      </c>
      <c r="V40" s="15">
        <f>[5]Population!G283</f>
        <v>1249</v>
      </c>
      <c r="W40" s="15">
        <v>0</v>
      </c>
      <c r="X40" s="89">
        <f t="shared" si="2"/>
        <v>106051</v>
      </c>
      <c r="Y40" s="65">
        <f t="shared" si="3"/>
        <v>915318</v>
      </c>
    </row>
    <row r="41" spans="1:25" hidden="1" x14ac:dyDescent="0.25">
      <c r="A41" s="14">
        <v>40634</v>
      </c>
      <c r="B41" s="14"/>
      <c r="C41" s="15"/>
      <c r="D41" s="15"/>
      <c r="E41" s="15"/>
      <c r="F41" s="15"/>
      <c r="G41" s="152">
        <f>[5]Population!DQ284+[5]Population!DR284</f>
        <v>197882</v>
      </c>
      <c r="H41" s="59">
        <f>[5]Population!DS284+[5]Population!DT284</f>
        <v>52845</v>
      </c>
      <c r="I41" s="64">
        <f>Population!DP277</f>
        <v>84926</v>
      </c>
      <c r="J41" s="15">
        <f>Population!DR277</f>
        <v>14465</v>
      </c>
      <c r="K41" s="15">
        <f>Population!DO277+Population!DT277</f>
        <v>453938</v>
      </c>
      <c r="L41" s="15">
        <f>Population!DQ277</f>
        <v>0</v>
      </c>
      <c r="M41" s="15">
        <f>Population!DS277</f>
        <v>6633</v>
      </c>
      <c r="N41" s="68">
        <f t="shared" si="0"/>
        <v>559962</v>
      </c>
      <c r="O41" s="63">
        <f>Population!DU277</f>
        <v>0</v>
      </c>
      <c r="P41" s="15">
        <f>Population!DV277</f>
        <v>0</v>
      </c>
      <c r="Q41" s="16">
        <v>0</v>
      </c>
      <c r="R41" s="88">
        <v>0</v>
      </c>
      <c r="S41" s="88">
        <f t="shared" si="1"/>
        <v>810689</v>
      </c>
      <c r="T41" s="17">
        <f>Population!DZ277</f>
        <v>46329</v>
      </c>
      <c r="U41" s="153">
        <f>Population!G277+Population!H277+Population!I277+Population!J277+Population!K277+Population!N277</f>
        <v>60153</v>
      </c>
      <c r="V41" s="15">
        <f>[5]Population!G284</f>
        <v>1259</v>
      </c>
      <c r="W41" s="15">
        <v>0</v>
      </c>
      <c r="X41" s="89">
        <f t="shared" si="2"/>
        <v>107741</v>
      </c>
      <c r="Y41" s="65">
        <f t="shared" si="3"/>
        <v>918430</v>
      </c>
    </row>
    <row r="42" spans="1:25" hidden="1" x14ac:dyDescent="0.25">
      <c r="A42" s="14">
        <v>40664</v>
      </c>
      <c r="B42" s="14"/>
      <c r="C42" s="15"/>
      <c r="D42" s="15"/>
      <c r="E42" s="15"/>
      <c r="F42" s="15"/>
      <c r="G42" s="152">
        <f>[5]Population!DQ285+[5]Population!DR285</f>
        <v>198803</v>
      </c>
      <c r="H42" s="59">
        <f>[5]Population!DS285+[5]Population!DT285</f>
        <v>54220</v>
      </c>
      <c r="I42" s="64">
        <f>Population!DP278</f>
        <v>85276</v>
      </c>
      <c r="J42" s="15">
        <f>Population!DR278</f>
        <v>14829</v>
      </c>
      <c r="K42" s="15">
        <f>Population!DO278+Population!DT278</f>
        <v>454570</v>
      </c>
      <c r="L42" s="15">
        <f>Population!DQ278</f>
        <v>0</v>
      </c>
      <c r="M42" s="15">
        <f>Population!DS278</f>
        <v>7221</v>
      </c>
      <c r="N42" s="68">
        <f t="shared" si="0"/>
        <v>561896</v>
      </c>
      <c r="O42" s="63">
        <f>Population!DU278</f>
        <v>0</v>
      </c>
      <c r="P42" s="15">
        <f>Population!DV278</f>
        <v>0</v>
      </c>
      <c r="Q42" s="16">
        <v>0</v>
      </c>
      <c r="R42" s="88">
        <v>0</v>
      </c>
      <c r="S42" s="88">
        <f t="shared" si="1"/>
        <v>814919</v>
      </c>
      <c r="T42" s="17">
        <f>Population!DZ278</f>
        <v>46567</v>
      </c>
      <c r="U42" s="153">
        <f>Population!G278+Population!H278+Population!I278+Population!J278+Population!K278+Population!N278</f>
        <v>59384</v>
      </c>
      <c r="V42" s="15">
        <f>[5]Population!G285</f>
        <v>1240</v>
      </c>
      <c r="W42" s="15">
        <v>0</v>
      </c>
      <c r="X42" s="89">
        <f t="shared" si="2"/>
        <v>107191</v>
      </c>
      <c r="Y42" s="65">
        <f t="shared" si="3"/>
        <v>922110</v>
      </c>
    </row>
    <row r="43" spans="1:25" hidden="1" x14ac:dyDescent="0.25">
      <c r="A43" s="14">
        <v>40695</v>
      </c>
      <c r="B43" s="14"/>
      <c r="C43" s="15"/>
      <c r="D43" s="15"/>
      <c r="E43" s="15"/>
      <c r="F43" s="15"/>
      <c r="G43" s="152">
        <f>[5]Population!DQ286+[5]Population!DR286</f>
        <v>198485</v>
      </c>
      <c r="H43" s="59">
        <f>[5]Population!DS286+[5]Population!DT286</f>
        <v>53859</v>
      </c>
      <c r="I43" s="64">
        <f>Population!DP279</f>
        <v>85063</v>
      </c>
      <c r="J43" s="15">
        <f>Population!DR279</f>
        <v>15110</v>
      </c>
      <c r="K43" s="15">
        <f>Population!DO279+Population!DT279</f>
        <v>455823</v>
      </c>
      <c r="L43" s="15">
        <f>Population!DQ279</f>
        <v>0</v>
      </c>
      <c r="M43" s="15">
        <f>Population!DS279</f>
        <v>7685</v>
      </c>
      <c r="N43" s="68">
        <f t="shared" si="0"/>
        <v>563681</v>
      </c>
      <c r="O43" s="63">
        <f>Population!DU279</f>
        <v>0</v>
      </c>
      <c r="P43" s="15">
        <f>Population!DV279</f>
        <v>0</v>
      </c>
      <c r="Q43" s="16">
        <v>0</v>
      </c>
      <c r="R43" s="88">
        <v>0</v>
      </c>
      <c r="S43" s="88">
        <f t="shared" si="1"/>
        <v>816025</v>
      </c>
      <c r="T43" s="17">
        <f>Population!DZ279</f>
        <v>46590</v>
      </c>
      <c r="U43" s="153">
        <f>Population!G279+Population!H279+Population!I279+Population!J279+Population!K279+Population!N279</f>
        <v>60580</v>
      </c>
      <c r="V43" s="15">
        <f>[5]Population!G286</f>
        <v>1257</v>
      </c>
      <c r="W43" s="15">
        <v>0</v>
      </c>
      <c r="X43" s="89">
        <f t="shared" si="2"/>
        <v>108427</v>
      </c>
      <c r="Y43" s="65">
        <f t="shared" si="3"/>
        <v>924452</v>
      </c>
    </row>
    <row r="44" spans="1:25" hidden="1" x14ac:dyDescent="0.25">
      <c r="A44" s="14"/>
      <c r="B44" s="14"/>
      <c r="C44" s="15"/>
      <c r="D44" s="15"/>
      <c r="E44" s="15"/>
      <c r="F44" s="15"/>
      <c r="G44" s="152"/>
      <c r="H44" s="59"/>
      <c r="I44" s="64"/>
      <c r="J44" s="15"/>
      <c r="K44" s="15"/>
      <c r="L44" s="15"/>
      <c r="M44" s="15"/>
      <c r="N44" s="68"/>
      <c r="O44" s="63"/>
      <c r="P44" s="15"/>
      <c r="Q44" s="16"/>
      <c r="R44" s="88"/>
      <c r="S44" s="88"/>
      <c r="T44" s="17"/>
      <c r="U44" s="153"/>
      <c r="V44" s="15"/>
      <c r="W44" s="15"/>
      <c r="X44" s="89"/>
      <c r="Y44" s="65"/>
    </row>
    <row r="45" spans="1:25" hidden="1" x14ac:dyDescent="0.25">
      <c r="A45" s="14">
        <v>40725</v>
      </c>
      <c r="B45" s="14"/>
      <c r="C45" s="15"/>
      <c r="D45" s="15"/>
      <c r="E45" s="15"/>
      <c r="F45" s="15"/>
      <c r="G45" s="152">
        <f>[5]Population!DQ287+[5]Population!DR287</f>
        <v>199150</v>
      </c>
      <c r="H45" s="59">
        <f>[5]Population!DS287+[5]Population!DT287</f>
        <v>54793</v>
      </c>
      <c r="I45" s="64">
        <f>Population!DP280</f>
        <v>85167</v>
      </c>
      <c r="J45" s="15">
        <f>Population!DR280</f>
        <v>15042</v>
      </c>
      <c r="K45" s="15">
        <f>Population!DO280+Population!DT280</f>
        <v>455660</v>
      </c>
      <c r="L45" s="15">
        <f>Population!DQ280</f>
        <v>0</v>
      </c>
      <c r="M45" s="15">
        <f>Population!DS280</f>
        <v>7976</v>
      </c>
      <c r="N45" s="68">
        <f t="shared" si="0"/>
        <v>563845</v>
      </c>
      <c r="O45" s="63">
        <f>Population!DU280</f>
        <v>0</v>
      </c>
      <c r="P45" s="15">
        <f>Population!DV280</f>
        <v>0</v>
      </c>
      <c r="Q45" s="16">
        <v>0</v>
      </c>
      <c r="R45" s="88">
        <v>0</v>
      </c>
      <c r="S45" s="88">
        <f t="shared" si="1"/>
        <v>817788</v>
      </c>
      <c r="T45" s="17">
        <f>Population!DZ280</f>
        <v>46472</v>
      </c>
      <c r="U45" s="153">
        <f>Population!G280+Population!H280+Population!I280+Population!J280+Population!K280+Population!N280</f>
        <v>60985</v>
      </c>
      <c r="V45" s="15">
        <f>[5]Population!G287</f>
        <v>1247</v>
      </c>
      <c r="W45" s="15">
        <v>0</v>
      </c>
      <c r="X45" s="89">
        <f t="shared" si="2"/>
        <v>108704</v>
      </c>
      <c r="Y45" s="65">
        <f t="shared" si="3"/>
        <v>926492</v>
      </c>
    </row>
    <row r="46" spans="1:25" hidden="1" x14ac:dyDescent="0.25">
      <c r="A46" s="14">
        <v>40756</v>
      </c>
      <c r="B46" s="14"/>
      <c r="C46" s="15"/>
      <c r="D46" s="15"/>
      <c r="E46" s="15"/>
      <c r="F46" s="15"/>
      <c r="G46" s="152">
        <f>[5]Population!DQ288+[5]Population!DR288</f>
        <v>199108</v>
      </c>
      <c r="H46" s="59">
        <f>[5]Population!DS288+[5]Population!DT288</f>
        <v>55223</v>
      </c>
      <c r="I46" s="64">
        <f>Population!DP281</f>
        <v>85316</v>
      </c>
      <c r="J46" s="15">
        <f>Population!DR281</f>
        <v>14991</v>
      </c>
      <c r="K46" s="15">
        <f>Population!DO281+Population!DT281</f>
        <v>456850</v>
      </c>
      <c r="L46" s="15">
        <f>Population!DQ281</f>
        <v>0</v>
      </c>
      <c r="M46" s="15">
        <f>Population!DS281</f>
        <v>8296</v>
      </c>
      <c r="N46" s="68">
        <f t="shared" si="0"/>
        <v>565453</v>
      </c>
      <c r="O46" s="63">
        <f>Population!DU281</f>
        <v>0</v>
      </c>
      <c r="P46" s="15">
        <f>Population!DV281</f>
        <v>0</v>
      </c>
      <c r="Q46" s="16">
        <v>0</v>
      </c>
      <c r="R46" s="88">
        <v>0</v>
      </c>
      <c r="S46" s="88">
        <f t="shared" si="1"/>
        <v>819784</v>
      </c>
      <c r="T46" s="17">
        <f>Population!DZ281</f>
        <v>46401</v>
      </c>
      <c r="U46" s="153">
        <f>Population!G281+Population!H281+Population!I281+Population!J281+Population!K281+Population!N281</f>
        <v>61167</v>
      </c>
      <c r="V46" s="15">
        <f>[5]Population!G288</f>
        <v>1248</v>
      </c>
      <c r="W46" s="15">
        <v>0</v>
      </c>
      <c r="X46" s="89">
        <f t="shared" si="2"/>
        <v>108816</v>
      </c>
      <c r="Y46" s="65">
        <f t="shared" si="3"/>
        <v>928600</v>
      </c>
    </row>
    <row r="47" spans="1:25" hidden="1" x14ac:dyDescent="0.25">
      <c r="A47" s="14">
        <v>40787</v>
      </c>
      <c r="B47" s="14"/>
      <c r="C47" s="15"/>
      <c r="D47" s="15"/>
      <c r="E47" s="15"/>
      <c r="F47" s="15"/>
      <c r="G47" s="152">
        <f>[5]Population!DQ289+[5]Population!DR289</f>
        <v>199757</v>
      </c>
      <c r="H47" s="59">
        <f>[5]Population!DS289+[5]Population!DT289</f>
        <v>55667</v>
      </c>
      <c r="I47" s="64">
        <f>Population!DP282</f>
        <v>85766</v>
      </c>
      <c r="J47" s="15">
        <f>Population!DR282</f>
        <v>14651</v>
      </c>
      <c r="K47" s="15">
        <f>Population!DO282+Population!DT282</f>
        <v>457426</v>
      </c>
      <c r="L47" s="15">
        <f>Population!DQ282</f>
        <v>0</v>
      </c>
      <c r="M47" s="15">
        <f>Population!DS282</f>
        <v>8590</v>
      </c>
      <c r="N47" s="68">
        <f t="shared" si="0"/>
        <v>566433</v>
      </c>
      <c r="O47" s="63">
        <f>Population!DU282</f>
        <v>0</v>
      </c>
      <c r="P47" s="15">
        <f>Population!DV282</f>
        <v>0</v>
      </c>
      <c r="Q47" s="16">
        <v>0</v>
      </c>
      <c r="R47" s="88">
        <v>0</v>
      </c>
      <c r="S47" s="88">
        <f t="shared" si="1"/>
        <v>821857</v>
      </c>
      <c r="T47" s="17">
        <f>Population!DZ282</f>
        <v>46810</v>
      </c>
      <c r="U47" s="153">
        <f>Population!G282+Population!H282+Population!I282+Population!J282+Population!K282+Population!N282</f>
        <v>60774</v>
      </c>
      <c r="V47" s="15">
        <f>[5]Population!G289</f>
        <v>1228</v>
      </c>
      <c r="W47" s="15">
        <v>0</v>
      </c>
      <c r="X47" s="89">
        <f t="shared" si="2"/>
        <v>108812</v>
      </c>
      <c r="Y47" s="65">
        <f t="shared" si="3"/>
        <v>930669</v>
      </c>
    </row>
    <row r="48" spans="1:25" hidden="1" x14ac:dyDescent="0.25">
      <c r="A48" s="14">
        <v>40817</v>
      </c>
      <c r="B48" s="14"/>
      <c r="C48" s="15"/>
      <c r="D48" s="15"/>
      <c r="E48" s="15"/>
      <c r="F48" s="15"/>
      <c r="G48" s="152">
        <f>[5]Population!DQ290+[5]Population!DR290</f>
        <v>200452</v>
      </c>
      <c r="H48" s="59">
        <f>[5]Population!DS290+[5]Population!DT290</f>
        <v>56164</v>
      </c>
      <c r="I48" s="64">
        <f>Population!DP283</f>
        <v>86150</v>
      </c>
      <c r="J48" s="15">
        <f>Population!DR283</f>
        <v>14378</v>
      </c>
      <c r="K48" s="15">
        <f>Population!DO283+Population!DT283</f>
        <v>459454</v>
      </c>
      <c r="L48" s="15">
        <f>Population!DQ283</f>
        <v>0</v>
      </c>
      <c r="M48" s="15">
        <f>Population!DS283</f>
        <v>9850</v>
      </c>
      <c r="N48" s="68">
        <f t="shared" si="0"/>
        <v>569832</v>
      </c>
      <c r="O48" s="63">
        <f>Population!DU283</f>
        <v>0</v>
      </c>
      <c r="P48" s="15">
        <f>Population!DV283</f>
        <v>0</v>
      </c>
      <c r="Q48" s="16">
        <v>0</v>
      </c>
      <c r="R48" s="88">
        <v>0</v>
      </c>
      <c r="S48" s="88">
        <f t="shared" si="1"/>
        <v>826448</v>
      </c>
      <c r="T48" s="17">
        <f>Population!DZ283</f>
        <v>46943</v>
      </c>
      <c r="U48" s="153">
        <f>Population!G283+Population!H283+Population!I283+Population!J283+Population!K283+Population!N283</f>
        <v>60266</v>
      </c>
      <c r="V48" s="15">
        <f>[5]Population!G290</f>
        <v>1254</v>
      </c>
      <c r="W48" s="15">
        <v>0</v>
      </c>
      <c r="X48" s="89">
        <f t="shared" si="2"/>
        <v>108463</v>
      </c>
      <c r="Y48" s="65">
        <f t="shared" si="3"/>
        <v>934911</v>
      </c>
    </row>
    <row r="49" spans="1:25" hidden="1" x14ac:dyDescent="0.25">
      <c r="A49" s="14">
        <v>40848</v>
      </c>
      <c r="B49" s="14"/>
      <c r="C49" s="15"/>
      <c r="D49" s="15"/>
      <c r="E49" s="15"/>
      <c r="F49" s="15"/>
      <c r="G49" s="152">
        <f>[5]Population!DQ291+[5]Population!DR291</f>
        <v>200843</v>
      </c>
      <c r="H49" s="59">
        <f>[5]Population!DS291+[5]Population!DT291</f>
        <v>56528</v>
      </c>
      <c r="I49" s="64">
        <f>Population!DP284</f>
        <v>86846</v>
      </c>
      <c r="J49" s="15">
        <f>Population!DR284</f>
        <v>14054</v>
      </c>
      <c r="K49" s="15">
        <f>Population!DO284+Population!DT284</f>
        <v>460566</v>
      </c>
      <c r="L49" s="15">
        <f>Population!DQ284</f>
        <v>0</v>
      </c>
      <c r="M49" s="15">
        <f>Population!DS284</f>
        <v>12522</v>
      </c>
      <c r="N49" s="68">
        <f t="shared" si="0"/>
        <v>573988</v>
      </c>
      <c r="O49" s="63">
        <f>Population!DU284</f>
        <v>0</v>
      </c>
      <c r="P49" s="15">
        <f>Population!DV284</f>
        <v>0</v>
      </c>
      <c r="Q49" s="16">
        <v>0</v>
      </c>
      <c r="R49" s="88">
        <v>0</v>
      </c>
      <c r="S49" s="88">
        <f t="shared" si="1"/>
        <v>831359</v>
      </c>
      <c r="T49" s="17">
        <f>Population!DZ284</f>
        <v>47637</v>
      </c>
      <c r="U49" s="153">
        <f>Population!G284+Population!H284+Population!I284+Population!J284+Population!K284+Population!N284</f>
        <v>60877</v>
      </c>
      <c r="V49" s="15">
        <f>[5]Population!G291</f>
        <v>1250</v>
      </c>
      <c r="W49" s="15">
        <v>0</v>
      </c>
      <c r="X49" s="89">
        <f t="shared" si="2"/>
        <v>109764</v>
      </c>
      <c r="Y49" s="65">
        <f t="shared" si="3"/>
        <v>941123</v>
      </c>
    </row>
    <row r="50" spans="1:25" hidden="1" x14ac:dyDescent="0.25">
      <c r="A50" s="14">
        <v>40878</v>
      </c>
      <c r="B50" s="14"/>
      <c r="C50" s="15"/>
      <c r="D50" s="15"/>
      <c r="E50" s="15"/>
      <c r="F50" s="15"/>
      <c r="G50" s="152">
        <f>[5]Population!DQ292+[5]Population!DR292</f>
        <v>201180</v>
      </c>
      <c r="H50" s="59">
        <f>[5]Population!DS292+[5]Population!DT292</f>
        <v>56944</v>
      </c>
      <c r="I50" s="64">
        <f>Population!DP285</f>
        <v>87017</v>
      </c>
      <c r="J50" s="15">
        <f>Population!DR285</f>
        <v>13948</v>
      </c>
      <c r="K50" s="15">
        <f>Population!DO285+Population!DT285</f>
        <v>460816</v>
      </c>
      <c r="L50" s="15">
        <f>Population!DQ285</f>
        <v>0</v>
      </c>
      <c r="M50" s="15">
        <f>Population!DS285</f>
        <v>14856</v>
      </c>
      <c r="N50" s="68">
        <f t="shared" si="0"/>
        <v>576637</v>
      </c>
      <c r="O50" s="63">
        <f>Population!DU285</f>
        <v>0</v>
      </c>
      <c r="P50" s="15">
        <f>Population!DV285</f>
        <v>0</v>
      </c>
      <c r="Q50" s="16">
        <v>0</v>
      </c>
      <c r="R50" s="88">
        <v>0</v>
      </c>
      <c r="S50" s="88">
        <f t="shared" si="1"/>
        <v>834761</v>
      </c>
      <c r="T50" s="17">
        <f>Population!DZ285</f>
        <v>48239</v>
      </c>
      <c r="U50" s="153">
        <f>Population!G285+Population!H285+Population!I285+Population!J285+Population!K285+Population!N285</f>
        <v>61827</v>
      </c>
      <c r="V50" s="15">
        <f>[5]Population!G292</f>
        <v>1250</v>
      </c>
      <c r="W50" s="15">
        <v>0</v>
      </c>
      <c r="X50" s="89">
        <f t="shared" si="2"/>
        <v>111316</v>
      </c>
      <c r="Y50" s="65">
        <f t="shared" si="3"/>
        <v>946077</v>
      </c>
    </row>
    <row r="51" spans="1:25" hidden="1" x14ac:dyDescent="0.25">
      <c r="A51" s="14">
        <v>40909</v>
      </c>
      <c r="B51" s="14"/>
      <c r="C51" s="15"/>
      <c r="D51" s="15"/>
      <c r="E51" s="15"/>
      <c r="F51" s="15"/>
      <c r="G51" s="152">
        <f>[5]Population!DQ293+[5]Population!DR293</f>
        <v>201691</v>
      </c>
      <c r="H51" s="59">
        <f>[5]Population!DS293+[5]Population!DT293</f>
        <v>57437</v>
      </c>
      <c r="I51" s="64">
        <f>Population!DP286</f>
        <v>87138</v>
      </c>
      <c r="J51" s="15">
        <f>Population!DR286</f>
        <v>14239</v>
      </c>
      <c r="K51" s="15">
        <f>Population!DO286+Population!DT286</f>
        <v>464358</v>
      </c>
      <c r="L51" s="15">
        <f>Population!DQ286</f>
        <v>0</v>
      </c>
      <c r="M51" s="15">
        <f>Population!DS286</f>
        <v>16918</v>
      </c>
      <c r="N51" s="68">
        <f t="shared" si="0"/>
        <v>582653</v>
      </c>
      <c r="O51" s="63">
        <f>Population!DU286</f>
        <v>0</v>
      </c>
      <c r="P51" s="15">
        <f>Population!DV286</f>
        <v>0</v>
      </c>
      <c r="Q51" s="16">
        <v>0</v>
      </c>
      <c r="R51" s="88">
        <v>0</v>
      </c>
      <c r="S51" s="88">
        <f t="shared" si="1"/>
        <v>841781</v>
      </c>
      <c r="T51" s="17">
        <f>Population!DZ286</f>
        <v>48436</v>
      </c>
      <c r="U51" s="153">
        <f>Population!G286+Population!H286+Population!I286+Population!J286+Population!K286+Population!N286</f>
        <v>62902</v>
      </c>
      <c r="V51" s="15">
        <f>[5]Population!G293</f>
        <v>1274</v>
      </c>
      <c r="W51" s="15">
        <v>0</v>
      </c>
      <c r="X51" s="89">
        <f t="shared" si="2"/>
        <v>112612</v>
      </c>
      <c r="Y51" s="65">
        <f t="shared" si="3"/>
        <v>954393</v>
      </c>
    </row>
    <row r="52" spans="1:25" hidden="1" x14ac:dyDescent="0.25">
      <c r="A52" s="14">
        <v>40940</v>
      </c>
      <c r="B52" s="14"/>
      <c r="C52" s="15"/>
      <c r="D52" s="15"/>
      <c r="E52" s="15"/>
      <c r="F52" s="15"/>
      <c r="G52" s="152">
        <f>[5]Population!DQ294+[5]Population!DR294</f>
        <v>201558</v>
      </c>
      <c r="H52" s="59">
        <f>[5]Population!DS294+[5]Population!DT294</f>
        <v>47185</v>
      </c>
      <c r="I52" s="64">
        <f>Population!DP287</f>
        <v>88520</v>
      </c>
      <c r="J52" s="15">
        <f>Population!DR287</f>
        <v>14334</v>
      </c>
      <c r="K52" s="15">
        <f>Population!DO287+Population!DT287</f>
        <v>463062</v>
      </c>
      <c r="L52" s="15">
        <f>Population!DQ287</f>
        <v>0</v>
      </c>
      <c r="M52" s="15">
        <f>Population!DS287</f>
        <v>18949</v>
      </c>
      <c r="N52" s="68">
        <f t="shared" si="0"/>
        <v>584865</v>
      </c>
      <c r="O52" s="63">
        <f>Population!DU287</f>
        <v>0</v>
      </c>
      <c r="P52" s="15">
        <f>Population!DV287</f>
        <v>0</v>
      </c>
      <c r="Q52" s="16">
        <v>0</v>
      </c>
      <c r="R52" s="88">
        <v>0</v>
      </c>
      <c r="S52" s="88">
        <f t="shared" si="1"/>
        <v>833608</v>
      </c>
      <c r="T52" s="17">
        <f>Population!DZ287</f>
        <v>48746</v>
      </c>
      <c r="U52" s="153">
        <f>Population!G287+Population!H287+Population!I287+Population!J287+Population!K287+Population!N287</f>
        <v>63671</v>
      </c>
      <c r="V52" s="15">
        <f>[5]Population!G294</f>
        <v>1329</v>
      </c>
      <c r="W52" s="15">
        <v>0</v>
      </c>
      <c r="X52" s="89">
        <f t="shared" si="2"/>
        <v>113746</v>
      </c>
      <c r="Y52" s="65">
        <f t="shared" si="3"/>
        <v>947354</v>
      </c>
    </row>
    <row r="53" spans="1:25" hidden="1" x14ac:dyDescent="0.25">
      <c r="A53" s="14">
        <v>40969</v>
      </c>
      <c r="B53" s="14"/>
      <c r="C53" s="15"/>
      <c r="D53" s="15"/>
      <c r="E53" s="15"/>
      <c r="F53" s="15"/>
      <c r="G53" s="152">
        <f>[5]Population!DQ295+[5]Population!DR295</f>
        <v>202166</v>
      </c>
      <c r="H53" s="59">
        <f>[5]Population!DS295+[5]Population!DT295</f>
        <v>55357</v>
      </c>
      <c r="I53" s="64">
        <f>Population!DP288</f>
        <v>87932</v>
      </c>
      <c r="J53" s="15">
        <f>Population!DR288</f>
        <v>14558</v>
      </c>
      <c r="K53" s="15">
        <f>Population!DO288+Population!DT288</f>
        <v>465133</v>
      </c>
      <c r="L53" s="15">
        <f>Population!DQ288</f>
        <v>0</v>
      </c>
      <c r="M53" s="15">
        <f>Population!DS288</f>
        <v>21258</v>
      </c>
      <c r="N53" s="68">
        <f t="shared" si="0"/>
        <v>588881</v>
      </c>
      <c r="O53" s="63">
        <f>Population!DU288</f>
        <v>0</v>
      </c>
      <c r="P53" s="15">
        <f>Population!DV288</f>
        <v>0</v>
      </c>
      <c r="Q53" s="16">
        <v>0</v>
      </c>
      <c r="R53" s="88">
        <v>0</v>
      </c>
      <c r="S53" s="88">
        <f t="shared" si="1"/>
        <v>846404</v>
      </c>
      <c r="T53" s="17">
        <f>Population!DZ288</f>
        <v>48456</v>
      </c>
      <c r="U53" s="153">
        <f>Population!G288+Population!H288+Population!I288+Population!J288+Population!K288+Population!N288</f>
        <v>63294</v>
      </c>
      <c r="V53" s="15">
        <f>[5]Population!G295</f>
        <v>1380</v>
      </c>
      <c r="W53" s="15">
        <v>0</v>
      </c>
      <c r="X53" s="89">
        <f t="shared" si="2"/>
        <v>113130</v>
      </c>
      <c r="Y53" s="65">
        <f t="shared" si="3"/>
        <v>959534</v>
      </c>
    </row>
    <row r="54" spans="1:25" hidden="1" x14ac:dyDescent="0.25">
      <c r="A54" s="14">
        <v>41000</v>
      </c>
      <c r="B54" s="14"/>
      <c r="C54" s="15"/>
      <c r="D54" s="15"/>
      <c r="E54" s="15"/>
      <c r="F54" s="15"/>
      <c r="G54" s="152">
        <f>[5]Population!DQ296+[5]Population!DR296</f>
        <v>202277</v>
      </c>
      <c r="H54" s="59">
        <f>[5]Population!DS296+[5]Population!DT296</f>
        <v>56761</v>
      </c>
      <c r="I54" s="64">
        <f>Population!DP289</f>
        <v>88663</v>
      </c>
      <c r="J54" s="15">
        <f>Population!DR289</f>
        <v>14646</v>
      </c>
      <c r="K54" s="15">
        <f>Population!DO289+Population!DT289</f>
        <v>466536</v>
      </c>
      <c r="L54" s="15">
        <f>Population!DQ289</f>
        <v>0</v>
      </c>
      <c r="M54" s="15">
        <f>Population!DS289</f>
        <v>23294</v>
      </c>
      <c r="N54" s="68">
        <f t="shared" si="0"/>
        <v>593139</v>
      </c>
      <c r="O54" s="63">
        <f>Population!DU289</f>
        <v>0</v>
      </c>
      <c r="P54" s="15">
        <f>Population!DV289</f>
        <v>0</v>
      </c>
      <c r="Q54" s="16">
        <v>0</v>
      </c>
      <c r="R54" s="88">
        <v>0</v>
      </c>
      <c r="S54" s="88">
        <f t="shared" si="1"/>
        <v>852177</v>
      </c>
      <c r="T54" s="17">
        <f>Population!DZ289</f>
        <v>48326</v>
      </c>
      <c r="U54" s="153">
        <f>Population!G289+Population!H289+Population!I289+Population!J289+Population!K289+Population!N289</f>
        <v>63814</v>
      </c>
      <c r="V54" s="15">
        <f>[5]Population!G296</f>
        <v>1398</v>
      </c>
      <c r="W54" s="15">
        <v>0</v>
      </c>
      <c r="X54" s="89">
        <f t="shared" si="2"/>
        <v>113538</v>
      </c>
      <c r="Y54" s="65">
        <f t="shared" si="3"/>
        <v>965715</v>
      </c>
    </row>
    <row r="55" spans="1:25" hidden="1" x14ac:dyDescent="0.25">
      <c r="A55" s="14">
        <v>41030</v>
      </c>
      <c r="B55" s="14"/>
      <c r="C55" s="15"/>
      <c r="D55" s="15"/>
      <c r="E55" s="15"/>
      <c r="F55" s="15"/>
      <c r="G55" s="152">
        <f>[5]Population!DQ297+[5]Population!DR297</f>
        <v>202575</v>
      </c>
      <c r="H55" s="59">
        <f>[5]Population!DS297+[5]Population!DT297</f>
        <v>57491</v>
      </c>
      <c r="I55" s="64">
        <f>Population!DP290</f>
        <v>88739</v>
      </c>
      <c r="J55" s="15">
        <f>Population!DR290</f>
        <v>14832</v>
      </c>
      <c r="K55" s="15">
        <f>Population!DO290+Population!DT290</f>
        <v>467809</v>
      </c>
      <c r="L55" s="15">
        <f>Population!DQ290</f>
        <v>0</v>
      </c>
      <c r="M55" s="15">
        <f>Population!DS290</f>
        <v>25418</v>
      </c>
      <c r="N55" s="68">
        <f t="shared" si="0"/>
        <v>596798</v>
      </c>
      <c r="O55" s="63">
        <f>Population!DU290</f>
        <v>0</v>
      </c>
      <c r="P55" s="15">
        <f>Population!DV290</f>
        <v>0</v>
      </c>
      <c r="Q55" s="16">
        <v>0</v>
      </c>
      <c r="R55" s="88">
        <v>0</v>
      </c>
      <c r="S55" s="88">
        <f t="shared" si="1"/>
        <v>856864</v>
      </c>
      <c r="T55" s="17">
        <f>Population!DZ290</f>
        <v>48521</v>
      </c>
      <c r="U55" s="153">
        <f>Population!G290+Population!H290+Population!I290+Population!J290+Population!K290+Population!N290</f>
        <v>64059</v>
      </c>
      <c r="V55" s="15">
        <f>[5]Population!G297</f>
        <v>1436</v>
      </c>
      <c r="W55" s="15">
        <v>0</v>
      </c>
      <c r="X55" s="89">
        <f t="shared" si="2"/>
        <v>114016</v>
      </c>
      <c r="Y55" s="65">
        <f t="shared" si="3"/>
        <v>970880</v>
      </c>
    </row>
    <row r="56" spans="1:25" hidden="1" x14ac:dyDescent="0.25">
      <c r="A56" s="14">
        <v>41061</v>
      </c>
      <c r="B56" s="14"/>
      <c r="C56" s="15"/>
      <c r="D56" s="15"/>
      <c r="E56" s="15"/>
      <c r="F56" s="15"/>
      <c r="G56" s="152">
        <f>[5]Population!DQ298+[5]Population!DR298</f>
        <v>202794</v>
      </c>
      <c r="H56" s="59">
        <f>[5]Population!DS298+[5]Population!DT298</f>
        <v>58132</v>
      </c>
      <c r="I56" s="64">
        <f>Population!DP291</f>
        <v>89001</v>
      </c>
      <c r="J56" s="15">
        <f>Population!DR291</f>
        <v>15038</v>
      </c>
      <c r="K56" s="15">
        <f>Population!DO291+Population!DT291</f>
        <v>468839</v>
      </c>
      <c r="L56" s="15">
        <f>Population!DQ291</f>
        <v>0</v>
      </c>
      <c r="M56" s="15">
        <f>Population!DS291</f>
        <v>27257</v>
      </c>
      <c r="N56" s="68">
        <f t="shared" si="0"/>
        <v>600135</v>
      </c>
      <c r="O56" s="63">
        <f>Population!DU291</f>
        <v>0</v>
      </c>
      <c r="P56" s="15">
        <f>Population!DV291</f>
        <v>0</v>
      </c>
      <c r="Q56" s="16">
        <v>0</v>
      </c>
      <c r="R56" s="88">
        <v>0</v>
      </c>
      <c r="S56" s="88">
        <f t="shared" si="1"/>
        <v>861061</v>
      </c>
      <c r="T56" s="17">
        <f>Population!DZ291</f>
        <v>48723</v>
      </c>
      <c r="U56" s="153">
        <f>Population!G291+Population!H291+Population!I291+Population!J291+Population!K291+Population!N291</f>
        <v>64436</v>
      </c>
      <c r="V56" s="15">
        <f>[5]Population!G298</f>
        <v>1471</v>
      </c>
      <c r="W56" s="15">
        <v>0</v>
      </c>
      <c r="X56" s="89">
        <f t="shared" si="2"/>
        <v>114630</v>
      </c>
      <c r="Y56" s="65">
        <f t="shared" si="3"/>
        <v>975691</v>
      </c>
    </row>
    <row r="57" spans="1:25" hidden="1" x14ac:dyDescent="0.25">
      <c r="A57" s="14"/>
      <c r="B57" s="14"/>
      <c r="C57" s="15"/>
      <c r="D57" s="15"/>
      <c r="E57" s="15"/>
      <c r="F57" s="15"/>
      <c r="G57" s="152"/>
      <c r="H57" s="59"/>
      <c r="I57" s="64"/>
      <c r="J57" s="15"/>
      <c r="K57" s="15"/>
      <c r="L57" s="15"/>
      <c r="M57" s="15"/>
      <c r="N57" s="68"/>
      <c r="O57" s="63"/>
      <c r="P57" s="15"/>
      <c r="Q57" s="16"/>
      <c r="R57" s="88"/>
      <c r="S57" s="88"/>
      <c r="T57" s="17"/>
      <c r="U57" s="153"/>
      <c r="V57" s="15"/>
      <c r="W57" s="15"/>
      <c r="X57" s="89"/>
      <c r="Y57" s="65"/>
    </row>
    <row r="58" spans="1:25" hidden="1" x14ac:dyDescent="0.25">
      <c r="A58" s="14">
        <v>41091</v>
      </c>
      <c r="B58" s="14"/>
      <c r="C58" s="15">
        <f t="shared" ref="C58:C69" si="4">G58-D58-E58-F58</f>
        <v>146708</v>
      </c>
      <c r="D58" s="15">
        <f>20478+1288</f>
        <v>21766</v>
      </c>
      <c r="E58" s="15">
        <v>33395</v>
      </c>
      <c r="F58" s="15">
        <v>718</v>
      </c>
      <c r="G58" s="152">
        <f>[5]Population!DQ299+[5]Population!DR299</f>
        <v>202587</v>
      </c>
      <c r="H58" s="59">
        <f>[5]Population!DS299+[5]Population!DT299</f>
        <v>58494</v>
      </c>
      <c r="I58" s="64">
        <f>Population!DP292</f>
        <v>89469</v>
      </c>
      <c r="J58" s="15">
        <f>Population!DR292</f>
        <v>15160</v>
      </c>
      <c r="K58" s="15">
        <f>Population!DO292+Population!DT292</f>
        <v>469453</v>
      </c>
      <c r="L58" s="15">
        <f>Population!DQ292</f>
        <v>0</v>
      </c>
      <c r="M58" s="15">
        <f>Population!DS292</f>
        <v>28946</v>
      </c>
      <c r="N58" s="68">
        <f t="shared" si="0"/>
        <v>603028</v>
      </c>
      <c r="O58" s="63">
        <f>Population!DU292</f>
        <v>0</v>
      </c>
      <c r="P58" s="15">
        <f>Population!DV292</f>
        <v>0</v>
      </c>
      <c r="Q58" s="16">
        <v>0</v>
      </c>
      <c r="R58" s="88">
        <v>0</v>
      </c>
      <c r="S58" s="88">
        <f t="shared" si="1"/>
        <v>864109</v>
      </c>
      <c r="T58" s="17">
        <f>Population!DZ292</f>
        <v>49140</v>
      </c>
      <c r="U58" s="153">
        <f>Population!G292+Population!H292+Population!I292+Population!J292+Population!K292+Population!N292</f>
        <v>64149</v>
      </c>
      <c r="V58" s="15">
        <f>[5]Population!G299</f>
        <v>1477</v>
      </c>
      <c r="W58" s="15">
        <v>0</v>
      </c>
      <c r="X58" s="89">
        <f t="shared" si="2"/>
        <v>114766</v>
      </c>
      <c r="Y58" s="65">
        <f t="shared" si="3"/>
        <v>978875</v>
      </c>
    </row>
    <row r="59" spans="1:25" hidden="1" x14ac:dyDescent="0.25">
      <c r="A59" s="14">
        <v>41122</v>
      </c>
      <c r="B59" s="14"/>
      <c r="C59" s="15">
        <f t="shared" si="4"/>
        <v>146357</v>
      </c>
      <c r="D59" s="15">
        <f>20434+1288</f>
        <v>21722</v>
      </c>
      <c r="E59" s="15">
        <v>33676</v>
      </c>
      <c r="F59" s="15">
        <v>722</v>
      </c>
      <c r="G59" s="152">
        <f>[5]Population!DQ300+[5]Population!DR300</f>
        <v>202477</v>
      </c>
      <c r="H59" s="59">
        <f>[5]Population!DS300+[5]Population!DT300</f>
        <v>58895</v>
      </c>
      <c r="I59" s="64">
        <f>Population!DP293</f>
        <v>89853</v>
      </c>
      <c r="J59" s="15">
        <f>Population!DR293</f>
        <v>15554</v>
      </c>
      <c r="K59" s="15">
        <f>Population!DO293+Population!DT293</f>
        <v>470931</v>
      </c>
      <c r="L59" s="15">
        <f>Population!DQ293</f>
        <v>0</v>
      </c>
      <c r="M59" s="15">
        <f>Population!DS293</f>
        <v>30690</v>
      </c>
      <c r="N59" s="68">
        <f t="shared" si="0"/>
        <v>607028</v>
      </c>
      <c r="O59" s="63">
        <f>Population!DU293</f>
        <v>0</v>
      </c>
      <c r="P59" s="15">
        <f>Population!DV293</f>
        <v>0</v>
      </c>
      <c r="Q59" s="16">
        <v>0</v>
      </c>
      <c r="R59" s="88">
        <v>0</v>
      </c>
      <c r="S59" s="88">
        <f t="shared" si="1"/>
        <v>868400</v>
      </c>
      <c r="T59" s="17">
        <f>Population!DZ293</f>
        <v>48930</v>
      </c>
      <c r="U59" s="153">
        <f>Population!G293+Population!H293+Population!I293+Population!J293+Population!K293+Population!N293</f>
        <v>63697</v>
      </c>
      <c r="V59" s="15">
        <f>[5]Population!G300</f>
        <v>1483</v>
      </c>
      <c r="W59" s="15">
        <v>0</v>
      </c>
      <c r="X59" s="89">
        <f t="shared" si="2"/>
        <v>114110</v>
      </c>
      <c r="Y59" s="65">
        <f t="shared" si="3"/>
        <v>982510</v>
      </c>
    </row>
    <row r="60" spans="1:25" hidden="1" x14ac:dyDescent="0.25">
      <c r="A60" s="14">
        <v>41153</v>
      </c>
      <c r="B60" s="14"/>
      <c r="C60" s="15">
        <f t="shared" si="4"/>
        <v>146459</v>
      </c>
      <c r="D60" s="15">
        <f>20447+1266</f>
        <v>21713</v>
      </c>
      <c r="E60" s="15">
        <v>33992</v>
      </c>
      <c r="F60" s="15">
        <v>742</v>
      </c>
      <c r="G60" s="152">
        <f>[5]Population!DQ301+[5]Population!DR301</f>
        <v>202906</v>
      </c>
      <c r="H60" s="59">
        <f>[5]Population!DS301+[5]Population!DT301</f>
        <v>59253</v>
      </c>
      <c r="I60" s="64">
        <f>Population!DP294</f>
        <v>90770</v>
      </c>
      <c r="J60" s="15">
        <f>Population!DR294</f>
        <v>15377</v>
      </c>
      <c r="K60" s="15">
        <f>Population!DO294+Population!DT294</f>
        <v>471967</v>
      </c>
      <c r="L60" s="15">
        <f>Population!DQ294</f>
        <v>0</v>
      </c>
      <c r="M60" s="15">
        <f>Population!DS294</f>
        <v>31779</v>
      </c>
      <c r="N60" s="68">
        <f t="shared" si="0"/>
        <v>609893</v>
      </c>
      <c r="O60" s="63">
        <f>Population!DU294</f>
        <v>0</v>
      </c>
      <c r="P60" s="15">
        <f>Population!DV294</f>
        <v>0</v>
      </c>
      <c r="Q60" s="16">
        <v>0</v>
      </c>
      <c r="R60" s="88">
        <v>0</v>
      </c>
      <c r="S60" s="88">
        <f t="shared" si="1"/>
        <v>872052</v>
      </c>
      <c r="T60" s="17">
        <f>Population!DZ294</f>
        <v>49323</v>
      </c>
      <c r="U60" s="153">
        <f>Population!G294+Population!H294+Population!I294+Population!J294+Population!K294+Population!N294</f>
        <v>62774</v>
      </c>
      <c r="V60" s="15">
        <f>[5]Population!G301</f>
        <v>1478</v>
      </c>
      <c r="W60" s="15">
        <v>0</v>
      </c>
      <c r="X60" s="89">
        <f t="shared" si="2"/>
        <v>113575</v>
      </c>
      <c r="Y60" s="65">
        <f t="shared" si="3"/>
        <v>985627</v>
      </c>
    </row>
    <row r="61" spans="1:25" hidden="1" x14ac:dyDescent="0.25">
      <c r="A61" s="14">
        <v>41183</v>
      </c>
      <c r="B61" s="14"/>
      <c r="C61" s="15">
        <f t="shared" si="4"/>
        <v>146539</v>
      </c>
      <c r="D61" s="15">
        <f>20439+1243</f>
        <v>21682</v>
      </c>
      <c r="E61" s="15">
        <v>34293</v>
      </c>
      <c r="F61" s="15">
        <v>757</v>
      </c>
      <c r="G61" s="152">
        <f>[5]Population!DQ302+[5]Population!DR302</f>
        <v>203271</v>
      </c>
      <c r="H61" s="59">
        <f>[5]Population!DS302+[5]Population!DT302</f>
        <v>59780</v>
      </c>
      <c r="I61" s="64">
        <f>Population!DP295</f>
        <v>91403</v>
      </c>
      <c r="J61" s="15">
        <f>Population!DR295</f>
        <v>15338</v>
      </c>
      <c r="K61" s="15">
        <f>Population!DO295+Population!DT295</f>
        <v>474444</v>
      </c>
      <c r="L61" s="15">
        <f>Population!DQ295</f>
        <v>0</v>
      </c>
      <c r="M61" s="15">
        <f>Population!DS295</f>
        <v>33070</v>
      </c>
      <c r="N61" s="68">
        <f t="shared" si="0"/>
        <v>614255</v>
      </c>
      <c r="O61" s="63">
        <f>Population!DU295</f>
        <v>0</v>
      </c>
      <c r="P61" s="15">
        <f>Population!DV295</f>
        <v>0</v>
      </c>
      <c r="Q61" s="16">
        <v>0</v>
      </c>
      <c r="R61" s="88">
        <v>0</v>
      </c>
      <c r="S61" s="88">
        <f t="shared" si="1"/>
        <v>877306</v>
      </c>
      <c r="T61" s="17">
        <f>Population!DZ295</f>
        <v>49705</v>
      </c>
      <c r="U61" s="153">
        <f>Population!G295+Population!H295+Population!I295+Population!J295+Population!K295+Population!N295</f>
        <v>62601</v>
      </c>
      <c r="V61" s="15">
        <f>[5]Population!G302</f>
        <v>1492</v>
      </c>
      <c r="W61" s="15">
        <v>0</v>
      </c>
      <c r="X61" s="89">
        <f t="shared" si="2"/>
        <v>113798</v>
      </c>
      <c r="Y61" s="65">
        <f t="shared" si="3"/>
        <v>991104</v>
      </c>
    </row>
    <row r="62" spans="1:25" hidden="1" x14ac:dyDescent="0.25">
      <c r="A62" s="14">
        <v>41214</v>
      </c>
      <c r="B62" s="14"/>
      <c r="C62" s="15">
        <f t="shared" si="4"/>
        <v>146588</v>
      </c>
      <c r="D62" s="15">
        <f>20321+1223</f>
        <v>21544</v>
      </c>
      <c r="E62" s="15">
        <v>34566</v>
      </c>
      <c r="F62" s="15">
        <v>767</v>
      </c>
      <c r="G62" s="152">
        <f>[5]Population!DQ303+[5]Population!DR303</f>
        <v>203465</v>
      </c>
      <c r="H62" s="59">
        <f>[5]Population!DS303+[5]Population!DT303</f>
        <v>60077</v>
      </c>
      <c r="I62" s="64">
        <f>Population!DP296</f>
        <v>91988</v>
      </c>
      <c r="J62" s="15">
        <f>Population!DR296</f>
        <v>15048</v>
      </c>
      <c r="K62" s="15">
        <f>Population!DO296+Population!DT296</f>
        <v>475013</v>
      </c>
      <c r="L62" s="15">
        <f>Population!DQ296</f>
        <v>0</v>
      </c>
      <c r="M62" s="15">
        <f>Population!DS296</f>
        <v>34005</v>
      </c>
      <c r="N62" s="68">
        <f t="shared" si="0"/>
        <v>616054</v>
      </c>
      <c r="O62" s="63">
        <f>Population!DU296</f>
        <v>0</v>
      </c>
      <c r="P62" s="15">
        <f>Population!DV296</f>
        <v>0</v>
      </c>
      <c r="Q62" s="16">
        <v>0</v>
      </c>
      <c r="R62" s="88">
        <v>0</v>
      </c>
      <c r="S62" s="88">
        <f t="shared" si="1"/>
        <v>879596</v>
      </c>
      <c r="T62" s="17">
        <f>Population!DZ296</f>
        <v>50180</v>
      </c>
      <c r="U62" s="153">
        <f>Population!G296+Population!H296+Population!I296+Population!J296+Population!K296+Population!N296</f>
        <v>63420</v>
      </c>
      <c r="V62" s="15">
        <f>[5]Population!G303</f>
        <v>1488</v>
      </c>
      <c r="W62" s="15">
        <v>0</v>
      </c>
      <c r="X62" s="89">
        <f t="shared" si="2"/>
        <v>115088</v>
      </c>
      <c r="Y62" s="65">
        <f t="shared" si="3"/>
        <v>994684</v>
      </c>
    </row>
    <row r="63" spans="1:25" hidden="1" x14ac:dyDescent="0.25">
      <c r="A63" s="14">
        <v>41244</v>
      </c>
      <c r="B63" s="14"/>
      <c r="C63" s="15">
        <f t="shared" si="4"/>
        <v>146806</v>
      </c>
      <c r="D63" s="15">
        <f>20336+1230</f>
        <v>21566</v>
      </c>
      <c r="E63" s="15">
        <v>34885</v>
      </c>
      <c r="F63" s="15">
        <v>793</v>
      </c>
      <c r="G63" s="152">
        <f>[5]Population!DQ304+[5]Population!DR304</f>
        <v>204050</v>
      </c>
      <c r="H63" s="59">
        <f>[5]Population!DS304+[5]Population!DT304</f>
        <v>60517</v>
      </c>
      <c r="I63" s="64">
        <f>Population!DP297</f>
        <v>91895</v>
      </c>
      <c r="J63" s="15">
        <f>Population!DR297</f>
        <v>14659</v>
      </c>
      <c r="K63" s="15">
        <f>Population!DO297+Population!DT297</f>
        <v>472825</v>
      </c>
      <c r="L63" s="15">
        <f>Population!DQ297</f>
        <v>0</v>
      </c>
      <c r="M63" s="15">
        <f>Population!DS297</f>
        <v>34407</v>
      </c>
      <c r="N63" s="68">
        <f t="shared" si="0"/>
        <v>613786</v>
      </c>
      <c r="O63" s="63">
        <f>Population!DU297</f>
        <v>0</v>
      </c>
      <c r="P63" s="15">
        <f>Population!DV297</f>
        <v>0</v>
      </c>
      <c r="Q63" s="16">
        <v>0</v>
      </c>
      <c r="R63" s="88">
        <v>0</v>
      </c>
      <c r="S63" s="88">
        <f t="shared" si="1"/>
        <v>878353</v>
      </c>
      <c r="T63" s="17">
        <f>Population!DZ297</f>
        <v>50694</v>
      </c>
      <c r="U63" s="153">
        <f>Population!G297+Population!H297+Population!I297+Population!J297+Population!K297+Population!N297</f>
        <v>63923</v>
      </c>
      <c r="V63" s="15">
        <f>[5]Population!G304</f>
        <v>1501</v>
      </c>
      <c r="W63" s="15">
        <v>0</v>
      </c>
      <c r="X63" s="89">
        <f t="shared" si="2"/>
        <v>116118</v>
      </c>
      <c r="Y63" s="65">
        <f t="shared" si="3"/>
        <v>994471</v>
      </c>
    </row>
    <row r="64" spans="1:25" hidden="1" x14ac:dyDescent="0.25">
      <c r="A64" s="14">
        <v>41275</v>
      </c>
      <c r="B64" s="14"/>
      <c r="C64" s="15">
        <f t="shared" si="4"/>
        <v>146987</v>
      </c>
      <c r="D64" s="15">
        <f>20151+1223</f>
        <v>21374</v>
      </c>
      <c r="E64" s="15">
        <v>34893</v>
      </c>
      <c r="F64" s="15">
        <v>780</v>
      </c>
      <c r="G64" s="152">
        <f>[5]Population!DQ305+[5]Population!DR305</f>
        <v>204034</v>
      </c>
      <c r="H64" s="59">
        <f>[5]Population!DS305+[5]Population!DT305</f>
        <v>60954</v>
      </c>
      <c r="I64" s="64">
        <f>Population!DP298</f>
        <v>91447</v>
      </c>
      <c r="J64" s="15">
        <f>Population!DR298</f>
        <v>14934</v>
      </c>
      <c r="K64" s="15">
        <f>Population!DO298+Population!DT298</f>
        <v>475827</v>
      </c>
      <c r="L64" s="15">
        <f>Population!DQ298</f>
        <v>0</v>
      </c>
      <c r="M64" s="15">
        <f>Population!DS298</f>
        <v>35335</v>
      </c>
      <c r="N64" s="68">
        <f t="shared" si="0"/>
        <v>617543</v>
      </c>
      <c r="O64" s="63">
        <f>Population!DU298</f>
        <v>0</v>
      </c>
      <c r="P64" s="15">
        <f>Population!DV298</f>
        <v>0</v>
      </c>
      <c r="Q64" s="16">
        <v>0</v>
      </c>
      <c r="R64" s="88">
        <v>0</v>
      </c>
      <c r="S64" s="88">
        <f t="shared" si="1"/>
        <v>882531</v>
      </c>
      <c r="T64" s="17">
        <f>Population!DZ298</f>
        <v>50809</v>
      </c>
      <c r="U64" s="153">
        <f>Population!G298+Population!H298+Population!I298+Population!J298+Population!K298+Population!N298</f>
        <v>63749</v>
      </c>
      <c r="V64" s="15">
        <f>[5]Population!G305</f>
        <v>1471</v>
      </c>
      <c r="W64" s="15">
        <v>0</v>
      </c>
      <c r="X64" s="89">
        <f t="shared" si="2"/>
        <v>116029</v>
      </c>
      <c r="Y64" s="65">
        <f t="shared" si="3"/>
        <v>998560</v>
      </c>
    </row>
    <row r="65" spans="1:25" hidden="1" x14ac:dyDescent="0.25">
      <c r="A65" s="14">
        <v>41306</v>
      </c>
      <c r="B65" s="14"/>
      <c r="C65" s="15">
        <f t="shared" si="4"/>
        <v>146699</v>
      </c>
      <c r="D65" s="15">
        <f>20174+1205</f>
        <v>21379</v>
      </c>
      <c r="E65" s="15">
        <v>34880</v>
      </c>
      <c r="F65" s="15">
        <v>806</v>
      </c>
      <c r="G65" s="152">
        <f>[5]Population!DQ306+[5]Population!DR306</f>
        <v>203764</v>
      </c>
      <c r="H65" s="59">
        <f>[5]Population!DS306+[5]Population!DT306</f>
        <v>49501</v>
      </c>
      <c r="I65" s="64">
        <f>Population!DP299</f>
        <v>92549</v>
      </c>
      <c r="J65" s="15">
        <f>Population!DR299</f>
        <v>15005</v>
      </c>
      <c r="K65" s="15">
        <f>Population!DO299+Population!DT299</f>
        <v>476031</v>
      </c>
      <c r="L65" s="15">
        <f>Population!DQ299</f>
        <v>0</v>
      </c>
      <c r="M65" s="15">
        <f>Population!DS299</f>
        <v>36071</v>
      </c>
      <c r="N65" s="68">
        <f t="shared" si="0"/>
        <v>619656</v>
      </c>
      <c r="O65" s="63">
        <f>Population!DU299</f>
        <v>0</v>
      </c>
      <c r="P65" s="15">
        <f>Population!DV299</f>
        <v>0</v>
      </c>
      <c r="Q65" s="16">
        <v>0</v>
      </c>
      <c r="R65" s="88">
        <v>0</v>
      </c>
      <c r="S65" s="88">
        <f t="shared" si="1"/>
        <v>872921</v>
      </c>
      <c r="T65" s="17">
        <f>Population!DZ299</f>
        <v>51156</v>
      </c>
      <c r="U65" s="153">
        <f>Population!G299+Population!H299+Population!I299+Population!J299+Population!K299+Population!N299</f>
        <v>64114</v>
      </c>
      <c r="V65" s="15">
        <f>[5]Population!G306</f>
        <v>1468</v>
      </c>
      <c r="W65" s="15">
        <v>0</v>
      </c>
      <c r="X65" s="89">
        <f t="shared" si="2"/>
        <v>116738</v>
      </c>
      <c r="Y65" s="65">
        <f t="shared" si="3"/>
        <v>989659</v>
      </c>
    </row>
    <row r="66" spans="1:25" hidden="1" x14ac:dyDescent="0.25">
      <c r="A66" s="14">
        <v>41334</v>
      </c>
      <c r="B66" s="14"/>
      <c r="C66" s="15">
        <f t="shared" si="4"/>
        <v>146480</v>
      </c>
      <c r="D66" s="15">
        <f>20125+1202</f>
        <v>21327</v>
      </c>
      <c r="E66" s="15">
        <v>35194</v>
      </c>
      <c r="F66" s="15">
        <v>820</v>
      </c>
      <c r="G66" s="152">
        <f>[5]Population!DQ307+[5]Population!DR307</f>
        <v>203821</v>
      </c>
      <c r="H66" s="59">
        <f>[5]Population!DS307+[5]Population!DT307</f>
        <v>58022</v>
      </c>
      <c r="I66" s="64">
        <f>Population!DP300</f>
        <v>92522</v>
      </c>
      <c r="J66" s="15">
        <f>Population!DR300</f>
        <v>15287</v>
      </c>
      <c r="K66" s="15">
        <f>Population!DO300+Population!DT300</f>
        <v>476468</v>
      </c>
      <c r="L66" s="15">
        <f>Population!DQ300</f>
        <v>0</v>
      </c>
      <c r="M66" s="15">
        <f>Population!DS300</f>
        <v>37150</v>
      </c>
      <c r="N66" s="68">
        <f t="shared" si="0"/>
        <v>621427</v>
      </c>
      <c r="O66" s="63">
        <f>Population!DU300</f>
        <v>0</v>
      </c>
      <c r="P66" s="15">
        <f>Population!DV300</f>
        <v>0</v>
      </c>
      <c r="Q66" s="16">
        <v>0</v>
      </c>
      <c r="R66" s="88">
        <v>0</v>
      </c>
      <c r="S66" s="88">
        <f t="shared" si="1"/>
        <v>883270</v>
      </c>
      <c r="T66" s="17">
        <f>Population!DZ300</f>
        <v>50656</v>
      </c>
      <c r="U66" s="153">
        <f>Population!G300+Population!H300+Population!I300+Population!J300+Population!K300+Population!N300</f>
        <v>63582</v>
      </c>
      <c r="V66" s="15">
        <f>[5]Population!G307</f>
        <v>1476</v>
      </c>
      <c r="W66" s="15">
        <v>0</v>
      </c>
      <c r="X66" s="89">
        <f t="shared" si="2"/>
        <v>115714</v>
      </c>
      <c r="Y66" s="65">
        <f t="shared" si="3"/>
        <v>998984</v>
      </c>
    </row>
    <row r="67" spans="1:25" hidden="1" x14ac:dyDescent="0.25">
      <c r="A67" s="14">
        <v>41365</v>
      </c>
      <c r="B67" s="14"/>
      <c r="C67" s="15">
        <f t="shared" si="4"/>
        <v>146813</v>
      </c>
      <c r="D67" s="15">
        <f>19983+1202</f>
        <v>21185</v>
      </c>
      <c r="E67" s="15">
        <v>35310</v>
      </c>
      <c r="F67" s="15">
        <v>811</v>
      </c>
      <c r="G67" s="152">
        <f>[5]Population!DQ308+[5]Population!DR308</f>
        <v>204119</v>
      </c>
      <c r="H67" s="59">
        <f>[5]Population!DS308+[5]Population!DT308</f>
        <v>59348</v>
      </c>
      <c r="I67" s="64">
        <f>Population!DP301</f>
        <v>92912</v>
      </c>
      <c r="J67" s="15">
        <f>Population!DR301</f>
        <v>15606</v>
      </c>
      <c r="K67" s="15">
        <f>Population!DO301+Population!DT301</f>
        <v>476620</v>
      </c>
      <c r="L67" s="15">
        <f>Population!DQ301</f>
        <v>0</v>
      </c>
      <c r="M67" s="15">
        <f>Population!DS301</f>
        <v>37889</v>
      </c>
      <c r="N67" s="68">
        <f t="shared" si="0"/>
        <v>623027</v>
      </c>
      <c r="O67" s="63">
        <f>Population!DU301</f>
        <v>0</v>
      </c>
      <c r="P67" s="15">
        <f>Population!DV301</f>
        <v>0</v>
      </c>
      <c r="Q67" s="16">
        <v>0</v>
      </c>
      <c r="R67" s="88">
        <v>0</v>
      </c>
      <c r="S67" s="88">
        <f t="shared" si="1"/>
        <v>886494</v>
      </c>
      <c r="T67" s="17">
        <f>Population!DZ301</f>
        <v>50405</v>
      </c>
      <c r="U67" s="153">
        <f>Population!G301+Population!H301+Population!I301+Population!J301+Population!K301+Population!N301</f>
        <v>63436</v>
      </c>
      <c r="V67" s="15">
        <f>[5]Population!G308</f>
        <v>1518</v>
      </c>
      <c r="W67" s="15">
        <v>0</v>
      </c>
      <c r="X67" s="89">
        <f t="shared" si="2"/>
        <v>115359</v>
      </c>
      <c r="Y67" s="65">
        <f t="shared" si="3"/>
        <v>1001853</v>
      </c>
    </row>
    <row r="68" spans="1:25" hidden="1" x14ac:dyDescent="0.25">
      <c r="A68" s="14">
        <v>41395</v>
      </c>
      <c r="B68" s="14"/>
      <c r="C68" s="15">
        <f t="shared" si="4"/>
        <v>147336</v>
      </c>
      <c r="D68" s="15">
        <f>19920+1199</f>
        <v>21119</v>
      </c>
      <c r="E68" s="15">
        <v>35602</v>
      </c>
      <c r="F68" s="15">
        <v>864</v>
      </c>
      <c r="G68" s="152">
        <f>[5]Population!DQ309+[5]Population!DR309</f>
        <v>204921</v>
      </c>
      <c r="H68" s="59">
        <f>[5]Population!DS309+[5]Population!DT309</f>
        <v>60263</v>
      </c>
      <c r="I68" s="64">
        <f>Population!DP302</f>
        <v>93080</v>
      </c>
      <c r="J68" s="15">
        <f>Population!DR302</f>
        <v>15746</v>
      </c>
      <c r="K68" s="15">
        <f>Population!DO302+Population!DT302</f>
        <v>476679</v>
      </c>
      <c r="L68" s="15">
        <f>Population!DQ302</f>
        <v>0</v>
      </c>
      <c r="M68" s="15">
        <f>Population!DS302</f>
        <v>38837</v>
      </c>
      <c r="N68" s="68">
        <f t="shared" si="0"/>
        <v>624342</v>
      </c>
      <c r="O68" s="63">
        <f>Population!DU302</f>
        <v>0</v>
      </c>
      <c r="P68" s="15">
        <f>Population!DV302</f>
        <v>0</v>
      </c>
      <c r="Q68" s="16">
        <v>0</v>
      </c>
      <c r="R68" s="88">
        <v>0</v>
      </c>
      <c r="S68" s="88">
        <f t="shared" si="1"/>
        <v>889526</v>
      </c>
      <c r="T68" s="17">
        <f>Population!DZ302</f>
        <v>50232</v>
      </c>
      <c r="U68" s="153">
        <f>Population!G302+Population!H302+Population!I302+Population!J302+Population!K302+Population!N302</f>
        <v>63214</v>
      </c>
      <c r="V68" s="15">
        <f>[5]Population!G309</f>
        <v>1544</v>
      </c>
      <c r="W68" s="15">
        <v>0</v>
      </c>
      <c r="X68" s="89">
        <f t="shared" si="2"/>
        <v>114990</v>
      </c>
      <c r="Y68" s="65">
        <f t="shared" si="3"/>
        <v>1004516</v>
      </c>
    </row>
    <row r="69" spans="1:25" hidden="1" x14ac:dyDescent="0.25">
      <c r="A69" s="14">
        <v>41426</v>
      </c>
      <c r="B69" s="14"/>
      <c r="C69" s="15">
        <f t="shared" si="4"/>
        <v>147100</v>
      </c>
      <c r="D69" s="15">
        <f>20003+1198</f>
        <v>21201</v>
      </c>
      <c r="E69" s="15">
        <v>35837</v>
      </c>
      <c r="F69" s="15">
        <v>866</v>
      </c>
      <c r="G69" s="152">
        <f>[5]Population!DQ310+[5]Population!DR310</f>
        <v>205004</v>
      </c>
      <c r="H69" s="59">
        <f>[5]Population!DS310+[5]Population!DT310</f>
        <v>60614</v>
      </c>
      <c r="I69" s="64">
        <f>Population!DP303</f>
        <v>93211</v>
      </c>
      <c r="J69" s="15">
        <f>Population!DR303</f>
        <v>15860</v>
      </c>
      <c r="K69" s="15">
        <f>Population!DO303+Population!DT303</f>
        <v>474758</v>
      </c>
      <c r="L69" s="15">
        <f>Population!DQ303</f>
        <v>0</v>
      </c>
      <c r="M69" s="15">
        <f>Population!DS303</f>
        <v>39368</v>
      </c>
      <c r="N69" s="68">
        <f t="shared" si="0"/>
        <v>623197</v>
      </c>
      <c r="O69" s="63">
        <f>Population!DU303</f>
        <v>0</v>
      </c>
      <c r="P69" s="15">
        <f>Population!DV303</f>
        <v>0</v>
      </c>
      <c r="Q69" s="16">
        <v>0</v>
      </c>
      <c r="R69" s="88">
        <v>0</v>
      </c>
      <c r="S69" s="88">
        <f t="shared" si="1"/>
        <v>888815</v>
      </c>
      <c r="T69" s="17">
        <f>Population!DZ303</f>
        <v>50169</v>
      </c>
      <c r="U69" s="153">
        <f>Population!G303+Population!H303+Population!I303+Population!J303+Population!K303+Population!N303</f>
        <v>63952</v>
      </c>
      <c r="V69" s="15">
        <f>[5]Population!G310</f>
        <v>1578</v>
      </c>
      <c r="W69" s="15">
        <v>0</v>
      </c>
      <c r="X69" s="89">
        <f t="shared" si="2"/>
        <v>115699</v>
      </c>
      <c r="Y69" s="65">
        <f t="shared" si="3"/>
        <v>1004514</v>
      </c>
    </row>
    <row r="70" spans="1:25" hidden="1" x14ac:dyDescent="0.25">
      <c r="A70" s="14"/>
      <c r="B70" s="14"/>
      <c r="C70" s="15"/>
      <c r="D70" s="15"/>
      <c r="E70" s="15"/>
      <c r="F70" s="15"/>
      <c r="G70" s="152"/>
      <c r="H70" s="59"/>
      <c r="I70" s="64"/>
      <c r="J70" s="15"/>
      <c r="K70" s="15"/>
      <c r="L70" s="15"/>
      <c r="M70" s="15"/>
      <c r="N70" s="68"/>
      <c r="O70" s="63"/>
      <c r="P70" s="15"/>
      <c r="Q70" s="16"/>
      <c r="R70" s="88"/>
      <c r="S70" s="88"/>
      <c r="T70" s="17"/>
      <c r="U70" s="153"/>
      <c r="V70" s="15"/>
      <c r="W70" s="15"/>
      <c r="X70" s="89"/>
      <c r="Y70" s="65"/>
    </row>
    <row r="71" spans="1:25" hidden="1" x14ac:dyDescent="0.25">
      <c r="A71" s="14">
        <v>41456</v>
      </c>
      <c r="B71" s="14"/>
      <c r="C71" s="15">
        <f t="shared" ref="C71:C82" si="5">G71-D71-E71-F71</f>
        <v>146819</v>
      </c>
      <c r="D71" s="15">
        <f>20011+1169</f>
        <v>21180</v>
      </c>
      <c r="E71" s="15">
        <v>36148</v>
      </c>
      <c r="F71" s="15">
        <v>897</v>
      </c>
      <c r="G71" s="152">
        <f>[5]Population!DQ311+[5]Population!DR311</f>
        <v>205044</v>
      </c>
      <c r="H71" s="59">
        <f>[5]Population!DS311+[5]Population!DT311</f>
        <v>60773</v>
      </c>
      <c r="I71" s="64">
        <f>Population!DP304</f>
        <v>92678</v>
      </c>
      <c r="J71" s="15">
        <f>Population!DR304</f>
        <v>16043</v>
      </c>
      <c r="K71" s="15">
        <f>Population!DO304+Population!DT304</f>
        <v>473859</v>
      </c>
      <c r="L71" s="15">
        <f>Population!DQ304</f>
        <v>0</v>
      </c>
      <c r="M71" s="15">
        <f>Population!DS304</f>
        <v>39924</v>
      </c>
      <c r="N71" s="68">
        <f t="shared" ref="N71:N134" si="6">SUM(I71:M71)</f>
        <v>622504</v>
      </c>
      <c r="O71" s="63">
        <f>Population!DU304</f>
        <v>0</v>
      </c>
      <c r="P71" s="15">
        <f>Population!DV304</f>
        <v>0</v>
      </c>
      <c r="Q71" s="16">
        <v>0</v>
      </c>
      <c r="R71" s="88">
        <v>0</v>
      </c>
      <c r="S71" s="88">
        <f t="shared" ref="S71:S134" si="7">G71+N71+R71+H71</f>
        <v>888321</v>
      </c>
      <c r="T71" s="17">
        <f>Population!DZ304</f>
        <v>49945</v>
      </c>
      <c r="U71" s="153">
        <f>Population!G304+Population!H304+Population!I304+Population!J304+Population!K304+Population!N304</f>
        <v>63692</v>
      </c>
      <c r="V71" s="15">
        <f>[5]Population!G311</f>
        <v>1616</v>
      </c>
      <c r="W71" s="15">
        <v>0</v>
      </c>
      <c r="X71" s="89">
        <f t="shared" ref="X71:X134" si="8">SUM(T71:W71)</f>
        <v>115253</v>
      </c>
      <c r="Y71" s="65">
        <f t="shared" ref="Y71:Y134" si="9">S71+X71</f>
        <v>1003574</v>
      </c>
    </row>
    <row r="72" spans="1:25" hidden="1" x14ac:dyDescent="0.25">
      <c r="A72" s="14">
        <v>41487</v>
      </c>
      <c r="B72" s="14"/>
      <c r="C72" s="15">
        <f t="shared" si="5"/>
        <v>146226</v>
      </c>
      <c r="D72" s="15">
        <f>19903+1198</f>
        <v>21101</v>
      </c>
      <c r="E72" s="15">
        <v>36391</v>
      </c>
      <c r="F72" s="15">
        <v>919</v>
      </c>
      <c r="G72" s="152">
        <f>[5]Population!DQ312+[5]Population!DR312</f>
        <v>204637</v>
      </c>
      <c r="H72" s="59">
        <f>[5]Population!DS312+[5]Population!DT312</f>
        <v>60849</v>
      </c>
      <c r="I72" s="64">
        <f>Population!DP305</f>
        <v>92887</v>
      </c>
      <c r="J72" s="15">
        <f>Population!DR305</f>
        <v>16123</v>
      </c>
      <c r="K72" s="15">
        <f>Population!DO305+Population!DT305</f>
        <v>472179</v>
      </c>
      <c r="L72" s="15">
        <f>Population!DQ305</f>
        <v>0</v>
      </c>
      <c r="M72" s="15">
        <f>Population!DS305</f>
        <v>40512</v>
      </c>
      <c r="N72" s="68">
        <f t="shared" si="6"/>
        <v>621701</v>
      </c>
      <c r="O72" s="63">
        <f>Population!DU305</f>
        <v>0</v>
      </c>
      <c r="P72" s="15">
        <f>Population!DV305</f>
        <v>0</v>
      </c>
      <c r="Q72" s="16">
        <v>0</v>
      </c>
      <c r="R72" s="88">
        <v>0</v>
      </c>
      <c r="S72" s="88">
        <f t="shared" si="7"/>
        <v>887187</v>
      </c>
      <c r="T72" s="17">
        <f>Population!DZ305</f>
        <v>49728</v>
      </c>
      <c r="U72" s="153">
        <f>Population!G305+Population!H305+Population!I305+Population!J305+Population!K305+Population!N305</f>
        <v>63442</v>
      </c>
      <c r="V72" s="15">
        <f>[5]Population!G312</f>
        <v>1553</v>
      </c>
      <c r="W72" s="15">
        <v>0</v>
      </c>
      <c r="X72" s="89">
        <f t="shared" si="8"/>
        <v>114723</v>
      </c>
      <c r="Y72" s="65">
        <f t="shared" si="9"/>
        <v>1001910</v>
      </c>
    </row>
    <row r="73" spans="1:25" hidden="1" x14ac:dyDescent="0.25">
      <c r="A73" s="14">
        <v>41518</v>
      </c>
      <c r="B73" s="14"/>
      <c r="C73" s="15">
        <f t="shared" si="5"/>
        <v>146592</v>
      </c>
      <c r="D73" s="15">
        <f>19864+1157</f>
        <v>21021</v>
      </c>
      <c r="E73" s="15">
        <v>36578</v>
      </c>
      <c r="F73" s="15">
        <v>927</v>
      </c>
      <c r="G73" s="152">
        <f>[5]Population!DQ313+[5]Population!DR313</f>
        <v>205118</v>
      </c>
      <c r="H73" s="59">
        <f>[5]Population!DS313+[5]Population!DT313</f>
        <v>60949</v>
      </c>
      <c r="I73" s="64">
        <f>Population!DP306</f>
        <v>92841</v>
      </c>
      <c r="J73" s="15">
        <f>Population!DR306</f>
        <v>15928</v>
      </c>
      <c r="K73" s="15">
        <f>Population!DO306+Population!DT306</f>
        <v>472229</v>
      </c>
      <c r="L73" s="15">
        <f>Population!DQ306</f>
        <v>0</v>
      </c>
      <c r="M73" s="15">
        <f>Population!DS306</f>
        <v>40859</v>
      </c>
      <c r="N73" s="68">
        <f t="shared" si="6"/>
        <v>621857</v>
      </c>
      <c r="O73" s="63">
        <f>Population!DU306</f>
        <v>0</v>
      </c>
      <c r="P73" s="15">
        <f>Population!DV306</f>
        <v>0</v>
      </c>
      <c r="Q73" s="16">
        <v>0</v>
      </c>
      <c r="R73" s="88">
        <v>0</v>
      </c>
      <c r="S73" s="88">
        <f t="shared" si="7"/>
        <v>887924</v>
      </c>
      <c r="T73" s="17">
        <f>Population!DZ306</f>
        <v>49823</v>
      </c>
      <c r="U73" s="153">
        <f>Population!G306+Population!H306+Population!I306+Population!J306+Population!K306+Population!N306</f>
        <v>63397</v>
      </c>
      <c r="V73" s="15">
        <f>[5]Population!G313</f>
        <v>1560</v>
      </c>
      <c r="W73" s="15">
        <v>0</v>
      </c>
      <c r="X73" s="89">
        <f t="shared" si="8"/>
        <v>114780</v>
      </c>
      <c r="Y73" s="65">
        <f t="shared" si="9"/>
        <v>1002704</v>
      </c>
    </row>
    <row r="74" spans="1:25" hidden="1" x14ac:dyDescent="0.25">
      <c r="A74" s="14">
        <v>41548</v>
      </c>
      <c r="B74" s="14"/>
      <c r="C74" s="15">
        <f t="shared" si="5"/>
        <v>146505</v>
      </c>
      <c r="D74" s="15">
        <f>19766+1144</f>
        <v>20910</v>
      </c>
      <c r="E74" s="15">
        <v>37018</v>
      </c>
      <c r="F74" s="15">
        <v>955</v>
      </c>
      <c r="G74" s="152">
        <f>[5]Population!DQ314+[5]Population!DR314</f>
        <v>205388</v>
      </c>
      <c r="H74" s="59">
        <f>[5]Population!DS314+[5]Population!DT314</f>
        <v>61146</v>
      </c>
      <c r="I74" s="64">
        <f>Population!DP307</f>
        <v>93172</v>
      </c>
      <c r="J74" s="15">
        <f>Population!DR307</f>
        <v>15521</v>
      </c>
      <c r="K74" s="15">
        <f>Population!DO307+Population!DT307</f>
        <v>473615</v>
      </c>
      <c r="L74" s="15">
        <f>Population!DQ307</f>
        <v>0</v>
      </c>
      <c r="M74" s="15">
        <f>Population!DS307</f>
        <v>41665</v>
      </c>
      <c r="N74" s="68">
        <f t="shared" si="6"/>
        <v>623973</v>
      </c>
      <c r="O74" s="63">
        <f>Population!DU307</f>
        <v>0</v>
      </c>
      <c r="P74" s="15">
        <f>Population!DV307</f>
        <v>0</v>
      </c>
      <c r="Q74" s="16">
        <v>0</v>
      </c>
      <c r="R74" s="88">
        <v>0</v>
      </c>
      <c r="S74" s="88">
        <f t="shared" si="7"/>
        <v>890507</v>
      </c>
      <c r="T74" s="17">
        <f>Population!DZ307</f>
        <v>50017</v>
      </c>
      <c r="U74" s="153">
        <f>Population!G307+Population!H307+Population!I307+Population!J307+Population!K307+Population!N307</f>
        <v>63450</v>
      </c>
      <c r="V74" s="15">
        <f>[5]Population!G314</f>
        <v>1549</v>
      </c>
      <c r="W74" s="15">
        <v>0</v>
      </c>
      <c r="X74" s="89">
        <f t="shared" si="8"/>
        <v>115016</v>
      </c>
      <c r="Y74" s="65">
        <f t="shared" si="9"/>
        <v>1005523</v>
      </c>
    </row>
    <row r="75" spans="1:25" hidden="1" x14ac:dyDescent="0.25">
      <c r="A75" s="14">
        <v>41579</v>
      </c>
      <c r="B75" s="14"/>
      <c r="C75" s="15">
        <f t="shared" si="5"/>
        <v>146336</v>
      </c>
      <c r="D75" s="15">
        <f>19804+1111</f>
        <v>20915</v>
      </c>
      <c r="E75" s="15">
        <v>37579</v>
      </c>
      <c r="F75" s="15">
        <v>985</v>
      </c>
      <c r="G75" s="152">
        <f>[5]Population!DQ315+[5]Population!DR315</f>
        <v>205815</v>
      </c>
      <c r="H75" s="59">
        <f>[5]Population!DS315+[5]Population!DT315</f>
        <v>61274</v>
      </c>
      <c r="I75" s="64">
        <f>Population!DP308</f>
        <v>92982</v>
      </c>
      <c r="J75" s="15">
        <f>Population!DR308</f>
        <v>14815</v>
      </c>
      <c r="K75" s="15">
        <f>Population!DO308+Population!DT308</f>
        <v>468172</v>
      </c>
      <c r="L75" s="15">
        <f>Population!DQ308</f>
        <v>0</v>
      </c>
      <c r="M75" s="15">
        <f>Population!DS308</f>
        <v>43020</v>
      </c>
      <c r="N75" s="68">
        <f t="shared" si="6"/>
        <v>618989</v>
      </c>
      <c r="O75" s="63">
        <f>Population!DU308</f>
        <v>0</v>
      </c>
      <c r="P75" s="15">
        <f>Population!DV308</f>
        <v>0</v>
      </c>
      <c r="Q75" s="16">
        <v>0</v>
      </c>
      <c r="R75" s="88">
        <v>0</v>
      </c>
      <c r="S75" s="88">
        <f t="shared" si="7"/>
        <v>886078</v>
      </c>
      <c r="T75" s="17">
        <f>Population!DZ308</f>
        <v>50755</v>
      </c>
      <c r="U75" s="153">
        <f>Population!G308+Population!H308+Population!I308+Population!J308+Population!K308+Population!N308</f>
        <v>63401</v>
      </c>
      <c r="V75" s="15">
        <f>[5]Population!G315</f>
        <v>1564</v>
      </c>
      <c r="W75" s="15">
        <v>0</v>
      </c>
      <c r="X75" s="89">
        <f t="shared" si="8"/>
        <v>115720</v>
      </c>
      <c r="Y75" s="65">
        <f t="shared" si="9"/>
        <v>1001798</v>
      </c>
    </row>
    <row r="76" spans="1:25" hidden="1" x14ac:dyDescent="0.25">
      <c r="A76" s="14">
        <v>41609</v>
      </c>
      <c r="B76" s="14"/>
      <c r="C76" s="15">
        <f t="shared" si="5"/>
        <v>146585</v>
      </c>
      <c r="D76" s="15">
        <f>19790+1103</f>
        <v>20893</v>
      </c>
      <c r="E76" s="15">
        <v>37948</v>
      </c>
      <c r="F76" s="15">
        <v>992</v>
      </c>
      <c r="G76" s="152">
        <f>[5]Population!DQ316+[5]Population!DR316</f>
        <v>206418</v>
      </c>
      <c r="H76" s="59">
        <f>[5]Population!DS316+[5]Population!DT316</f>
        <v>61664</v>
      </c>
      <c r="I76" s="64">
        <f>Population!DP309</f>
        <v>91562</v>
      </c>
      <c r="J76" s="15">
        <f>Population!DR309</f>
        <v>14474</v>
      </c>
      <c r="K76" s="15">
        <f>Population!DO309+Population!DT309</f>
        <v>464959</v>
      </c>
      <c r="L76" s="15">
        <f>Population!DQ309</f>
        <v>0</v>
      </c>
      <c r="M76" s="15">
        <f>Population!DS309</f>
        <v>44633</v>
      </c>
      <c r="N76" s="68">
        <f t="shared" si="6"/>
        <v>615628</v>
      </c>
      <c r="O76" s="63">
        <f>Population!DU309</f>
        <v>0</v>
      </c>
      <c r="P76" s="15">
        <f>Population!DV309</f>
        <v>0</v>
      </c>
      <c r="Q76" s="16">
        <v>0</v>
      </c>
      <c r="R76" s="88">
        <v>0</v>
      </c>
      <c r="S76" s="88">
        <f t="shared" si="7"/>
        <v>883710</v>
      </c>
      <c r="T76" s="17">
        <f>Population!DZ309</f>
        <v>50663</v>
      </c>
      <c r="U76" s="153">
        <f>Population!G309+Population!H309+Population!I309+Population!J309+Population!K309+Population!N309</f>
        <v>62715</v>
      </c>
      <c r="V76" s="15">
        <f>[5]Population!G316</f>
        <v>1508</v>
      </c>
      <c r="W76" s="15">
        <v>0</v>
      </c>
      <c r="X76" s="89">
        <f t="shared" si="8"/>
        <v>114886</v>
      </c>
      <c r="Y76" s="65">
        <f t="shared" si="9"/>
        <v>998596</v>
      </c>
    </row>
    <row r="77" spans="1:25" hidden="1" x14ac:dyDescent="0.25">
      <c r="A77" s="14">
        <v>41640</v>
      </c>
      <c r="B77" s="14"/>
      <c r="C77" s="15">
        <f t="shared" si="5"/>
        <v>147086</v>
      </c>
      <c r="D77" s="15">
        <f>19476+1081</f>
        <v>20557</v>
      </c>
      <c r="E77" s="15">
        <v>38011</v>
      </c>
      <c r="F77" s="15">
        <v>998</v>
      </c>
      <c r="G77" s="152">
        <f>[5]Population!DQ317+[5]Population!DR317</f>
        <v>206652</v>
      </c>
      <c r="H77" s="59">
        <f>[5]Population!DS317+[5]Population!DT317</f>
        <v>61806</v>
      </c>
      <c r="I77" s="64">
        <f>Population!DP310</f>
        <v>90780</v>
      </c>
      <c r="J77" s="15">
        <f>Population!DR310</f>
        <v>14732</v>
      </c>
      <c r="K77" s="15">
        <f>Population!DO310+Population!DT310</f>
        <v>465376</v>
      </c>
      <c r="L77" s="15">
        <f>Population!DQ310</f>
        <v>0</v>
      </c>
      <c r="M77" s="15">
        <f>Population!DS310</f>
        <v>45644</v>
      </c>
      <c r="N77" s="68">
        <f t="shared" si="6"/>
        <v>616532</v>
      </c>
      <c r="O77" s="63">
        <f>Population!DU310</f>
        <v>0</v>
      </c>
      <c r="P77" s="15">
        <f>Population!DV310</f>
        <v>0</v>
      </c>
      <c r="Q77" s="16">
        <v>0</v>
      </c>
      <c r="R77" s="88">
        <v>0</v>
      </c>
      <c r="S77" s="88">
        <f t="shared" si="7"/>
        <v>884990</v>
      </c>
      <c r="T77" s="17">
        <f>Population!DZ310</f>
        <v>50743</v>
      </c>
      <c r="U77" s="153">
        <f>Population!G310+Population!H310+Population!I310+Population!J310+Population!K310+Population!N310</f>
        <v>64157</v>
      </c>
      <c r="V77" s="15">
        <f>[5]Population!G317</f>
        <v>1421</v>
      </c>
      <c r="W77" s="15">
        <v>0</v>
      </c>
      <c r="X77" s="89">
        <f t="shared" si="8"/>
        <v>116321</v>
      </c>
      <c r="Y77" s="65">
        <f t="shared" si="9"/>
        <v>1001311</v>
      </c>
    </row>
    <row r="78" spans="1:25" hidden="1" x14ac:dyDescent="0.25">
      <c r="A78" s="14">
        <v>41671</v>
      </c>
      <c r="B78" s="14"/>
      <c r="C78" s="15">
        <f t="shared" si="5"/>
        <v>146568</v>
      </c>
      <c r="D78" s="15">
        <f>19549+1067</f>
        <v>20616</v>
      </c>
      <c r="E78" s="15">
        <v>37944</v>
      </c>
      <c r="F78" s="15">
        <v>1008</v>
      </c>
      <c r="G78" s="152">
        <f>[5]Population!DQ318+[5]Population!DR318</f>
        <v>206136</v>
      </c>
      <c r="H78" s="59">
        <f>[5]Population!DS318+[5]Population!DT318</f>
        <v>49747</v>
      </c>
      <c r="I78" s="64">
        <f>Population!DP311</f>
        <v>91342</v>
      </c>
      <c r="J78" s="15">
        <f>Population!DR311</f>
        <v>14772</v>
      </c>
      <c r="K78" s="15">
        <f>Population!DO311+Population!DT311</f>
        <v>466371</v>
      </c>
      <c r="L78" s="15">
        <f>Population!DQ311</f>
        <v>0</v>
      </c>
      <c r="M78" s="15">
        <f>Population!DS311</f>
        <v>47229</v>
      </c>
      <c r="N78" s="68">
        <f t="shared" si="6"/>
        <v>619714</v>
      </c>
      <c r="O78" s="63">
        <f>Population!DU311</f>
        <v>0</v>
      </c>
      <c r="P78" s="15">
        <f>Population!DV311</f>
        <v>0</v>
      </c>
      <c r="Q78" s="16">
        <v>0</v>
      </c>
      <c r="R78" s="88">
        <v>0</v>
      </c>
      <c r="S78" s="88">
        <f t="shared" si="7"/>
        <v>875597</v>
      </c>
      <c r="T78" s="17">
        <f>Population!DZ311</f>
        <v>50917</v>
      </c>
      <c r="U78" s="153">
        <f>Population!G311+Population!H311+Population!I311+Population!J311+Population!K311+Population!N311</f>
        <v>64483</v>
      </c>
      <c r="V78" s="15">
        <f>[5]Population!G318</f>
        <v>1351</v>
      </c>
      <c r="W78" s="15">
        <v>0</v>
      </c>
      <c r="X78" s="89">
        <f t="shared" si="8"/>
        <v>116751</v>
      </c>
      <c r="Y78" s="65">
        <f t="shared" si="9"/>
        <v>992348</v>
      </c>
    </row>
    <row r="79" spans="1:25" hidden="1" x14ac:dyDescent="0.25">
      <c r="A79" s="14">
        <v>41699</v>
      </c>
      <c r="B79" s="14"/>
      <c r="C79" s="15">
        <f t="shared" si="5"/>
        <v>147748</v>
      </c>
      <c r="D79" s="15">
        <f>19300+1051</f>
        <v>20351</v>
      </c>
      <c r="E79" s="15">
        <v>37758</v>
      </c>
      <c r="F79" s="15">
        <v>1036</v>
      </c>
      <c r="G79" s="152">
        <f>[5]Population!DQ319+[5]Population!DR319</f>
        <v>206893</v>
      </c>
      <c r="H79" s="59">
        <f>[5]Population!DS319+[5]Population!DT319</f>
        <v>58492</v>
      </c>
      <c r="I79" s="64">
        <f>Population!DP312</f>
        <v>92170</v>
      </c>
      <c r="J79" s="15">
        <f>Population!DR312</f>
        <v>15120</v>
      </c>
      <c r="K79" s="15">
        <f>Population!DO312+Population!DT312</f>
        <v>466684</v>
      </c>
      <c r="L79" s="15">
        <f>Population!DQ312</f>
        <v>0</v>
      </c>
      <c r="M79" s="15">
        <f>Population!DS312</f>
        <v>49389</v>
      </c>
      <c r="N79" s="68">
        <f t="shared" si="6"/>
        <v>623363</v>
      </c>
      <c r="O79" s="63">
        <f>Population!DU312</f>
        <v>0</v>
      </c>
      <c r="P79" s="15">
        <f>Population!DV312</f>
        <v>0</v>
      </c>
      <c r="Q79" s="16">
        <v>0</v>
      </c>
      <c r="R79" s="88">
        <v>0</v>
      </c>
      <c r="S79" s="88">
        <f t="shared" si="7"/>
        <v>888748</v>
      </c>
      <c r="T79" s="17">
        <f>Population!DZ312</f>
        <v>50888</v>
      </c>
      <c r="U79" s="153">
        <f>Population!G312+Population!H312+Population!I312+Population!J312+Population!K312+Population!N312</f>
        <v>62198</v>
      </c>
      <c r="V79" s="15">
        <f>[5]Population!G319</f>
        <v>1236</v>
      </c>
      <c r="W79" s="15">
        <v>0</v>
      </c>
      <c r="X79" s="89">
        <f t="shared" si="8"/>
        <v>114322</v>
      </c>
      <c r="Y79" s="65">
        <f t="shared" si="9"/>
        <v>1003070</v>
      </c>
    </row>
    <row r="80" spans="1:25" hidden="1" x14ac:dyDescent="0.25">
      <c r="A80" s="14">
        <v>41730</v>
      </c>
      <c r="B80" s="14"/>
      <c r="C80" s="15">
        <f t="shared" si="5"/>
        <v>147916</v>
      </c>
      <c r="D80" s="15">
        <f>19300+1035</f>
        <v>20335</v>
      </c>
      <c r="E80" s="15">
        <v>38206</v>
      </c>
      <c r="F80" s="15">
        <v>1032</v>
      </c>
      <c r="G80" s="152">
        <f>[5]Population!DQ320+[5]Population!DR320</f>
        <v>207489</v>
      </c>
      <c r="H80" s="59">
        <f>[5]Population!DS320+[5]Population!DT320</f>
        <v>59348</v>
      </c>
      <c r="I80" s="64">
        <f>Population!DP313</f>
        <v>92969</v>
      </c>
      <c r="J80" s="15">
        <f>Population!DR313</f>
        <v>15687</v>
      </c>
      <c r="K80" s="15">
        <f>Population!DO313+Population!DT313</f>
        <v>469007</v>
      </c>
      <c r="L80" s="15">
        <f>Population!DQ313</f>
        <v>0</v>
      </c>
      <c r="M80" s="15">
        <f>Population!DS313</f>
        <v>53627</v>
      </c>
      <c r="N80" s="68">
        <f t="shared" si="6"/>
        <v>631290</v>
      </c>
      <c r="O80" s="63">
        <f>Population!DU313</f>
        <v>0</v>
      </c>
      <c r="P80" s="15">
        <f>Population!DV313</f>
        <v>0</v>
      </c>
      <c r="Q80" s="16">
        <v>0</v>
      </c>
      <c r="R80" s="88">
        <v>0</v>
      </c>
      <c r="S80" s="88">
        <f t="shared" si="7"/>
        <v>898127</v>
      </c>
      <c r="T80" s="17">
        <f>Population!DZ313</f>
        <v>51150</v>
      </c>
      <c r="U80" s="153">
        <f>Population!G313+Population!H313+Population!I313+Population!J313+Population!K313+Population!N313</f>
        <v>61582</v>
      </c>
      <c r="V80" s="15">
        <f>[5]Population!G320</f>
        <v>1014</v>
      </c>
      <c r="W80" s="15">
        <v>0</v>
      </c>
      <c r="X80" s="89">
        <f t="shared" si="8"/>
        <v>113746</v>
      </c>
      <c r="Y80" s="65">
        <f t="shared" si="9"/>
        <v>1011873</v>
      </c>
    </row>
    <row r="81" spans="1:25" hidden="1" x14ac:dyDescent="0.25">
      <c r="A81" s="14">
        <v>41760</v>
      </c>
      <c r="B81" s="14"/>
      <c r="C81" s="15">
        <f t="shared" si="5"/>
        <v>147411</v>
      </c>
      <c r="D81" s="15">
        <f>19487+1015</f>
        <v>20502</v>
      </c>
      <c r="E81" s="15">
        <v>38397</v>
      </c>
      <c r="F81" s="15">
        <v>1070</v>
      </c>
      <c r="G81" s="152">
        <f>[5]Population!DQ321+[5]Population!DR321</f>
        <v>207380</v>
      </c>
      <c r="H81" s="59">
        <f>[5]Population!DS321+[5]Population!DT321</f>
        <v>59911</v>
      </c>
      <c r="I81" s="64">
        <f>Population!DP314</f>
        <v>93844</v>
      </c>
      <c r="J81" s="15">
        <f>Population!DR314</f>
        <v>15993</v>
      </c>
      <c r="K81" s="15">
        <f>Population!DO314+Population!DT314</f>
        <v>469864</v>
      </c>
      <c r="L81" s="15">
        <f>Population!DQ314</f>
        <v>0</v>
      </c>
      <c r="M81" s="15">
        <f>Population!DS314</f>
        <v>57313</v>
      </c>
      <c r="N81" s="68">
        <f t="shared" si="6"/>
        <v>637014</v>
      </c>
      <c r="O81" s="63">
        <f>Population!DU314</f>
        <v>0</v>
      </c>
      <c r="P81" s="15">
        <f>Population!DV314</f>
        <v>0</v>
      </c>
      <c r="Q81" s="16">
        <v>0</v>
      </c>
      <c r="R81" s="88">
        <v>0</v>
      </c>
      <c r="S81" s="88">
        <f t="shared" si="7"/>
        <v>904305</v>
      </c>
      <c r="T81" s="17">
        <f>Population!DZ314</f>
        <v>51105</v>
      </c>
      <c r="U81" s="153">
        <f>Population!G314+Population!H314+Population!I314+Population!J314+Population!K314+Population!N314</f>
        <v>63660</v>
      </c>
      <c r="V81" s="15">
        <f>[5]Population!G321</f>
        <v>814</v>
      </c>
      <c r="W81" s="15">
        <v>0</v>
      </c>
      <c r="X81" s="89">
        <f t="shared" si="8"/>
        <v>115579</v>
      </c>
      <c r="Y81" s="65">
        <f t="shared" si="9"/>
        <v>1019884</v>
      </c>
    </row>
    <row r="82" spans="1:25" hidden="1" x14ac:dyDescent="0.25">
      <c r="A82" s="14">
        <v>41791</v>
      </c>
      <c r="B82" s="14"/>
      <c r="C82" s="15">
        <f t="shared" si="5"/>
        <v>147238</v>
      </c>
      <c r="D82" s="15">
        <f>19508+1018</f>
        <v>20526</v>
      </c>
      <c r="E82" s="15">
        <v>38864</v>
      </c>
      <c r="F82" s="15">
        <v>1111</v>
      </c>
      <c r="G82" s="152">
        <f>[5]Population!DQ322+[5]Population!DR322</f>
        <v>207739</v>
      </c>
      <c r="H82" s="59">
        <f>[5]Population!DS322+[5]Population!DT322</f>
        <v>60336</v>
      </c>
      <c r="I82" s="64">
        <f>Population!DP315</f>
        <v>94396</v>
      </c>
      <c r="J82" s="15">
        <f>Population!DR315</f>
        <v>15993</v>
      </c>
      <c r="K82" s="15">
        <f>Population!DO315+Population!DT315</f>
        <v>469864</v>
      </c>
      <c r="L82" s="15">
        <f>Population!DQ315</f>
        <v>0</v>
      </c>
      <c r="M82" s="15">
        <f>Population!DS315</f>
        <v>57313</v>
      </c>
      <c r="N82" s="68">
        <f t="shared" si="6"/>
        <v>637566</v>
      </c>
      <c r="O82" s="63">
        <f>Population!DU315</f>
        <v>0</v>
      </c>
      <c r="P82" s="15">
        <f>Population!DV315</f>
        <v>0</v>
      </c>
      <c r="Q82" s="16">
        <v>0</v>
      </c>
      <c r="R82" s="88">
        <v>0</v>
      </c>
      <c r="S82" s="88">
        <f t="shared" si="7"/>
        <v>905641</v>
      </c>
      <c r="T82" s="17">
        <f>Population!DZ315</f>
        <v>51131</v>
      </c>
      <c r="U82" s="153">
        <f>Population!G315+Population!H315+Population!I315+Population!J315+Population!K315+Population!N315</f>
        <v>64432</v>
      </c>
      <c r="V82" s="15">
        <f>[5]Population!G322</f>
        <v>634</v>
      </c>
      <c r="W82" s="15">
        <v>0</v>
      </c>
      <c r="X82" s="89">
        <f t="shared" si="8"/>
        <v>116197</v>
      </c>
      <c r="Y82" s="65">
        <f t="shared" si="9"/>
        <v>1021838</v>
      </c>
    </row>
    <row r="83" spans="1:25" hidden="1" x14ac:dyDescent="0.25">
      <c r="A83" s="14"/>
      <c r="B83" s="14"/>
      <c r="C83" s="15"/>
      <c r="D83" s="15"/>
      <c r="E83" s="15"/>
      <c r="F83" s="15"/>
      <c r="H83" s="59"/>
      <c r="I83" s="64"/>
      <c r="J83" s="15"/>
      <c r="K83" s="15"/>
      <c r="L83" s="15"/>
      <c r="M83" s="15"/>
      <c r="N83" s="68"/>
      <c r="O83" s="63"/>
      <c r="P83" s="15"/>
      <c r="Q83" s="16"/>
      <c r="R83" s="88"/>
      <c r="S83" s="88"/>
      <c r="T83" s="17"/>
      <c r="U83" s="153"/>
      <c r="W83" s="15"/>
      <c r="X83" s="89"/>
      <c r="Y83" s="65"/>
    </row>
    <row r="84" spans="1:25" hidden="1" x14ac:dyDescent="0.25">
      <c r="A84" s="14">
        <v>41821</v>
      </c>
      <c r="B84" s="14"/>
      <c r="C84" s="15">
        <f t="shared" ref="C84:C95" si="10">G84-D84-E84-F84</f>
        <v>147354</v>
      </c>
      <c r="D84" s="15">
        <f>19643+1002</f>
        <v>20645</v>
      </c>
      <c r="E84" s="15">
        <v>39290</v>
      </c>
      <c r="F84" s="15">
        <v>1127</v>
      </c>
      <c r="G84" s="152">
        <f>[5]Population!DQ323+[5]Population!DR323</f>
        <v>208416</v>
      </c>
      <c r="H84" s="59">
        <f>[5]Population!DS323+[5]Population!DT323</f>
        <v>60592</v>
      </c>
      <c r="I84" s="64">
        <f>Population!DP316</f>
        <v>94692</v>
      </c>
      <c r="J84" s="15">
        <f>Population!DR316</f>
        <v>16411</v>
      </c>
      <c r="K84" s="15">
        <f>Population!DO316+Population!DT316</f>
        <v>469544</v>
      </c>
      <c r="L84" s="15">
        <f>Population!DQ316</f>
        <v>0</v>
      </c>
      <c r="M84" s="15">
        <f>Population!DS316</f>
        <v>60483</v>
      </c>
      <c r="N84" s="68">
        <f t="shared" si="6"/>
        <v>641130</v>
      </c>
      <c r="O84" s="63">
        <f>Population!DU316</f>
        <v>0</v>
      </c>
      <c r="P84" s="15">
        <f>Population!DV316</f>
        <v>0</v>
      </c>
      <c r="Q84" s="16">
        <v>0</v>
      </c>
      <c r="R84" s="88">
        <v>0</v>
      </c>
      <c r="S84" s="88">
        <f t="shared" si="7"/>
        <v>910138</v>
      </c>
      <c r="T84" s="17">
        <f>Population!DZ316</f>
        <v>51046</v>
      </c>
      <c r="U84" s="153">
        <f>Population!G316+Population!H316+Population!I316+Population!J316+Population!K316+Population!N316</f>
        <v>64447</v>
      </c>
      <c r="V84" s="15">
        <f>[5]Population!G323</f>
        <v>452</v>
      </c>
      <c r="W84" s="15">
        <v>0</v>
      </c>
      <c r="X84" s="89">
        <f t="shared" si="8"/>
        <v>115945</v>
      </c>
      <c r="Y84" s="65">
        <f t="shared" si="9"/>
        <v>1026083</v>
      </c>
    </row>
    <row r="85" spans="1:25" hidden="1" x14ac:dyDescent="0.25">
      <c r="A85" s="14">
        <v>41852</v>
      </c>
      <c r="B85" s="14"/>
      <c r="C85" s="15">
        <f t="shared" si="10"/>
        <v>147484</v>
      </c>
      <c r="D85" s="15">
        <f>19462+997</f>
        <v>20459</v>
      </c>
      <c r="E85" s="15">
        <v>39489</v>
      </c>
      <c r="F85" s="15">
        <v>1146</v>
      </c>
      <c r="G85" s="152">
        <f>[5]Population!DQ324+[5]Population!DR324</f>
        <v>208578</v>
      </c>
      <c r="H85" s="59">
        <f>[5]Population!DS324+[5]Population!DT324</f>
        <v>61111</v>
      </c>
      <c r="I85" s="64">
        <f>Population!DP317</f>
        <v>95134</v>
      </c>
      <c r="J85" s="15">
        <f>Population!DR317</f>
        <v>16740</v>
      </c>
      <c r="K85" s="15">
        <f>Population!DO317+Population!DT317</f>
        <v>469038</v>
      </c>
      <c r="L85" s="15">
        <f>Population!DQ317</f>
        <v>0</v>
      </c>
      <c r="M85" s="15">
        <f>Population!DS317</f>
        <v>63294</v>
      </c>
      <c r="N85" s="68">
        <f t="shared" si="6"/>
        <v>644206</v>
      </c>
      <c r="O85" s="63">
        <f>Population!DU317</f>
        <v>0</v>
      </c>
      <c r="P85" s="15">
        <f>Population!DV317</f>
        <v>0</v>
      </c>
      <c r="Q85" s="16">
        <v>0</v>
      </c>
      <c r="R85" s="88">
        <v>0</v>
      </c>
      <c r="S85" s="88">
        <f t="shared" si="7"/>
        <v>913895</v>
      </c>
      <c r="T85" s="17">
        <f>Population!DZ317</f>
        <v>50421</v>
      </c>
      <c r="U85" s="153">
        <f>Population!G317+Population!H317+Population!I317+Population!J317+Population!K317+Population!N317</f>
        <v>64392</v>
      </c>
      <c r="V85" s="15">
        <f>[5]Population!G324</f>
        <v>287</v>
      </c>
      <c r="W85" s="15">
        <v>0</v>
      </c>
      <c r="X85" s="89">
        <f t="shared" si="8"/>
        <v>115100</v>
      </c>
      <c r="Y85" s="65">
        <f t="shared" si="9"/>
        <v>1028995</v>
      </c>
    </row>
    <row r="86" spans="1:25" hidden="1" x14ac:dyDescent="0.25">
      <c r="A86" s="14">
        <v>41883</v>
      </c>
      <c r="B86" s="14"/>
      <c r="C86" s="15">
        <f t="shared" si="10"/>
        <v>147169</v>
      </c>
      <c r="D86" s="15">
        <f>19569+974</f>
        <v>20543</v>
      </c>
      <c r="E86" s="15">
        <v>39720</v>
      </c>
      <c r="F86" s="15">
        <v>1163</v>
      </c>
      <c r="G86" s="152">
        <f>[5]Population!DQ325+[5]Population!DR325</f>
        <v>208595</v>
      </c>
      <c r="H86" s="59">
        <f>[5]Population!DS325+[5]Population!DT325</f>
        <v>61405</v>
      </c>
      <c r="I86" s="64">
        <f>Population!DP318</f>
        <v>94449</v>
      </c>
      <c r="J86" s="15">
        <f>Population!DR318</f>
        <v>16726</v>
      </c>
      <c r="K86" s="15">
        <f>Population!DO318+Population!DT318</f>
        <v>463254</v>
      </c>
      <c r="L86" s="15">
        <f>Population!DQ318</f>
        <v>0</v>
      </c>
      <c r="M86" s="15">
        <f>Population!DS318</f>
        <v>65612</v>
      </c>
      <c r="N86" s="68">
        <f t="shared" si="6"/>
        <v>640041</v>
      </c>
      <c r="O86" s="63">
        <f>Population!DU318</f>
        <v>0</v>
      </c>
      <c r="P86" s="15">
        <f>Population!DV318</f>
        <v>0</v>
      </c>
      <c r="Q86" s="16">
        <v>0</v>
      </c>
      <c r="R86" s="88">
        <v>0</v>
      </c>
      <c r="S86" s="88">
        <f t="shared" si="7"/>
        <v>910041</v>
      </c>
      <c r="T86" s="17">
        <f>Population!DZ318</f>
        <v>48922</v>
      </c>
      <c r="U86" s="153">
        <f>Population!G318+Population!H318+Population!I318+Population!J318+Population!K318+Population!N318</f>
        <v>63559</v>
      </c>
      <c r="V86" s="15">
        <f>[5]Population!G325</f>
        <v>170</v>
      </c>
      <c r="W86" s="15">
        <v>0</v>
      </c>
      <c r="X86" s="89">
        <f t="shared" si="8"/>
        <v>112651</v>
      </c>
      <c r="Y86" s="65">
        <f t="shared" si="9"/>
        <v>1022692</v>
      </c>
    </row>
    <row r="87" spans="1:25" hidden="1" x14ac:dyDescent="0.25">
      <c r="A87" s="14">
        <v>41913</v>
      </c>
      <c r="B87" s="14"/>
      <c r="C87" s="15">
        <f t="shared" si="10"/>
        <v>146597</v>
      </c>
      <c r="D87" s="15">
        <f>19588+979</f>
        <v>20567</v>
      </c>
      <c r="E87" s="15">
        <v>40187</v>
      </c>
      <c r="F87" s="15">
        <v>1189</v>
      </c>
      <c r="G87" s="152">
        <f>[5]Population!DQ326+[5]Population!DR326</f>
        <v>208540</v>
      </c>
      <c r="H87" s="59">
        <f>[5]Population!DS326+[5]Population!DT326</f>
        <v>61469</v>
      </c>
      <c r="I87" s="64">
        <f>Population!DP319</f>
        <v>95547</v>
      </c>
      <c r="J87" s="15">
        <f>Population!DR319</f>
        <v>16573</v>
      </c>
      <c r="K87" s="15">
        <f>Population!DO319+Population!DT319</f>
        <v>467755</v>
      </c>
      <c r="L87" s="15">
        <f>Population!DQ319</f>
        <v>4</v>
      </c>
      <c r="M87" s="15">
        <f>Population!DS319</f>
        <v>69148</v>
      </c>
      <c r="N87" s="68">
        <f t="shared" si="6"/>
        <v>649027</v>
      </c>
      <c r="O87" s="63">
        <f>Population!DU319</f>
        <v>0</v>
      </c>
      <c r="P87" s="15">
        <f>Population!DV319</f>
        <v>0</v>
      </c>
      <c r="Q87" s="16">
        <v>0</v>
      </c>
      <c r="R87" s="88">
        <v>0</v>
      </c>
      <c r="S87" s="88">
        <f t="shared" si="7"/>
        <v>919036</v>
      </c>
      <c r="T87" s="17">
        <f>Population!DZ319</f>
        <v>48799</v>
      </c>
      <c r="U87" s="153">
        <f>Population!G319+Population!H319+Population!I319+Population!J319+Population!K319+Population!N319</f>
        <v>63309</v>
      </c>
      <c r="V87" s="15">
        <f>[5]Population!G326</f>
        <v>83</v>
      </c>
      <c r="W87" s="15">
        <v>0</v>
      </c>
      <c r="X87" s="89">
        <f t="shared" si="8"/>
        <v>112191</v>
      </c>
      <c r="Y87" s="65">
        <f t="shared" si="9"/>
        <v>1031227</v>
      </c>
    </row>
    <row r="88" spans="1:25" hidden="1" x14ac:dyDescent="0.25">
      <c r="A88" s="14">
        <v>41944</v>
      </c>
      <c r="B88" s="14"/>
      <c r="C88" s="15">
        <f t="shared" si="10"/>
        <v>147000</v>
      </c>
      <c r="D88" s="15">
        <f>19705+971</f>
        <v>20676</v>
      </c>
      <c r="E88" s="15">
        <v>40357</v>
      </c>
      <c r="F88" s="15">
        <v>1198</v>
      </c>
      <c r="G88" s="152">
        <f>[5]Population!DQ327+[5]Population!DR327</f>
        <v>209231</v>
      </c>
      <c r="H88" s="59">
        <f>[5]Population!DS327+[5]Population!DT327</f>
        <v>61561</v>
      </c>
      <c r="I88" s="64">
        <f>Population!DP320</f>
        <v>96993</v>
      </c>
      <c r="J88" s="15">
        <f>Population!DR320</f>
        <v>16492</v>
      </c>
      <c r="K88" s="15">
        <f>Population!DO320+Population!DT320</f>
        <v>472337</v>
      </c>
      <c r="L88" s="15">
        <f>Population!DQ320</f>
        <v>28</v>
      </c>
      <c r="M88" s="15">
        <f>Population!DS320</f>
        <v>73679</v>
      </c>
      <c r="N88" s="68">
        <f t="shared" si="6"/>
        <v>659529</v>
      </c>
      <c r="O88" s="63">
        <f>Population!DU320</f>
        <v>0</v>
      </c>
      <c r="P88" s="15">
        <f>Population!DV320</f>
        <v>0</v>
      </c>
      <c r="Q88" s="16">
        <v>0</v>
      </c>
      <c r="R88" s="88">
        <v>0</v>
      </c>
      <c r="S88" s="88">
        <f t="shared" si="7"/>
        <v>930321</v>
      </c>
      <c r="T88" s="17">
        <f>Population!DZ320</f>
        <v>48257</v>
      </c>
      <c r="U88" s="153">
        <f>Population!G320+Population!H320+Population!I320+Population!J320+Population!K320+Population!N320</f>
        <v>62828</v>
      </c>
      <c r="V88" s="15">
        <f>[5]Population!G327</f>
        <v>23</v>
      </c>
      <c r="W88" s="15">
        <v>0</v>
      </c>
      <c r="X88" s="89">
        <f t="shared" si="8"/>
        <v>111108</v>
      </c>
      <c r="Y88" s="65">
        <f t="shared" si="9"/>
        <v>1041429</v>
      </c>
    </row>
    <row r="89" spans="1:25" hidden="1" x14ac:dyDescent="0.25">
      <c r="A89" s="14">
        <v>41974</v>
      </c>
      <c r="B89" s="14"/>
      <c r="C89" s="15">
        <f t="shared" si="10"/>
        <v>147651</v>
      </c>
      <c r="D89" s="15">
        <f>19532+961</f>
        <v>20493</v>
      </c>
      <c r="E89" s="15">
        <v>40657</v>
      </c>
      <c r="F89" s="15">
        <v>1205</v>
      </c>
      <c r="G89" s="152">
        <f>[5]Population!DQ328+[5]Population!DR328</f>
        <v>210006</v>
      </c>
      <c r="H89" s="59">
        <f>[5]Population!DS328+[5]Population!DT328</f>
        <v>61759</v>
      </c>
      <c r="I89" s="64">
        <f>Population!DP321</f>
        <v>97084</v>
      </c>
      <c r="J89" s="15">
        <f>Population!DR321</f>
        <v>15949</v>
      </c>
      <c r="K89" s="15">
        <f>Population!DO321+Population!DT321</f>
        <v>470119</v>
      </c>
      <c r="L89" s="15">
        <f>Population!DQ321</f>
        <v>39</v>
      </c>
      <c r="M89" s="15">
        <f>Population!DS321</f>
        <v>75438</v>
      </c>
      <c r="N89" s="68">
        <f t="shared" si="6"/>
        <v>658629</v>
      </c>
      <c r="O89" s="63">
        <f>Population!DU321</f>
        <v>0</v>
      </c>
      <c r="P89" s="15">
        <f>Population!DV321</f>
        <v>0</v>
      </c>
      <c r="Q89" s="16">
        <v>0</v>
      </c>
      <c r="R89" s="88">
        <v>0</v>
      </c>
      <c r="S89" s="88">
        <f t="shared" si="7"/>
        <v>930394</v>
      </c>
      <c r="T89" s="17">
        <f>Population!DZ321</f>
        <v>47393</v>
      </c>
      <c r="U89" s="153">
        <f>Population!G321+Population!H321+Population!I321+Population!J321+Population!K321+Population!N321</f>
        <v>62234</v>
      </c>
      <c r="V89" s="15">
        <f>[5]Population!G328</f>
        <v>7</v>
      </c>
      <c r="W89" s="15">
        <v>0</v>
      </c>
      <c r="X89" s="89">
        <f t="shared" si="8"/>
        <v>109634</v>
      </c>
      <c r="Y89" s="65">
        <f t="shared" si="9"/>
        <v>1040028</v>
      </c>
    </row>
    <row r="90" spans="1:25" hidden="1" x14ac:dyDescent="0.25">
      <c r="A90" s="14">
        <v>42005</v>
      </c>
      <c r="B90" s="14"/>
      <c r="C90" s="15">
        <f t="shared" si="10"/>
        <v>147296</v>
      </c>
      <c r="D90" s="15">
        <f>19637+952</f>
        <v>20589</v>
      </c>
      <c r="E90" s="15">
        <v>40947</v>
      </c>
      <c r="F90" s="15">
        <v>1219</v>
      </c>
      <c r="G90" s="152">
        <f>[5]Population!DQ329+[5]Population!DR329</f>
        <v>210051</v>
      </c>
      <c r="H90" s="59">
        <f>[5]Population!DS329+[5]Population!DT329</f>
        <v>61696</v>
      </c>
      <c r="I90" s="64">
        <f>Population!DP322</f>
        <v>97143</v>
      </c>
      <c r="J90" s="15">
        <f>Population!DR322</f>
        <v>15930</v>
      </c>
      <c r="K90" s="15">
        <f>Population!DO322+Population!DT322</f>
        <v>469599</v>
      </c>
      <c r="L90" s="15">
        <f>Population!DQ322</f>
        <v>53</v>
      </c>
      <c r="M90" s="15">
        <f>Population!DS322</f>
        <v>76649</v>
      </c>
      <c r="N90" s="68">
        <f t="shared" si="6"/>
        <v>659374</v>
      </c>
      <c r="O90" s="63">
        <f>Population!DU322</f>
        <v>0</v>
      </c>
      <c r="P90" s="15">
        <f>Population!DV322</f>
        <v>0</v>
      </c>
      <c r="Q90" s="16">
        <v>0</v>
      </c>
      <c r="R90" s="88">
        <v>0</v>
      </c>
      <c r="S90" s="88">
        <f t="shared" si="7"/>
        <v>931121</v>
      </c>
      <c r="T90" s="17">
        <f>Population!DZ322</f>
        <v>46690</v>
      </c>
      <c r="U90" s="153">
        <f>Population!G322+Population!H322+Population!I322+Population!J322+Population!K322+Population!N322</f>
        <v>62034</v>
      </c>
      <c r="V90" s="15">
        <f>[5]Population!G329</f>
        <v>3</v>
      </c>
      <c r="W90" s="15">
        <v>0</v>
      </c>
      <c r="X90" s="89">
        <f t="shared" si="8"/>
        <v>108727</v>
      </c>
      <c r="Y90" s="65">
        <f t="shared" si="9"/>
        <v>1039848</v>
      </c>
    </row>
    <row r="91" spans="1:25" hidden="1" x14ac:dyDescent="0.25">
      <c r="A91" s="14">
        <v>42036</v>
      </c>
      <c r="B91" s="14"/>
      <c r="C91" s="15">
        <f t="shared" si="10"/>
        <v>147430</v>
      </c>
      <c r="D91" s="15">
        <f>19353+937</f>
        <v>20290</v>
      </c>
      <c r="E91" s="15">
        <v>41112</v>
      </c>
      <c r="F91" s="15">
        <v>1242</v>
      </c>
      <c r="G91" s="152">
        <f>[5]Population!DQ330+[5]Population!DR330</f>
        <v>210074</v>
      </c>
      <c r="H91" s="59">
        <f>[5]Population!DS330+[5]Population!DT330</f>
        <v>50129</v>
      </c>
      <c r="I91" s="64">
        <f>Population!DP323</f>
        <v>98712</v>
      </c>
      <c r="J91" s="15">
        <f>Population!DR323</f>
        <v>16419</v>
      </c>
      <c r="K91" s="15">
        <f>Population!DO323+Population!DT323</f>
        <v>474765</v>
      </c>
      <c r="L91" s="15">
        <f>Population!DQ323</f>
        <v>183</v>
      </c>
      <c r="M91" s="15">
        <f>Population!DS323</f>
        <v>81157</v>
      </c>
      <c r="N91" s="68">
        <f t="shared" si="6"/>
        <v>671236</v>
      </c>
      <c r="O91" s="63">
        <f>Population!DU323</f>
        <v>0</v>
      </c>
      <c r="P91" s="15">
        <f>Population!DV323</f>
        <v>0</v>
      </c>
      <c r="Q91" s="16">
        <v>0</v>
      </c>
      <c r="R91" s="88">
        <v>0</v>
      </c>
      <c r="S91" s="88">
        <f t="shared" si="7"/>
        <v>931439</v>
      </c>
      <c r="T91" s="17">
        <f>Population!DZ323</f>
        <v>46946</v>
      </c>
      <c r="U91" s="153">
        <f>Population!G323+Population!H323+Population!I323+Population!J323+Population!K323+Population!N323</f>
        <v>62103</v>
      </c>
      <c r="V91" s="15">
        <f>[5]Population!G330</f>
        <v>173</v>
      </c>
      <c r="W91" s="15">
        <v>0</v>
      </c>
      <c r="X91" s="89">
        <f t="shared" si="8"/>
        <v>109222</v>
      </c>
      <c r="Y91" s="65">
        <f t="shared" si="9"/>
        <v>1040661</v>
      </c>
    </row>
    <row r="92" spans="1:25" hidden="1" x14ac:dyDescent="0.25">
      <c r="A92" s="14">
        <v>42064</v>
      </c>
      <c r="B92" s="14"/>
      <c r="C92" s="15">
        <f t="shared" si="10"/>
        <v>147805</v>
      </c>
      <c r="D92" s="15">
        <f>19161+957</f>
        <v>20118</v>
      </c>
      <c r="E92" s="15">
        <v>41271</v>
      </c>
      <c r="F92" s="15">
        <v>1249</v>
      </c>
      <c r="G92" s="152">
        <f>[5]Population!DQ331+[5]Population!DR331</f>
        <v>210443</v>
      </c>
      <c r="H92" s="59">
        <f>[5]Population!DS331+[5]Population!DT331</f>
        <v>58759</v>
      </c>
      <c r="I92" s="64">
        <f>Population!DP324</f>
        <v>99223</v>
      </c>
      <c r="J92" s="15">
        <f>Population!DR324</f>
        <v>16147</v>
      </c>
      <c r="K92" s="15">
        <f>Population!DO324+Population!DT324</f>
        <v>476568</v>
      </c>
      <c r="L92" s="15">
        <f>Population!DQ324</f>
        <v>782</v>
      </c>
      <c r="M92" s="15">
        <f>Population!DS324</f>
        <v>86314</v>
      </c>
      <c r="N92" s="68">
        <f t="shared" si="6"/>
        <v>679034</v>
      </c>
      <c r="O92" s="63">
        <f>Population!DU324</f>
        <v>0</v>
      </c>
      <c r="P92" s="15">
        <f>Population!DV324</f>
        <v>0</v>
      </c>
      <c r="Q92" s="16">
        <v>0</v>
      </c>
      <c r="R92" s="88">
        <v>0</v>
      </c>
      <c r="S92" s="88">
        <f t="shared" si="7"/>
        <v>948236</v>
      </c>
      <c r="T92" s="17">
        <f>Population!DZ324</f>
        <v>47065</v>
      </c>
      <c r="U92" s="153">
        <f>Population!G324+Population!H324+Population!I324+Population!J324+Population!K324+Population!N324</f>
        <v>61239</v>
      </c>
      <c r="V92" s="15">
        <f>[5]Population!G331</f>
        <v>326</v>
      </c>
      <c r="W92" s="15">
        <v>0</v>
      </c>
      <c r="X92" s="89">
        <f t="shared" si="8"/>
        <v>108630</v>
      </c>
      <c r="Y92" s="65">
        <f t="shared" si="9"/>
        <v>1056866</v>
      </c>
    </row>
    <row r="93" spans="1:25" hidden="1" x14ac:dyDescent="0.25">
      <c r="A93" s="14">
        <v>42095</v>
      </c>
      <c r="B93" s="14"/>
      <c r="C93" s="15">
        <f t="shared" si="10"/>
        <v>147757</v>
      </c>
      <c r="D93" s="15">
        <f>19256+873</f>
        <v>20129</v>
      </c>
      <c r="E93" s="15">
        <v>41377</v>
      </c>
      <c r="F93" s="15">
        <v>1256</v>
      </c>
      <c r="G93" s="152">
        <f>[5]Population!DQ332+[5]Population!DR332</f>
        <v>210519</v>
      </c>
      <c r="H93" s="59">
        <f>[5]Population!DS332+[5]Population!DT332</f>
        <v>59756</v>
      </c>
      <c r="I93" s="64">
        <f>Population!DP325</f>
        <v>101178</v>
      </c>
      <c r="J93" s="15">
        <f>Population!DR325</f>
        <v>16367</v>
      </c>
      <c r="K93" s="15">
        <f>Population!DO325+Population!DT325</f>
        <v>482409</v>
      </c>
      <c r="L93" s="15">
        <f>Population!DQ325</f>
        <v>1768</v>
      </c>
      <c r="M93" s="15">
        <f>Population!DS325</f>
        <v>91902</v>
      </c>
      <c r="N93" s="68">
        <f t="shared" si="6"/>
        <v>693624</v>
      </c>
      <c r="O93" s="63">
        <f>Population!DU325</f>
        <v>0</v>
      </c>
      <c r="P93" s="15">
        <f>Population!DV325</f>
        <v>0</v>
      </c>
      <c r="Q93" s="16">
        <v>0</v>
      </c>
      <c r="R93" s="88">
        <v>0</v>
      </c>
      <c r="S93" s="88">
        <f t="shared" si="7"/>
        <v>963899</v>
      </c>
      <c r="T93" s="17">
        <f>Population!DZ325</f>
        <v>47507</v>
      </c>
      <c r="U93" s="153">
        <f>Population!G325+Population!H325+Population!I325+Population!J325+Population!K325+Population!N325</f>
        <v>60027</v>
      </c>
      <c r="V93" s="15">
        <f>[5]Population!G332</f>
        <v>493</v>
      </c>
      <c r="W93" s="15">
        <v>0</v>
      </c>
      <c r="X93" s="89">
        <f t="shared" si="8"/>
        <v>108027</v>
      </c>
      <c r="Y93" s="65">
        <f t="shared" si="9"/>
        <v>1071926</v>
      </c>
    </row>
    <row r="94" spans="1:25" hidden="1" x14ac:dyDescent="0.25">
      <c r="A94" s="14">
        <v>42125</v>
      </c>
      <c r="B94" s="14"/>
      <c r="C94" s="15">
        <f t="shared" si="10"/>
        <v>148562</v>
      </c>
      <c r="D94" s="15">
        <f>19189+904</f>
        <v>20093</v>
      </c>
      <c r="E94" s="15">
        <v>41493</v>
      </c>
      <c r="F94" s="15">
        <v>1273</v>
      </c>
      <c r="G94" s="152">
        <f>[5]Population!DQ333+[5]Population!DR333</f>
        <v>211421</v>
      </c>
      <c r="H94" s="59">
        <f>[5]Population!DS333+[5]Population!DT333</f>
        <v>60429</v>
      </c>
      <c r="I94" s="64">
        <f>Population!DP326</f>
        <v>101753</v>
      </c>
      <c r="J94" s="15">
        <f>Population!DR326</f>
        <v>16742</v>
      </c>
      <c r="K94" s="15">
        <f>Population!DO326+Population!DT326</f>
        <v>485517</v>
      </c>
      <c r="L94" s="15">
        <f>Population!DQ326</f>
        <v>2577</v>
      </c>
      <c r="M94" s="15">
        <f>Population!DS326</f>
        <v>96151</v>
      </c>
      <c r="N94" s="68">
        <f t="shared" si="6"/>
        <v>702740</v>
      </c>
      <c r="O94" s="63">
        <f>Population!DU326</f>
        <v>0</v>
      </c>
      <c r="P94" s="15">
        <f>Population!DV326</f>
        <v>0</v>
      </c>
      <c r="Q94" s="16">
        <v>0</v>
      </c>
      <c r="R94" s="88">
        <v>0</v>
      </c>
      <c r="S94" s="88">
        <f t="shared" si="7"/>
        <v>974590</v>
      </c>
      <c r="T94" s="17">
        <f>Population!DZ326</f>
        <v>48182</v>
      </c>
      <c r="U94" s="153">
        <f>Population!G326+Population!H326+Population!I326+Population!J326+Population!K326+Population!N326</f>
        <v>57645</v>
      </c>
      <c r="V94" s="15">
        <f>[5]Population!G333</f>
        <v>658</v>
      </c>
      <c r="W94" s="15">
        <v>0</v>
      </c>
      <c r="X94" s="89">
        <f t="shared" si="8"/>
        <v>106485</v>
      </c>
      <c r="Y94" s="65">
        <f t="shared" si="9"/>
        <v>1081075</v>
      </c>
    </row>
    <row r="95" spans="1:25" hidden="1" x14ac:dyDescent="0.25">
      <c r="A95" s="14">
        <v>42156</v>
      </c>
      <c r="B95" s="14"/>
      <c r="C95" s="15">
        <f t="shared" si="10"/>
        <v>148277</v>
      </c>
      <c r="D95" s="15">
        <f>19282+910</f>
        <v>20192</v>
      </c>
      <c r="E95" s="15">
        <v>41820</v>
      </c>
      <c r="F95" s="15">
        <v>1236</v>
      </c>
      <c r="G95" s="152">
        <f>[5]Population!DQ334+[5]Population!DR334</f>
        <v>211525</v>
      </c>
      <c r="H95" s="59">
        <f>[5]Population!DS334+[5]Population!DT334</f>
        <v>60909</v>
      </c>
      <c r="I95" s="64">
        <f>Population!DP327</f>
        <v>101932</v>
      </c>
      <c r="J95" s="15">
        <f>Population!DR327</f>
        <v>16567</v>
      </c>
      <c r="K95" s="15">
        <f>Population!DO327+Population!DT327</f>
        <v>487820</v>
      </c>
      <c r="L95" s="15">
        <f>Population!DQ327</f>
        <v>3271</v>
      </c>
      <c r="M95" s="15">
        <f>Population!DS327</f>
        <v>99698</v>
      </c>
      <c r="N95" s="68">
        <f t="shared" si="6"/>
        <v>709288</v>
      </c>
      <c r="O95" s="63">
        <f>Population!DU327</f>
        <v>0</v>
      </c>
      <c r="P95" s="15">
        <f>Population!DV327</f>
        <v>0</v>
      </c>
      <c r="Q95" s="16">
        <v>0</v>
      </c>
      <c r="R95" s="88">
        <v>0</v>
      </c>
      <c r="S95" s="88">
        <f t="shared" si="7"/>
        <v>981722</v>
      </c>
      <c r="T95" s="17">
        <f>Population!DZ327</f>
        <v>48765</v>
      </c>
      <c r="U95" s="153">
        <f>Population!G327+Population!H327+Population!I327+Population!J327+Population!K327+Population!N327</f>
        <v>57053</v>
      </c>
      <c r="V95" s="15">
        <f>[5]Population!G334</f>
        <v>807</v>
      </c>
      <c r="W95" s="15">
        <v>0</v>
      </c>
      <c r="X95" s="89">
        <f t="shared" si="8"/>
        <v>106625</v>
      </c>
      <c r="Y95" s="65">
        <f t="shared" si="9"/>
        <v>1088347</v>
      </c>
    </row>
    <row r="96" spans="1:25" hidden="1" x14ac:dyDescent="0.25">
      <c r="A96" s="14"/>
      <c r="B96" s="14"/>
      <c r="C96" s="15"/>
      <c r="D96" s="15"/>
      <c r="E96" s="15"/>
      <c r="F96" s="15"/>
      <c r="H96" s="59"/>
      <c r="I96" s="64"/>
      <c r="J96" s="15"/>
      <c r="K96" s="15"/>
      <c r="L96" s="15"/>
      <c r="M96" s="15"/>
      <c r="N96" s="68"/>
      <c r="O96" s="63"/>
      <c r="P96" s="15"/>
      <c r="Q96" s="16"/>
      <c r="R96" s="88"/>
      <c r="S96" s="88"/>
      <c r="T96" s="17"/>
      <c r="U96" s="153"/>
      <c r="W96" s="15"/>
      <c r="X96" s="89"/>
      <c r="Y96" s="65"/>
    </row>
    <row r="97" spans="1:25" hidden="1" x14ac:dyDescent="0.25">
      <c r="A97" s="14">
        <v>42186</v>
      </c>
      <c r="B97" s="14"/>
      <c r="C97" s="15">
        <f t="shared" ref="C97:C121" si="11">G97-D97-E97-F97</f>
        <v>148022</v>
      </c>
      <c r="D97" s="15">
        <f>19316+869</f>
        <v>20185</v>
      </c>
      <c r="E97" s="15">
        <v>41907</v>
      </c>
      <c r="F97" s="15">
        <v>1286</v>
      </c>
      <c r="G97" s="152">
        <f>[5]Population!DQ335+[5]Population!DR335</f>
        <v>211400</v>
      </c>
      <c r="H97" s="59">
        <f>[5]Population!DS335+[5]Population!DT335</f>
        <v>61051</v>
      </c>
      <c r="I97" s="64">
        <f>Population!DP328</f>
        <v>101775</v>
      </c>
      <c r="J97" s="15">
        <f>Population!DR328</f>
        <v>16698</v>
      </c>
      <c r="K97" s="15">
        <f>Population!DO328+Population!DT328</f>
        <v>486525</v>
      </c>
      <c r="L97" s="15">
        <f>Population!DQ328</f>
        <v>3863</v>
      </c>
      <c r="M97" s="15">
        <f>Population!DS328</f>
        <v>103046</v>
      </c>
      <c r="N97" s="68">
        <f t="shared" si="6"/>
        <v>711907</v>
      </c>
      <c r="O97" s="63">
        <f>Population!DU328</f>
        <v>0</v>
      </c>
      <c r="P97" s="15">
        <f>Population!DV328</f>
        <v>0</v>
      </c>
      <c r="Q97" s="16">
        <v>0</v>
      </c>
      <c r="R97" s="88">
        <v>0</v>
      </c>
      <c r="S97" s="88">
        <f t="shared" si="7"/>
        <v>984358</v>
      </c>
      <c r="T97" s="17">
        <f>Population!DZ328</f>
        <v>49018</v>
      </c>
      <c r="U97" s="153">
        <f>Population!G328+Population!H328+Population!I328+Population!J328+Population!K328+Population!N328</f>
        <v>57695</v>
      </c>
      <c r="V97" s="15">
        <f>[5]Population!G335</f>
        <v>885</v>
      </c>
      <c r="W97" s="15">
        <v>0</v>
      </c>
      <c r="X97" s="89">
        <f t="shared" si="8"/>
        <v>107598</v>
      </c>
      <c r="Y97" s="65">
        <f t="shared" si="9"/>
        <v>1091956</v>
      </c>
    </row>
    <row r="98" spans="1:25" hidden="1" x14ac:dyDescent="0.25">
      <c r="A98" s="14">
        <v>42217</v>
      </c>
      <c r="B98" s="14"/>
      <c r="C98" s="15">
        <f t="shared" si="11"/>
        <v>147771</v>
      </c>
      <c r="D98" s="15">
        <f>19366+931</f>
        <v>20297</v>
      </c>
      <c r="E98" s="15">
        <v>42168</v>
      </c>
      <c r="F98" s="15">
        <v>1292</v>
      </c>
      <c r="G98" s="152">
        <f>[5]Population!DQ336+[5]Population!DR336</f>
        <v>211528</v>
      </c>
      <c r="H98" s="59">
        <f>[5]Population!DS336+[5]Population!DT336</f>
        <v>61328</v>
      </c>
      <c r="I98" s="64">
        <f>Population!DP329</f>
        <v>101267</v>
      </c>
      <c r="J98" s="15">
        <f>Population!DR329</f>
        <v>16943</v>
      </c>
      <c r="K98" s="15">
        <f>Population!DO329+Population!DT329</f>
        <v>483612</v>
      </c>
      <c r="L98" s="15">
        <f>Population!DQ329</f>
        <v>4359</v>
      </c>
      <c r="M98" s="15">
        <f>Population!DS329</f>
        <v>107122</v>
      </c>
      <c r="N98" s="68">
        <f t="shared" si="6"/>
        <v>713303</v>
      </c>
      <c r="O98" s="63">
        <f>Population!DU329</f>
        <v>0</v>
      </c>
      <c r="P98" s="15">
        <f>Population!DV329</f>
        <v>0</v>
      </c>
      <c r="Q98" s="16">
        <v>0</v>
      </c>
      <c r="R98" s="88">
        <v>0</v>
      </c>
      <c r="S98" s="88">
        <f t="shared" si="7"/>
        <v>986159</v>
      </c>
      <c r="T98" s="17">
        <f>Population!DZ329</f>
        <v>48956</v>
      </c>
      <c r="U98" s="153">
        <f>Population!G329+Population!H329+Population!I329+Population!J329+Population!K329+Population!N329</f>
        <v>57622</v>
      </c>
      <c r="V98" s="15">
        <f>[5]Population!G336</f>
        <v>937</v>
      </c>
      <c r="W98" s="15">
        <v>0</v>
      </c>
      <c r="X98" s="89">
        <f t="shared" si="8"/>
        <v>107515</v>
      </c>
      <c r="Y98" s="65">
        <f t="shared" si="9"/>
        <v>1093674</v>
      </c>
    </row>
    <row r="99" spans="1:25" hidden="1" x14ac:dyDescent="0.25">
      <c r="A99" s="14">
        <v>42248</v>
      </c>
      <c r="B99" s="14"/>
      <c r="C99" s="15">
        <f t="shared" si="11"/>
        <v>146923</v>
      </c>
      <c r="D99" s="15">
        <f>19517+908</f>
        <v>20425</v>
      </c>
      <c r="E99" s="15">
        <v>42603</v>
      </c>
      <c r="F99" s="15">
        <v>1297</v>
      </c>
      <c r="G99" s="152">
        <f>[5]Population!DQ337+[5]Population!DR337</f>
        <v>211248</v>
      </c>
      <c r="H99" s="59">
        <f>[5]Population!DS337+[5]Population!DT337</f>
        <v>61497</v>
      </c>
      <c r="I99" s="64">
        <f>Population!DP330</f>
        <v>101447</v>
      </c>
      <c r="J99" s="15">
        <f>Population!DR330</f>
        <v>17076</v>
      </c>
      <c r="K99" s="15">
        <f>Population!DO330+Population!DT330</f>
        <v>484108</v>
      </c>
      <c r="L99" s="15">
        <f>Population!DQ330</f>
        <v>4812</v>
      </c>
      <c r="M99" s="15">
        <f>Population!DS330</f>
        <v>110466</v>
      </c>
      <c r="N99" s="68">
        <f t="shared" si="6"/>
        <v>717909</v>
      </c>
      <c r="O99" s="63">
        <f>Population!DU330</f>
        <v>0</v>
      </c>
      <c r="P99" s="15">
        <f>Population!DV330</f>
        <v>0</v>
      </c>
      <c r="Q99" s="16">
        <v>0</v>
      </c>
      <c r="R99" s="88">
        <v>0</v>
      </c>
      <c r="S99" s="88">
        <f t="shared" si="7"/>
        <v>990654</v>
      </c>
      <c r="T99" s="17">
        <f>Population!DZ330</f>
        <v>49239</v>
      </c>
      <c r="U99" s="153">
        <f>Population!G330+Population!H330+Population!I330+Population!J330+Population!K330+Population!N330</f>
        <v>57779</v>
      </c>
      <c r="V99" s="15">
        <f>[5]Population!G337</f>
        <v>1037</v>
      </c>
      <c r="W99" s="15">
        <v>0</v>
      </c>
      <c r="X99" s="89">
        <f t="shared" si="8"/>
        <v>108055</v>
      </c>
      <c r="Y99" s="65">
        <f t="shared" si="9"/>
        <v>1098709</v>
      </c>
    </row>
    <row r="100" spans="1:25" hidden="1" x14ac:dyDescent="0.25">
      <c r="A100" s="14">
        <v>42278</v>
      </c>
      <c r="B100" s="14"/>
      <c r="C100" s="15">
        <f t="shared" si="11"/>
        <v>147144</v>
      </c>
      <c r="D100" s="15">
        <f>912+19468</f>
        <v>20380</v>
      </c>
      <c r="E100" s="15">
        <v>43014</v>
      </c>
      <c r="F100" s="15">
        <v>1300</v>
      </c>
      <c r="G100" s="152">
        <f>[5]Population!DQ338+[5]Population!DR338</f>
        <v>211838</v>
      </c>
      <c r="H100" s="59">
        <f>[5]Population!DS338+[5]Population!DT338</f>
        <v>61537</v>
      </c>
      <c r="I100" s="64">
        <f>Population!DP331</f>
        <v>101694</v>
      </c>
      <c r="J100" s="15">
        <f>Population!DR331</f>
        <v>16684</v>
      </c>
      <c r="K100" s="15">
        <f>Population!DO331+Population!DT331</f>
        <v>482488</v>
      </c>
      <c r="L100" s="15">
        <f>Population!DQ331</f>
        <v>5269</v>
      </c>
      <c r="M100" s="15">
        <f>Population!DS331</f>
        <v>111645</v>
      </c>
      <c r="N100" s="68">
        <f t="shared" si="6"/>
        <v>717780</v>
      </c>
      <c r="O100" s="63">
        <f>Population!DU331</f>
        <v>0</v>
      </c>
      <c r="P100" s="15">
        <f>Population!DV331</f>
        <v>0</v>
      </c>
      <c r="Q100" s="16">
        <v>0</v>
      </c>
      <c r="R100" s="88">
        <v>0</v>
      </c>
      <c r="S100" s="88">
        <f t="shared" si="7"/>
        <v>991155</v>
      </c>
      <c r="T100" s="17">
        <f>Population!DZ331</f>
        <v>49255</v>
      </c>
      <c r="U100" s="153">
        <f>Population!G331+Population!H331+Population!I331+Population!J331+Population!K331+Population!N331</f>
        <v>57593</v>
      </c>
      <c r="V100" s="15">
        <f>[5]Population!G338</f>
        <v>1121</v>
      </c>
      <c r="W100" s="15">
        <v>0</v>
      </c>
      <c r="X100" s="89">
        <f t="shared" si="8"/>
        <v>107969</v>
      </c>
      <c r="Y100" s="65">
        <f t="shared" si="9"/>
        <v>1099124</v>
      </c>
    </row>
    <row r="101" spans="1:25" hidden="1" x14ac:dyDescent="0.25">
      <c r="A101" s="14">
        <v>42309</v>
      </c>
      <c r="B101" s="14"/>
      <c r="C101" s="15">
        <f t="shared" si="11"/>
        <v>146723</v>
      </c>
      <c r="D101" s="15">
        <f>910+19634</f>
        <v>20544</v>
      </c>
      <c r="E101" s="15">
        <v>43379</v>
      </c>
      <c r="F101" s="15">
        <v>1315</v>
      </c>
      <c r="G101" s="152">
        <f>[5]Population!DQ339+[5]Population!DR339</f>
        <v>211961</v>
      </c>
      <c r="H101" s="59">
        <f>[5]Population!DS339+[5]Population!DT339</f>
        <v>61573</v>
      </c>
      <c r="I101" s="64">
        <f>Population!DP332</f>
        <v>101992</v>
      </c>
      <c r="J101" s="15">
        <f>Population!DR332</f>
        <v>16479</v>
      </c>
      <c r="K101" s="15">
        <f>Population!DO332+Population!DT332</f>
        <v>481343</v>
      </c>
      <c r="L101" s="15">
        <f>Population!DQ332</f>
        <v>5611</v>
      </c>
      <c r="M101" s="15">
        <f>Population!DS332</f>
        <v>112602</v>
      </c>
      <c r="N101" s="68">
        <f t="shared" si="6"/>
        <v>718027</v>
      </c>
      <c r="O101" s="63">
        <f>Population!DU332</f>
        <v>0</v>
      </c>
      <c r="P101" s="15">
        <f>Population!DV332</f>
        <v>0</v>
      </c>
      <c r="Q101" s="16">
        <v>0</v>
      </c>
      <c r="R101" s="88">
        <v>0</v>
      </c>
      <c r="S101" s="88">
        <f t="shared" si="7"/>
        <v>991561</v>
      </c>
      <c r="T101" s="17">
        <f>Population!DZ332</f>
        <v>49246</v>
      </c>
      <c r="U101" s="153">
        <f>Population!G332+Population!H332+Population!I332+Population!J332+Population!K332+Population!N332</f>
        <v>57327</v>
      </c>
      <c r="V101" s="15">
        <f>[5]Population!G339</f>
        <v>1083</v>
      </c>
      <c r="W101" s="15">
        <v>0</v>
      </c>
      <c r="X101" s="89">
        <f t="shared" si="8"/>
        <v>107656</v>
      </c>
      <c r="Y101" s="65">
        <f t="shared" si="9"/>
        <v>1099217</v>
      </c>
    </row>
    <row r="102" spans="1:25" hidden="1" x14ac:dyDescent="0.25">
      <c r="A102" s="14">
        <v>42339</v>
      </c>
      <c r="B102" s="14"/>
      <c r="C102" s="15">
        <f t="shared" si="11"/>
        <v>147141</v>
      </c>
      <c r="D102" s="15">
        <f>876+19765</f>
        <v>20641</v>
      </c>
      <c r="E102" s="15">
        <v>43831</v>
      </c>
      <c r="F102" s="15">
        <v>1317</v>
      </c>
      <c r="G102" s="152">
        <f>[5]Population!DQ340+[5]Population!DR340</f>
        <v>212930</v>
      </c>
      <c r="H102" s="59">
        <f>[5]Population!DS340+[5]Population!DT340</f>
        <v>61949</v>
      </c>
      <c r="I102" s="64">
        <f>Population!DP333</f>
        <v>101934</v>
      </c>
      <c r="J102" s="15">
        <f>Population!DR333</f>
        <v>16161</v>
      </c>
      <c r="K102" s="15">
        <f>Population!DO333+Population!DT333</f>
        <v>477468</v>
      </c>
      <c r="L102" s="15">
        <f>Population!DQ333</f>
        <v>5855</v>
      </c>
      <c r="M102" s="15">
        <f>Population!DS333</f>
        <v>112318</v>
      </c>
      <c r="N102" s="68">
        <f t="shared" si="6"/>
        <v>713736</v>
      </c>
      <c r="O102" s="63">
        <f>Population!DU333</f>
        <v>0</v>
      </c>
      <c r="P102" s="15">
        <f>Population!DV333</f>
        <v>0</v>
      </c>
      <c r="Q102" s="16">
        <v>0</v>
      </c>
      <c r="R102" s="88">
        <v>0</v>
      </c>
      <c r="S102" s="88">
        <f t="shared" si="7"/>
        <v>988615</v>
      </c>
      <c r="T102" s="17">
        <f>Population!DZ333</f>
        <v>49195</v>
      </c>
      <c r="U102" s="153">
        <f>Population!G333+Population!H333+Population!I333+Population!J333+Population!K333+Population!N333</f>
        <v>56813</v>
      </c>
      <c r="V102" s="15">
        <f>[5]Population!G340</f>
        <v>1070</v>
      </c>
      <c r="W102" s="15">
        <v>0</v>
      </c>
      <c r="X102" s="89">
        <f t="shared" si="8"/>
        <v>107078</v>
      </c>
      <c r="Y102" s="65">
        <f t="shared" si="9"/>
        <v>1095693</v>
      </c>
    </row>
    <row r="103" spans="1:25" hidden="1" x14ac:dyDescent="0.25">
      <c r="A103" s="14">
        <v>42370</v>
      </c>
      <c r="B103" s="14"/>
      <c r="C103" s="15">
        <f t="shared" si="11"/>
        <v>147083</v>
      </c>
      <c r="D103" s="15">
        <f>883+19661</f>
        <v>20544</v>
      </c>
      <c r="E103" s="15">
        <v>44395</v>
      </c>
      <c r="F103" s="15">
        <v>1298</v>
      </c>
      <c r="G103" s="152">
        <f>[5]Population!DQ341+[5]Population!DR341</f>
        <v>213320</v>
      </c>
      <c r="H103" s="59">
        <f>[5]Population!DS341+[5]Population!DT341</f>
        <v>62141</v>
      </c>
      <c r="I103" s="64">
        <f>Population!DP334</f>
        <v>102618</v>
      </c>
      <c r="J103" s="15">
        <f>Population!DR334</f>
        <v>16231</v>
      </c>
      <c r="K103" s="15">
        <f>Population!DO334+Population!DT334</f>
        <v>476688</v>
      </c>
      <c r="L103" s="15">
        <f>Population!DQ334</f>
        <v>6172</v>
      </c>
      <c r="M103" s="15">
        <f>Population!DS334</f>
        <v>111515</v>
      </c>
      <c r="N103" s="68">
        <f t="shared" si="6"/>
        <v>713224</v>
      </c>
      <c r="O103" s="63">
        <f>Population!DU334</f>
        <v>0</v>
      </c>
      <c r="P103" s="15">
        <f>Population!DV334</f>
        <v>0</v>
      </c>
      <c r="Q103" s="16">
        <v>0</v>
      </c>
      <c r="R103" s="88">
        <v>0</v>
      </c>
      <c r="S103" s="88">
        <f t="shared" si="7"/>
        <v>988685</v>
      </c>
      <c r="T103" s="17">
        <f>Population!DZ334</f>
        <v>49535</v>
      </c>
      <c r="U103" s="153">
        <f>Population!G334+Population!H334+Population!I334+Population!J334+Population!K334+Population!N334</f>
        <v>56842</v>
      </c>
      <c r="V103" s="15">
        <f>[5]Population!G341</f>
        <v>1042</v>
      </c>
      <c r="W103" s="15">
        <v>0</v>
      </c>
      <c r="X103" s="89">
        <f t="shared" si="8"/>
        <v>107419</v>
      </c>
      <c r="Y103" s="65">
        <f t="shared" si="9"/>
        <v>1096104</v>
      </c>
    </row>
    <row r="104" spans="1:25" hidden="1" x14ac:dyDescent="0.25">
      <c r="A104" s="14">
        <v>42401</v>
      </c>
      <c r="B104" s="14"/>
      <c r="C104" s="15">
        <f t="shared" si="11"/>
        <v>147710</v>
      </c>
      <c r="D104" s="15">
        <f>867+19615</f>
        <v>20482</v>
      </c>
      <c r="E104" s="15">
        <v>44669</v>
      </c>
      <c r="F104" s="15">
        <v>1288</v>
      </c>
      <c r="G104" s="152">
        <f>[5]Population!DQ342+[5]Population!DR342</f>
        <v>214149</v>
      </c>
      <c r="H104" s="59">
        <f>[5]Population!DS342+[5]Population!DT342</f>
        <v>60029</v>
      </c>
      <c r="I104" s="64">
        <f>Population!DP335</f>
        <v>102804</v>
      </c>
      <c r="J104" s="15">
        <f>Population!DR335</f>
        <v>16166</v>
      </c>
      <c r="K104" s="15">
        <f>Population!DO335+Population!DT335</f>
        <v>476978</v>
      </c>
      <c r="L104" s="15">
        <f>Population!DQ335</f>
        <v>6206</v>
      </c>
      <c r="M104" s="15">
        <f>Population!DS335</f>
        <v>111215</v>
      </c>
      <c r="N104" s="68">
        <f t="shared" si="6"/>
        <v>713369</v>
      </c>
      <c r="O104" s="63">
        <f>Population!DU335</f>
        <v>0</v>
      </c>
      <c r="P104" s="15">
        <f>Population!DV335</f>
        <v>0</v>
      </c>
      <c r="Q104" s="16">
        <v>0</v>
      </c>
      <c r="R104" s="88">
        <v>0</v>
      </c>
      <c r="S104" s="88">
        <f t="shared" si="7"/>
        <v>987547</v>
      </c>
      <c r="T104" s="17">
        <f>Population!DZ335</f>
        <v>49810</v>
      </c>
      <c r="U104" s="153">
        <f>Population!G335+Population!H335+Population!I335+Population!J335+Population!K335+Population!N335</f>
        <v>56882</v>
      </c>
      <c r="V104" s="15">
        <f>[5]Population!G342</f>
        <v>1053</v>
      </c>
      <c r="W104" s="15">
        <v>0</v>
      </c>
      <c r="X104" s="89">
        <f t="shared" si="8"/>
        <v>107745</v>
      </c>
      <c r="Y104" s="65">
        <f t="shared" si="9"/>
        <v>1095292</v>
      </c>
    </row>
    <row r="105" spans="1:25" hidden="1" x14ac:dyDescent="0.25">
      <c r="A105" s="14">
        <v>42430</v>
      </c>
      <c r="B105" s="14"/>
      <c r="C105" s="15">
        <f t="shared" si="11"/>
        <v>148321</v>
      </c>
      <c r="D105" s="15">
        <f>19365+855</f>
        <v>20220</v>
      </c>
      <c r="E105" s="15">
        <v>44861</v>
      </c>
      <c r="F105" s="15">
        <v>1337</v>
      </c>
      <c r="G105" s="152">
        <f>[5]Population!DQ343+[5]Population!DR343</f>
        <v>214739</v>
      </c>
      <c r="H105" s="59">
        <f>[5]Population!DS343+[5]Population!DT343</f>
        <v>60887</v>
      </c>
      <c r="I105" s="64">
        <f>Population!DP336</f>
        <v>103044</v>
      </c>
      <c r="J105" s="15">
        <f>Population!DR336</f>
        <v>16010</v>
      </c>
      <c r="K105" s="15">
        <f>Population!DO336+Population!DT336</f>
        <v>478447</v>
      </c>
      <c r="L105" s="15">
        <f>Population!DQ336</f>
        <v>6325</v>
      </c>
      <c r="M105" s="15">
        <f>Population!DS336</f>
        <v>112470</v>
      </c>
      <c r="N105" s="68">
        <f t="shared" si="6"/>
        <v>716296</v>
      </c>
      <c r="O105" s="63">
        <f>Population!DU336</f>
        <v>0</v>
      </c>
      <c r="P105" s="15">
        <f>Population!DV336</f>
        <v>0</v>
      </c>
      <c r="Q105" s="16">
        <v>0</v>
      </c>
      <c r="R105" s="88">
        <v>0</v>
      </c>
      <c r="S105" s="88">
        <f t="shared" si="7"/>
        <v>991922</v>
      </c>
      <c r="T105" s="17">
        <f>Population!DZ336</f>
        <v>50110</v>
      </c>
      <c r="U105" s="153">
        <f>Population!G336+Population!H336+Population!I336+Population!J336+Population!K336+Population!N336</f>
        <v>57430</v>
      </c>
      <c r="V105" s="15">
        <f>[5]Population!G343</f>
        <v>1040</v>
      </c>
      <c r="W105" s="15">
        <v>0</v>
      </c>
      <c r="X105" s="89">
        <f t="shared" si="8"/>
        <v>108580</v>
      </c>
      <c r="Y105" s="65">
        <f t="shared" si="9"/>
        <v>1100502</v>
      </c>
    </row>
    <row r="106" spans="1:25" hidden="1" x14ac:dyDescent="0.25">
      <c r="A106" s="14">
        <v>42461</v>
      </c>
      <c r="B106" s="14"/>
      <c r="C106" s="15">
        <f t="shared" si="11"/>
        <v>148910</v>
      </c>
      <c r="D106" s="15">
        <f>19459+831</f>
        <v>20290</v>
      </c>
      <c r="E106" s="15">
        <v>44895</v>
      </c>
      <c r="F106" s="15">
        <v>1335</v>
      </c>
      <c r="G106" s="152">
        <f>[5]Population!DQ344+[5]Population!DR344</f>
        <v>215430</v>
      </c>
      <c r="H106" s="59">
        <f>[5]Population!DS344+[5]Population!DT344</f>
        <v>61231</v>
      </c>
      <c r="I106" s="64">
        <f>Population!DP337</f>
        <v>103269</v>
      </c>
      <c r="J106" s="15">
        <f>Population!DR337</f>
        <v>16556</v>
      </c>
      <c r="K106" s="15">
        <f>Population!DO337+Population!DT337</f>
        <v>480896</v>
      </c>
      <c r="L106" s="15">
        <f>Population!DQ337</f>
        <v>6970</v>
      </c>
      <c r="M106" s="15">
        <f>Population!DS337</f>
        <v>113604</v>
      </c>
      <c r="N106" s="68">
        <f t="shared" si="6"/>
        <v>721295</v>
      </c>
      <c r="O106" s="63">
        <f>Population!DU337</f>
        <v>0</v>
      </c>
      <c r="P106" s="15">
        <f>Population!DV337</f>
        <v>0</v>
      </c>
      <c r="Q106" s="16">
        <v>0</v>
      </c>
      <c r="R106" s="88">
        <v>0</v>
      </c>
      <c r="S106" s="88">
        <f t="shared" si="7"/>
        <v>997956</v>
      </c>
      <c r="T106" s="17">
        <f>Population!DZ337</f>
        <v>50717</v>
      </c>
      <c r="U106" s="153">
        <f>Population!G337+Population!H337+Population!I337+Population!J337+Population!K337+Population!N337</f>
        <v>58113</v>
      </c>
      <c r="V106" s="15">
        <f>[5]Population!G344</f>
        <v>1070</v>
      </c>
      <c r="W106" s="15">
        <v>0</v>
      </c>
      <c r="X106" s="89">
        <f t="shared" si="8"/>
        <v>109900</v>
      </c>
      <c r="Y106" s="65">
        <f t="shared" si="9"/>
        <v>1107856</v>
      </c>
    </row>
    <row r="107" spans="1:25" hidden="1" x14ac:dyDescent="0.25">
      <c r="A107" s="14">
        <v>42491</v>
      </c>
      <c r="B107" s="14"/>
      <c r="C107" s="15">
        <f t="shared" si="11"/>
        <v>149431</v>
      </c>
      <c r="D107" s="15">
        <f>19622+847</f>
        <v>20469</v>
      </c>
      <c r="E107" s="15">
        <v>45215</v>
      </c>
      <c r="F107" s="15">
        <v>1313</v>
      </c>
      <c r="G107" s="152">
        <f>[5]Population!DQ345+[5]Population!DR345</f>
        <v>216428</v>
      </c>
      <c r="H107" s="59">
        <f>[5]Population!DS345+[5]Population!DT345</f>
        <v>61702</v>
      </c>
      <c r="I107" s="64">
        <f>Population!DP338</f>
        <v>103135</v>
      </c>
      <c r="J107" s="15">
        <f>Population!DR338</f>
        <v>16693</v>
      </c>
      <c r="K107" s="15">
        <f>Population!DO338+Population!DT338</f>
        <v>482071</v>
      </c>
      <c r="L107" s="15">
        <f>Population!DQ338</f>
        <v>7521</v>
      </c>
      <c r="M107" s="15">
        <f>Population!DS338</f>
        <v>108418</v>
      </c>
      <c r="N107" s="68">
        <f t="shared" si="6"/>
        <v>717838</v>
      </c>
      <c r="O107" s="63">
        <f>Population!DU338</f>
        <v>0</v>
      </c>
      <c r="P107" s="15">
        <f>Population!DV338</f>
        <v>0</v>
      </c>
      <c r="Q107" s="16">
        <v>0</v>
      </c>
      <c r="R107" s="88">
        <v>0</v>
      </c>
      <c r="S107" s="88">
        <f t="shared" si="7"/>
        <v>995968</v>
      </c>
      <c r="T107" s="17">
        <f>Population!DZ338</f>
        <v>51096</v>
      </c>
      <c r="U107" s="153">
        <f>Population!G338+Population!H338+Population!I338+Population!J338+Population!K338+Population!N338</f>
        <v>58834</v>
      </c>
      <c r="V107" s="15">
        <f>[5]Population!G345</f>
        <v>1098</v>
      </c>
      <c r="W107" s="15">
        <v>0</v>
      </c>
      <c r="X107" s="89">
        <f t="shared" si="8"/>
        <v>111028</v>
      </c>
      <c r="Y107" s="65">
        <f t="shared" si="9"/>
        <v>1106996</v>
      </c>
    </row>
    <row r="108" spans="1:25" hidden="1" x14ac:dyDescent="0.25">
      <c r="A108" s="14">
        <v>42522</v>
      </c>
      <c r="B108" s="14"/>
      <c r="C108" s="15">
        <f t="shared" si="11"/>
        <v>149003</v>
      </c>
      <c r="D108" s="15">
        <f>807+19740</f>
        <v>20547</v>
      </c>
      <c r="E108" s="15">
        <v>45645</v>
      </c>
      <c r="F108" s="15">
        <v>1323</v>
      </c>
      <c r="G108" s="152">
        <f>[5]Population!DQ346+[5]Population!DR346</f>
        <v>216518</v>
      </c>
      <c r="H108" s="59">
        <f>[5]Population!DS346+[5]Population!DT346</f>
        <v>61860</v>
      </c>
      <c r="I108" s="64">
        <f>Population!DP339</f>
        <v>102539</v>
      </c>
      <c r="J108" s="15">
        <f>Population!DR339</f>
        <v>16533</v>
      </c>
      <c r="K108" s="15">
        <f>Population!DO339+Population!DT339</f>
        <v>482880</v>
      </c>
      <c r="L108" s="15">
        <f>Population!DQ339</f>
        <v>7894</v>
      </c>
      <c r="M108" s="15">
        <f>Population!DS339</f>
        <v>106786</v>
      </c>
      <c r="N108" s="68">
        <f t="shared" si="6"/>
        <v>716632</v>
      </c>
      <c r="O108" s="63">
        <f>Population!DU339</f>
        <v>0</v>
      </c>
      <c r="P108" s="15">
        <f>Population!DV339</f>
        <v>0</v>
      </c>
      <c r="Q108" s="16">
        <v>0</v>
      </c>
      <c r="R108" s="88">
        <v>0</v>
      </c>
      <c r="S108" s="88">
        <f t="shared" si="7"/>
        <v>995010</v>
      </c>
      <c r="T108" s="17">
        <f>Population!DZ339</f>
        <v>51432</v>
      </c>
      <c r="U108" s="153">
        <f>Population!G339+Population!H339+Population!I339+Population!J339+Population!K339+Population!N339</f>
        <v>59330</v>
      </c>
      <c r="V108" s="15">
        <f>[5]Population!G346</f>
        <v>1077</v>
      </c>
      <c r="W108" s="15">
        <v>0</v>
      </c>
      <c r="X108" s="89">
        <f t="shared" si="8"/>
        <v>111839</v>
      </c>
      <c r="Y108" s="65">
        <f t="shared" si="9"/>
        <v>1106849</v>
      </c>
    </row>
    <row r="109" spans="1:25" hidden="1" x14ac:dyDescent="0.25">
      <c r="A109" s="14"/>
      <c r="B109" s="14"/>
      <c r="C109" s="15"/>
      <c r="D109" s="15"/>
      <c r="E109" s="15"/>
      <c r="F109" s="15"/>
      <c r="G109" s="155"/>
      <c r="H109" s="59"/>
      <c r="I109" s="64"/>
      <c r="J109" s="15"/>
      <c r="K109" s="15"/>
      <c r="L109" s="15"/>
      <c r="M109" s="15"/>
      <c r="N109" s="68"/>
      <c r="O109" s="63"/>
      <c r="P109" s="15"/>
      <c r="Q109" s="16"/>
      <c r="R109" s="88"/>
      <c r="S109" s="88"/>
      <c r="T109" s="17"/>
      <c r="U109" s="153"/>
      <c r="V109" s="155"/>
      <c r="W109" s="15"/>
      <c r="X109" s="89"/>
      <c r="Y109" s="65"/>
    </row>
    <row r="110" spans="1:25" hidden="1" x14ac:dyDescent="0.25">
      <c r="A110" s="14">
        <v>42552</v>
      </c>
      <c r="B110" s="14"/>
      <c r="C110" s="15">
        <f t="shared" si="11"/>
        <v>149530</v>
      </c>
      <c r="D110" s="15">
        <f>817+19669</f>
        <v>20486</v>
      </c>
      <c r="E110" s="15">
        <v>45635</v>
      </c>
      <c r="F110" s="15">
        <v>1295</v>
      </c>
      <c r="G110" s="152">
        <f>[5]Population!DQ347+[5]Population!DR347</f>
        <v>216946</v>
      </c>
      <c r="H110" s="59">
        <f>[5]Population!DS347+[5]Population!DT347</f>
        <v>61806</v>
      </c>
      <c r="I110" s="64">
        <f>Population!DP340</f>
        <v>103115</v>
      </c>
      <c r="J110" s="15">
        <f>Population!DR340</f>
        <v>16632</v>
      </c>
      <c r="K110" s="15">
        <f>Population!DO340+Population!DT340</f>
        <v>484007</v>
      </c>
      <c r="L110" s="15">
        <f>Population!DQ340</f>
        <v>8328</v>
      </c>
      <c r="M110" s="15">
        <f>Population!DS340</f>
        <v>108409</v>
      </c>
      <c r="N110" s="68">
        <f t="shared" si="6"/>
        <v>720491</v>
      </c>
      <c r="O110" s="63">
        <f>Population!DU340</f>
        <v>0</v>
      </c>
      <c r="P110" s="15">
        <f>Population!DV340</f>
        <v>0</v>
      </c>
      <c r="Q110" s="16">
        <v>0</v>
      </c>
      <c r="R110" s="88">
        <v>0</v>
      </c>
      <c r="S110" s="88">
        <f t="shared" si="7"/>
        <v>999243</v>
      </c>
      <c r="T110" s="17">
        <f>Population!DZ340</f>
        <v>51468</v>
      </c>
      <c r="U110" s="153">
        <f>Population!G340+Population!H340+Population!I340+Population!J340+Population!K340+Population!N340</f>
        <v>59597</v>
      </c>
      <c r="V110" s="15">
        <f>[5]Population!G347</f>
        <v>1093</v>
      </c>
      <c r="W110" s="15">
        <v>0</v>
      </c>
      <c r="X110" s="89">
        <f t="shared" si="8"/>
        <v>112158</v>
      </c>
      <c r="Y110" s="65">
        <f t="shared" si="9"/>
        <v>1111401</v>
      </c>
    </row>
    <row r="111" spans="1:25" hidden="1" x14ac:dyDescent="0.25">
      <c r="A111" s="14">
        <v>42583</v>
      </c>
      <c r="B111" s="14"/>
      <c r="C111" s="15">
        <f t="shared" si="11"/>
        <v>150603</v>
      </c>
      <c r="D111" s="15">
        <f>815+19418</f>
        <v>20233</v>
      </c>
      <c r="E111" s="15">
        <v>45610</v>
      </c>
      <c r="F111" s="15">
        <v>1295</v>
      </c>
      <c r="G111" s="152">
        <f>[5]Population!DQ348+[5]Population!DR348</f>
        <v>217741</v>
      </c>
      <c r="H111" s="59">
        <f>[5]Population!DS348+[5]Population!DT348</f>
        <v>61967</v>
      </c>
      <c r="I111" s="64">
        <f>Population!DP341</f>
        <v>103605</v>
      </c>
      <c r="J111" s="15">
        <f>Population!DR341</f>
        <v>16153</v>
      </c>
      <c r="K111" s="15">
        <f>Population!DO341+Population!DT341</f>
        <v>481510</v>
      </c>
      <c r="L111" s="15">
        <f>Population!DQ341</f>
        <v>8632</v>
      </c>
      <c r="M111" s="15">
        <f>Population!DS341</f>
        <v>108437</v>
      </c>
      <c r="N111" s="68">
        <f t="shared" si="6"/>
        <v>718337</v>
      </c>
      <c r="O111" s="63">
        <f>Population!DU341</f>
        <v>0</v>
      </c>
      <c r="P111" s="15">
        <f>Population!DV341</f>
        <v>0</v>
      </c>
      <c r="Q111" s="16">
        <v>0</v>
      </c>
      <c r="R111" s="88">
        <v>0</v>
      </c>
      <c r="S111" s="88">
        <f t="shared" si="7"/>
        <v>998045</v>
      </c>
      <c r="T111" s="17">
        <f>Population!DZ341</f>
        <v>51310</v>
      </c>
      <c r="U111" s="153">
        <f>Population!G341+Population!H341+Population!I341+Population!J341+Population!K341+Population!N341</f>
        <v>59462</v>
      </c>
      <c r="V111" s="15">
        <f>[5]Population!G348</f>
        <v>1086</v>
      </c>
      <c r="W111" s="15">
        <v>0</v>
      </c>
      <c r="X111" s="89">
        <f t="shared" si="8"/>
        <v>111858</v>
      </c>
      <c r="Y111" s="65">
        <f t="shared" si="9"/>
        <v>1109903</v>
      </c>
    </row>
    <row r="112" spans="1:25" hidden="1" x14ac:dyDescent="0.25">
      <c r="A112" s="14">
        <v>42614</v>
      </c>
      <c r="B112" s="14"/>
      <c r="C112" s="15">
        <f t="shared" si="11"/>
        <v>150231</v>
      </c>
      <c r="D112" s="15">
        <f>753+19131</f>
        <v>19884</v>
      </c>
      <c r="E112" s="15">
        <v>45594</v>
      </c>
      <c r="F112" s="15">
        <v>1288</v>
      </c>
      <c r="G112" s="152">
        <f>[5]Population!DQ349+[5]Population!DR349</f>
        <v>216997</v>
      </c>
      <c r="H112" s="59">
        <f>[5]Population!DS349+[5]Population!DT349</f>
        <v>61790</v>
      </c>
      <c r="I112" s="64">
        <f>Population!DP342</f>
        <v>104883</v>
      </c>
      <c r="J112" s="15">
        <f>Population!DR342</f>
        <v>16139</v>
      </c>
      <c r="K112" s="15">
        <f>Population!DO342+Population!DT342</f>
        <v>482158</v>
      </c>
      <c r="L112" s="15">
        <f>Population!DQ342</f>
        <v>9145</v>
      </c>
      <c r="M112" s="15">
        <f>Population!DS342</f>
        <v>109374</v>
      </c>
      <c r="N112" s="68">
        <f t="shared" si="6"/>
        <v>721699</v>
      </c>
      <c r="O112" s="63">
        <f>Population!DU342</f>
        <v>0</v>
      </c>
      <c r="P112" s="15">
        <f>Population!DV342</f>
        <v>0</v>
      </c>
      <c r="Q112" s="16">
        <v>0</v>
      </c>
      <c r="R112" s="88">
        <v>0</v>
      </c>
      <c r="S112" s="88">
        <f t="shared" si="7"/>
        <v>1000486</v>
      </c>
      <c r="T112" s="17">
        <f>Population!DZ342</f>
        <v>51449</v>
      </c>
      <c r="U112" s="153">
        <f>Population!G342+Population!H342+Population!I342+Population!J342+Population!K342+Population!N342</f>
        <v>59738</v>
      </c>
      <c r="V112" s="15">
        <f>[5]Population!G349</f>
        <v>1041</v>
      </c>
      <c r="W112" s="15">
        <v>0</v>
      </c>
      <c r="X112" s="89">
        <f t="shared" si="8"/>
        <v>112228</v>
      </c>
      <c r="Y112" s="65">
        <f t="shared" si="9"/>
        <v>1112714</v>
      </c>
    </row>
    <row r="113" spans="1:25" hidden="1" x14ac:dyDescent="0.25">
      <c r="A113" s="14">
        <v>42644</v>
      </c>
      <c r="B113" s="14"/>
      <c r="C113" s="15">
        <f t="shared" si="11"/>
        <v>149381</v>
      </c>
      <c r="D113" s="15">
        <f>805+19202</f>
        <v>20007</v>
      </c>
      <c r="E113" s="15">
        <v>45745</v>
      </c>
      <c r="F113" s="15">
        <v>1299</v>
      </c>
      <c r="G113" s="152">
        <f>[5]Population!DQ350+[5]Population!DR350</f>
        <v>216432</v>
      </c>
      <c r="H113" s="59">
        <f>[5]Population!DS350+[5]Population!DT350</f>
        <v>61625</v>
      </c>
      <c r="I113" s="64">
        <f>Population!DP343</f>
        <v>106132</v>
      </c>
      <c r="J113" s="15">
        <f>Population!DR343</f>
        <v>16025</v>
      </c>
      <c r="K113" s="15">
        <f>Population!DO343+Population!DT343</f>
        <v>484646</v>
      </c>
      <c r="L113" s="15">
        <f>Population!DQ343</f>
        <v>9444</v>
      </c>
      <c r="M113" s="15">
        <f>Population!DS343</f>
        <v>109981</v>
      </c>
      <c r="N113" s="68">
        <f t="shared" si="6"/>
        <v>726228</v>
      </c>
      <c r="O113" s="63">
        <f>Population!DU343</f>
        <v>0</v>
      </c>
      <c r="P113" s="15">
        <f>Population!DV343</f>
        <v>0</v>
      </c>
      <c r="Q113" s="16">
        <v>0</v>
      </c>
      <c r="R113" s="88">
        <v>0</v>
      </c>
      <c r="S113" s="88">
        <f t="shared" si="7"/>
        <v>1004285</v>
      </c>
      <c r="T113" s="17">
        <f>Population!DZ343</f>
        <v>51651</v>
      </c>
      <c r="U113" s="153">
        <f>Population!G343+Population!H343+Population!I343+Population!J343+Population!K343+Population!N343</f>
        <v>60176</v>
      </c>
      <c r="V113" s="15">
        <f>[5]Population!G350</f>
        <v>1058</v>
      </c>
      <c r="W113" s="15">
        <v>0</v>
      </c>
      <c r="X113" s="89">
        <f t="shared" si="8"/>
        <v>112885</v>
      </c>
      <c r="Y113" s="65">
        <f t="shared" si="9"/>
        <v>1117170</v>
      </c>
    </row>
    <row r="114" spans="1:25" hidden="1" x14ac:dyDescent="0.25">
      <c r="A114" s="14">
        <v>42675</v>
      </c>
      <c r="B114" s="14"/>
      <c r="C114" s="15">
        <f t="shared" si="11"/>
        <v>149513</v>
      </c>
      <c r="D114" s="15">
        <f>803+19329</f>
        <v>20132</v>
      </c>
      <c r="E114" s="15">
        <v>46147</v>
      </c>
      <c r="F114" s="15">
        <v>1327</v>
      </c>
      <c r="G114" s="152">
        <f>[5]Population!DQ351+[5]Population!DR351</f>
        <v>217119</v>
      </c>
      <c r="H114" s="59">
        <f>[5]Population!DS351+[5]Population!DT351</f>
        <v>61344</v>
      </c>
      <c r="I114" s="64">
        <f>Population!DP344</f>
        <v>107127</v>
      </c>
      <c r="J114" s="15">
        <f>Population!DR344</f>
        <v>15438</v>
      </c>
      <c r="K114" s="15">
        <f>Population!DO344+Population!DT344</f>
        <v>485899</v>
      </c>
      <c r="L114" s="15">
        <f>Population!DQ344</f>
        <v>9757</v>
      </c>
      <c r="M114" s="15">
        <f>Population!DS344</f>
        <v>110976</v>
      </c>
      <c r="N114" s="68">
        <f t="shared" si="6"/>
        <v>729197</v>
      </c>
      <c r="O114" s="63">
        <f>Population!DU344</f>
        <v>0</v>
      </c>
      <c r="P114" s="15">
        <f>Population!DV344</f>
        <v>0</v>
      </c>
      <c r="Q114" s="16">
        <v>0</v>
      </c>
      <c r="R114" s="88">
        <v>0</v>
      </c>
      <c r="S114" s="88">
        <f t="shared" si="7"/>
        <v>1007660</v>
      </c>
      <c r="T114" s="17">
        <f>Population!DZ344</f>
        <v>51950</v>
      </c>
      <c r="U114" s="153">
        <f>Population!G344+Population!H344+Population!I344+Population!J344+Population!K344+Population!N344</f>
        <v>60505</v>
      </c>
      <c r="V114" s="15">
        <f>[5]Population!G351</f>
        <v>1026</v>
      </c>
      <c r="W114" s="15">
        <v>0</v>
      </c>
      <c r="X114" s="89">
        <f t="shared" si="8"/>
        <v>113481</v>
      </c>
      <c r="Y114" s="65">
        <f t="shared" si="9"/>
        <v>1121141</v>
      </c>
    </row>
    <row r="115" spans="1:25" hidden="1" x14ac:dyDescent="0.25">
      <c r="A115" s="14">
        <v>42705</v>
      </c>
      <c r="B115" s="14"/>
      <c r="C115" s="15">
        <f t="shared" si="11"/>
        <v>149798</v>
      </c>
      <c r="D115" s="15">
        <f>793+19205</f>
        <v>19998</v>
      </c>
      <c r="E115" s="15">
        <v>46370</v>
      </c>
      <c r="F115" s="15">
        <v>1322</v>
      </c>
      <c r="G115" s="152">
        <f>[5]Population!DQ352+[5]Population!DR352</f>
        <v>217488</v>
      </c>
      <c r="H115" s="59">
        <f>[5]Population!DS352+[5]Population!DT352</f>
        <v>61295</v>
      </c>
      <c r="I115" s="64">
        <f>Population!DP345</f>
        <v>108059</v>
      </c>
      <c r="J115" s="15">
        <f>Population!DR345</f>
        <v>15221</v>
      </c>
      <c r="K115" s="15">
        <f>Population!DO345+Population!DT345</f>
        <v>486142</v>
      </c>
      <c r="L115" s="15">
        <f>Population!DQ345</f>
        <v>10144</v>
      </c>
      <c r="M115" s="15">
        <f>Population!DS345</f>
        <v>110973</v>
      </c>
      <c r="N115" s="68">
        <f t="shared" si="6"/>
        <v>730539</v>
      </c>
      <c r="O115" s="63">
        <f>Population!DU345</f>
        <v>0</v>
      </c>
      <c r="P115" s="15">
        <f>Population!DV345</f>
        <v>0</v>
      </c>
      <c r="Q115" s="16">
        <v>0</v>
      </c>
      <c r="R115" s="88">
        <v>0</v>
      </c>
      <c r="S115" s="88">
        <f t="shared" si="7"/>
        <v>1009322</v>
      </c>
      <c r="T115" s="17">
        <f>Population!DZ345</f>
        <v>52176</v>
      </c>
      <c r="U115" s="153">
        <f>Population!G345+Population!H345+Population!I345+Population!J345+Population!K345+Population!N345</f>
        <v>60525</v>
      </c>
      <c r="V115" s="15">
        <f>[5]Population!G352</f>
        <v>995</v>
      </c>
      <c r="W115" s="15">
        <v>0</v>
      </c>
      <c r="X115" s="89">
        <f t="shared" si="8"/>
        <v>113696</v>
      </c>
      <c r="Y115" s="65">
        <f t="shared" si="9"/>
        <v>1123018</v>
      </c>
    </row>
    <row r="116" spans="1:25" hidden="1" x14ac:dyDescent="0.25">
      <c r="A116" s="14">
        <v>42736</v>
      </c>
      <c r="B116" s="14"/>
      <c r="C116" s="15">
        <f t="shared" si="11"/>
        <v>151213</v>
      </c>
      <c r="D116" s="15">
        <f>795+18890</f>
        <v>19685</v>
      </c>
      <c r="E116" s="15">
        <v>45732</v>
      </c>
      <c r="F116" s="15">
        <v>1260</v>
      </c>
      <c r="G116" s="152">
        <f>[5]Population!DQ353+[5]Population!DR353</f>
        <v>217890</v>
      </c>
      <c r="H116" s="59">
        <f>[5]Population!DS353+[5]Population!DT353</f>
        <v>61233</v>
      </c>
      <c r="I116" s="64">
        <f>Population!DP346</f>
        <v>108916</v>
      </c>
      <c r="J116" s="15">
        <f>Population!DR346</f>
        <v>15360</v>
      </c>
      <c r="K116" s="15">
        <f>Population!DO346+Population!DT346</f>
        <v>486707</v>
      </c>
      <c r="L116" s="15">
        <f>Population!DQ346</f>
        <v>10348</v>
      </c>
      <c r="M116" s="15">
        <f>Population!DS346</f>
        <v>112457</v>
      </c>
      <c r="N116" s="68">
        <f t="shared" si="6"/>
        <v>733788</v>
      </c>
      <c r="O116" s="63">
        <f>Population!DU346</f>
        <v>0</v>
      </c>
      <c r="P116" s="15">
        <f>Population!DV346</f>
        <v>0</v>
      </c>
      <c r="Q116" s="16">
        <v>0</v>
      </c>
      <c r="R116" s="88">
        <v>0</v>
      </c>
      <c r="S116" s="88">
        <f t="shared" si="7"/>
        <v>1012911</v>
      </c>
      <c r="T116" s="17">
        <f>Population!DZ346</f>
        <v>52107</v>
      </c>
      <c r="U116" s="153">
        <f>Population!G346+Population!H346+Population!I346+Population!J346+Population!K346+Population!N346</f>
        <v>60386</v>
      </c>
      <c r="V116" s="15">
        <f>[5]Population!G353</f>
        <v>960</v>
      </c>
      <c r="W116" s="15">
        <v>0</v>
      </c>
      <c r="X116" s="89">
        <f t="shared" si="8"/>
        <v>113453</v>
      </c>
      <c r="Y116" s="65">
        <f t="shared" si="9"/>
        <v>1126364</v>
      </c>
    </row>
    <row r="117" spans="1:25" hidden="1" x14ac:dyDescent="0.25">
      <c r="A117" s="14">
        <v>42767</v>
      </c>
      <c r="B117" s="14"/>
      <c r="C117" s="15">
        <f t="shared" si="11"/>
        <v>149576</v>
      </c>
      <c r="D117" s="15">
        <f>19467+776</f>
        <v>20243</v>
      </c>
      <c r="E117" s="15">
        <v>46791</v>
      </c>
      <c r="F117" s="15">
        <v>1312</v>
      </c>
      <c r="G117" s="152">
        <f>[5]Population!DQ354+[5]Population!DR354</f>
        <v>217922</v>
      </c>
      <c r="H117" s="59">
        <f>[5]Population!DS354+[5]Population!DT354</f>
        <v>60056</v>
      </c>
      <c r="I117" s="64">
        <f>Population!DP347</f>
        <v>110772</v>
      </c>
      <c r="J117" s="15">
        <f>Population!DR347</f>
        <v>15458</v>
      </c>
      <c r="K117" s="15">
        <f>Population!DO347+Population!DT347</f>
        <v>489703</v>
      </c>
      <c r="L117" s="15">
        <f>Population!DQ347</f>
        <v>10488</v>
      </c>
      <c r="M117" s="15">
        <f>Population!DS347</f>
        <v>112093</v>
      </c>
      <c r="N117" s="68">
        <f t="shared" si="6"/>
        <v>738514</v>
      </c>
      <c r="O117" s="63">
        <f>Population!DU347</f>
        <v>0</v>
      </c>
      <c r="P117" s="15">
        <f>Population!DV347</f>
        <v>0</v>
      </c>
      <c r="Q117" s="16">
        <v>0</v>
      </c>
      <c r="R117" s="88">
        <v>0</v>
      </c>
      <c r="S117" s="88">
        <f t="shared" si="7"/>
        <v>1016492</v>
      </c>
      <c r="T117" s="17">
        <f>Population!DZ347</f>
        <v>52422</v>
      </c>
      <c r="U117" s="153">
        <f>Population!G347+Population!H347+Population!I347+Population!J347+Population!K347+Population!N347</f>
        <v>60366</v>
      </c>
      <c r="V117" s="15">
        <f>[5]Population!G354</f>
        <v>1041</v>
      </c>
      <c r="W117" s="15">
        <v>0</v>
      </c>
      <c r="X117" s="89">
        <f t="shared" si="8"/>
        <v>113829</v>
      </c>
      <c r="Y117" s="65">
        <f t="shared" si="9"/>
        <v>1130321</v>
      </c>
    </row>
    <row r="118" spans="1:25" hidden="1" x14ac:dyDescent="0.25">
      <c r="A118" s="14">
        <v>42795</v>
      </c>
      <c r="B118" s="14"/>
      <c r="C118" s="15">
        <f t="shared" si="11"/>
        <v>150835</v>
      </c>
      <c r="D118" s="15">
        <f>19316+793</f>
        <v>20109</v>
      </c>
      <c r="E118" s="15">
        <v>46713</v>
      </c>
      <c r="F118" s="15">
        <v>1299</v>
      </c>
      <c r="G118" s="152">
        <f>[5]Population!DQ355+[5]Population!DR355</f>
        <v>218956</v>
      </c>
      <c r="H118" s="59">
        <f>[5]Population!DS355+[5]Population!DT355</f>
        <v>60088</v>
      </c>
      <c r="I118" s="64">
        <f>Population!DP348</f>
        <v>112034</v>
      </c>
      <c r="J118" s="15">
        <f>Population!DR348</f>
        <v>15305</v>
      </c>
      <c r="K118" s="15">
        <f>Population!DO348+Population!DT348</f>
        <v>488785</v>
      </c>
      <c r="L118" s="15">
        <f>Population!DQ348</f>
        <v>10863</v>
      </c>
      <c r="M118" s="15">
        <f>Population!DS348</f>
        <v>111404</v>
      </c>
      <c r="N118" s="68">
        <f t="shared" si="6"/>
        <v>738391</v>
      </c>
      <c r="O118" s="63">
        <f>Population!DU348</f>
        <v>0</v>
      </c>
      <c r="P118" s="15">
        <f>Population!DV348</f>
        <v>0</v>
      </c>
      <c r="Q118" s="16">
        <v>0</v>
      </c>
      <c r="R118" s="88">
        <v>0</v>
      </c>
      <c r="S118" s="88">
        <f t="shared" si="7"/>
        <v>1017435</v>
      </c>
      <c r="T118" s="17">
        <f>Population!DZ348</f>
        <v>52601</v>
      </c>
      <c r="U118" s="153">
        <f>Population!G348+Population!H348+Population!I348+Population!J348+Population!K348+Population!N348</f>
        <v>60297</v>
      </c>
      <c r="V118" s="15">
        <f>[5]Population!G355</f>
        <v>1088</v>
      </c>
      <c r="W118" s="15">
        <v>0</v>
      </c>
      <c r="X118" s="89">
        <f t="shared" si="8"/>
        <v>113986</v>
      </c>
      <c r="Y118" s="65">
        <f t="shared" si="9"/>
        <v>1131421</v>
      </c>
    </row>
    <row r="119" spans="1:25" hidden="1" x14ac:dyDescent="0.25">
      <c r="A119" s="14">
        <v>42826</v>
      </c>
      <c r="B119" s="14"/>
      <c r="C119" s="15">
        <f t="shared" si="11"/>
        <v>149847</v>
      </c>
      <c r="D119" s="15">
        <f>19440+804</f>
        <v>20244</v>
      </c>
      <c r="E119" s="15">
        <v>47085</v>
      </c>
      <c r="F119" s="15">
        <v>1272</v>
      </c>
      <c r="G119" s="152">
        <f>[5]Population!DQ356+[5]Population!DR356</f>
        <v>218448</v>
      </c>
      <c r="H119" s="59">
        <f>[5]Population!DS356+[5]Population!DT356</f>
        <v>60127</v>
      </c>
      <c r="I119" s="64">
        <f>Population!DP349</f>
        <v>114106</v>
      </c>
      <c r="J119" s="15">
        <f>Population!DR349</f>
        <v>15526</v>
      </c>
      <c r="K119" s="15">
        <f>Population!DO349+Population!DT349</f>
        <v>491491</v>
      </c>
      <c r="L119" s="15">
        <f>Population!DQ349</f>
        <v>11209</v>
      </c>
      <c r="M119" s="15">
        <f>Population!DS349</f>
        <v>112470</v>
      </c>
      <c r="N119" s="68">
        <f t="shared" si="6"/>
        <v>744802</v>
      </c>
      <c r="O119" s="63">
        <f>Population!DU349</f>
        <v>0</v>
      </c>
      <c r="P119" s="15">
        <f>Population!DV349</f>
        <v>0</v>
      </c>
      <c r="Q119" s="16">
        <v>0</v>
      </c>
      <c r="R119" s="88">
        <v>0</v>
      </c>
      <c r="S119" s="88">
        <f t="shared" si="7"/>
        <v>1023377</v>
      </c>
      <c r="T119" s="17">
        <f>Population!DZ349</f>
        <v>53432</v>
      </c>
      <c r="U119" s="153">
        <f>Population!G349+Population!H349+Population!I349+Population!J349+Population!K349+Population!N349</f>
        <v>61207</v>
      </c>
      <c r="V119" s="15">
        <f>[5]Population!G356</f>
        <v>1102</v>
      </c>
      <c r="W119" s="15">
        <v>0</v>
      </c>
      <c r="X119" s="89">
        <f t="shared" si="8"/>
        <v>115741</v>
      </c>
      <c r="Y119" s="65">
        <f t="shared" si="9"/>
        <v>1139118</v>
      </c>
    </row>
    <row r="120" spans="1:25" hidden="1" x14ac:dyDescent="0.25">
      <c r="A120" s="14">
        <v>42856</v>
      </c>
      <c r="B120" s="14"/>
      <c r="C120" s="15">
        <f t="shared" si="11"/>
        <v>150945</v>
      </c>
      <c r="D120" s="15">
        <f>19386+741</f>
        <v>20127</v>
      </c>
      <c r="E120" s="15">
        <v>47208</v>
      </c>
      <c r="F120" s="15">
        <v>1313</v>
      </c>
      <c r="G120" s="152">
        <f>[5]Population!DQ357+[5]Population!DR357</f>
        <v>219593</v>
      </c>
      <c r="H120" s="59">
        <f>[5]Population!DS357+[5]Population!DT357</f>
        <v>60560</v>
      </c>
      <c r="I120" s="64">
        <f>Population!DP350</f>
        <v>114582</v>
      </c>
      <c r="J120" s="15">
        <f>Population!DR350</f>
        <v>15711</v>
      </c>
      <c r="K120" s="15">
        <f>Population!DO350+Population!DT350</f>
        <v>489357</v>
      </c>
      <c r="L120" s="15">
        <f>Population!DQ350</f>
        <v>11469</v>
      </c>
      <c r="M120" s="15">
        <f>Population!DS350</f>
        <v>112405</v>
      </c>
      <c r="N120" s="68">
        <f t="shared" si="6"/>
        <v>743524</v>
      </c>
      <c r="O120" s="63">
        <f>Population!DU350</f>
        <v>0</v>
      </c>
      <c r="P120" s="15">
        <f>Population!DV350</f>
        <v>0</v>
      </c>
      <c r="Q120" s="16">
        <v>0</v>
      </c>
      <c r="R120" s="88">
        <v>0</v>
      </c>
      <c r="S120" s="88">
        <f t="shared" si="7"/>
        <v>1023677</v>
      </c>
      <c r="T120" s="17">
        <f>Population!DZ350</f>
        <v>53906</v>
      </c>
      <c r="U120" s="153">
        <f>Population!G350+Population!H350+Population!I350+Population!J350+Population!K350+Population!N350</f>
        <v>61835</v>
      </c>
      <c r="V120" s="15">
        <f>[5]Population!G357</f>
        <v>1122</v>
      </c>
      <c r="W120" s="15">
        <v>0</v>
      </c>
      <c r="X120" s="89">
        <f t="shared" si="8"/>
        <v>116863</v>
      </c>
      <c r="Y120" s="65">
        <f t="shared" si="9"/>
        <v>1140540</v>
      </c>
    </row>
    <row r="121" spans="1:25" hidden="1" x14ac:dyDescent="0.25">
      <c r="A121" s="14">
        <v>42887</v>
      </c>
      <c r="B121" s="14"/>
      <c r="C121" s="15">
        <f t="shared" si="11"/>
        <v>150513</v>
      </c>
      <c r="D121" s="15">
        <f>19495+751</f>
        <v>20246</v>
      </c>
      <c r="E121" s="15">
        <v>47622</v>
      </c>
      <c r="F121" s="15">
        <v>1312</v>
      </c>
      <c r="G121" s="152">
        <f>[5]Population!DQ358+[5]Population!DR358</f>
        <v>219693</v>
      </c>
      <c r="H121" s="59">
        <f>[5]Population!DS358+[5]Population!DT358</f>
        <v>60454</v>
      </c>
      <c r="I121" s="64">
        <f>Population!DP351</f>
        <v>115789</v>
      </c>
      <c r="J121" s="15">
        <f>Population!DR351</f>
        <v>15936</v>
      </c>
      <c r="K121" s="15">
        <f>Population!DO351+Population!DT351</f>
        <v>488363</v>
      </c>
      <c r="L121" s="15">
        <f>Population!DQ351</f>
        <v>11832</v>
      </c>
      <c r="M121" s="15">
        <f>Population!DS351</f>
        <v>112320</v>
      </c>
      <c r="N121" s="68">
        <f t="shared" si="6"/>
        <v>744240</v>
      </c>
      <c r="O121" s="63">
        <f>Population!DU351</f>
        <v>0</v>
      </c>
      <c r="P121" s="15">
        <f>Population!DV351</f>
        <v>0</v>
      </c>
      <c r="Q121" s="16">
        <v>0</v>
      </c>
      <c r="R121" s="88">
        <v>0</v>
      </c>
      <c r="S121" s="88">
        <f t="shared" si="7"/>
        <v>1024387</v>
      </c>
      <c r="T121" s="17">
        <f>Population!DZ351</f>
        <v>54576</v>
      </c>
      <c r="U121" s="153">
        <f>Population!G351+Population!H351+Population!I351+Population!J351+Population!K351+Population!N351</f>
        <v>62102</v>
      </c>
      <c r="V121" s="15">
        <f>[5]Population!G358</f>
        <v>1139</v>
      </c>
      <c r="W121" s="15">
        <v>0</v>
      </c>
      <c r="X121" s="89">
        <f t="shared" si="8"/>
        <v>117817</v>
      </c>
      <c r="Y121" s="65">
        <f t="shared" si="9"/>
        <v>1142204</v>
      </c>
    </row>
    <row r="122" spans="1:25" hidden="1" x14ac:dyDescent="0.25">
      <c r="A122" s="14"/>
      <c r="B122" s="14"/>
      <c r="D122" s="15"/>
      <c r="E122" s="15"/>
      <c r="F122" s="15"/>
      <c r="H122" s="59"/>
      <c r="I122" s="64"/>
      <c r="J122" s="15"/>
      <c r="K122" s="15"/>
      <c r="L122" s="15"/>
      <c r="M122" s="15"/>
      <c r="N122" s="68"/>
      <c r="O122" s="63"/>
      <c r="P122" s="15"/>
      <c r="Q122" s="16"/>
      <c r="R122" s="88"/>
      <c r="S122" s="88"/>
      <c r="T122" s="17"/>
      <c r="U122" s="153"/>
      <c r="W122" s="15"/>
      <c r="X122" s="89"/>
      <c r="Y122" s="65"/>
    </row>
    <row r="123" spans="1:25" hidden="1" x14ac:dyDescent="0.25">
      <c r="A123" s="14">
        <v>42917</v>
      </c>
      <c r="B123" s="14"/>
      <c r="C123" s="15">
        <f t="shared" ref="C123:C134" si="12">G123-D123-E123-F123</f>
        <v>150898</v>
      </c>
      <c r="D123" s="15">
        <f>19619+669</f>
        <v>20288</v>
      </c>
      <c r="E123" s="15">
        <v>47916</v>
      </c>
      <c r="F123" s="15">
        <v>1290</v>
      </c>
      <c r="G123" s="152">
        <f>[5]Population!DQ359+[5]Population!DR359</f>
        <v>220392</v>
      </c>
      <c r="H123" s="59">
        <f>[5]Population!DS359+[5]Population!DT359</f>
        <v>60574</v>
      </c>
      <c r="I123" s="64">
        <f>Population!DP352</f>
        <v>116829</v>
      </c>
      <c r="J123" s="15">
        <f>Population!DR352</f>
        <v>16155</v>
      </c>
      <c r="K123" s="15">
        <f>Population!DO352+Population!DT352</f>
        <v>488369</v>
      </c>
      <c r="L123" s="15">
        <f>Population!DQ352</f>
        <v>12156</v>
      </c>
      <c r="M123" s="15">
        <f>Population!DS352</f>
        <v>113129</v>
      </c>
      <c r="N123" s="68">
        <f t="shared" si="6"/>
        <v>746638</v>
      </c>
      <c r="O123" s="63">
        <f>Population!DU352</f>
        <v>0</v>
      </c>
      <c r="P123" s="15">
        <f>Population!DV352</f>
        <v>0</v>
      </c>
      <c r="Q123" s="16">
        <v>0</v>
      </c>
      <c r="R123" s="88">
        <v>0</v>
      </c>
      <c r="S123" s="88">
        <f t="shared" si="7"/>
        <v>1027604</v>
      </c>
      <c r="T123" s="17">
        <f>Population!DZ352</f>
        <v>55896</v>
      </c>
      <c r="U123" s="153">
        <f>Population!G352+Population!H352+Population!I352+Population!J352+Population!K352+Population!N352</f>
        <v>63158</v>
      </c>
      <c r="V123" s="15">
        <f>[5]Population!G359</f>
        <v>1115</v>
      </c>
      <c r="W123" s="15">
        <v>0</v>
      </c>
      <c r="X123" s="89">
        <f t="shared" si="8"/>
        <v>120169</v>
      </c>
      <c r="Y123" s="65">
        <f t="shared" si="9"/>
        <v>1147773</v>
      </c>
    </row>
    <row r="124" spans="1:25" hidden="1" x14ac:dyDescent="0.25">
      <c r="A124" s="14">
        <v>42948</v>
      </c>
      <c r="B124" s="14"/>
      <c r="C124" s="15">
        <f t="shared" si="12"/>
        <v>150824</v>
      </c>
      <c r="D124" s="15">
        <f>19658+800</f>
        <v>20458</v>
      </c>
      <c r="E124" s="15">
        <v>48379</v>
      </c>
      <c r="F124" s="15">
        <v>1314</v>
      </c>
      <c r="G124" s="152">
        <f>[5]Population!DQ360+[5]Population!DR360</f>
        <v>220975</v>
      </c>
      <c r="H124" s="59">
        <f>[5]Population!DS360+[5]Population!DT360</f>
        <v>60630</v>
      </c>
      <c r="I124" s="64">
        <f>Population!DP353</f>
        <v>117693</v>
      </c>
      <c r="J124" s="15">
        <f>Population!DR353</f>
        <v>16218</v>
      </c>
      <c r="K124" s="15">
        <f>Population!DO353+Population!DT353</f>
        <v>488949</v>
      </c>
      <c r="L124" s="15">
        <f>Population!DQ353</f>
        <v>12389</v>
      </c>
      <c r="M124" s="15">
        <f>Population!DS353</f>
        <v>113898</v>
      </c>
      <c r="N124" s="68">
        <f t="shared" si="6"/>
        <v>749147</v>
      </c>
      <c r="O124" s="63">
        <f>Population!DU353</f>
        <v>0</v>
      </c>
      <c r="P124" s="15">
        <f>Population!DV353</f>
        <v>0</v>
      </c>
      <c r="Q124" s="16">
        <v>0</v>
      </c>
      <c r="R124" s="88">
        <v>0</v>
      </c>
      <c r="S124" s="88">
        <f t="shared" si="7"/>
        <v>1030752</v>
      </c>
      <c r="T124" s="17">
        <f>Population!DZ353</f>
        <v>56921</v>
      </c>
      <c r="U124" s="153">
        <f>Population!G353+Population!H353+Population!I353+Population!J353+Population!K353+Population!N353</f>
        <v>63970</v>
      </c>
      <c r="V124" s="15">
        <f>[5]Population!G360</f>
        <v>1160</v>
      </c>
      <c r="W124" s="15">
        <v>0</v>
      </c>
      <c r="X124" s="89">
        <f t="shared" si="8"/>
        <v>122051</v>
      </c>
      <c r="Y124" s="65">
        <f t="shared" si="9"/>
        <v>1152803</v>
      </c>
    </row>
    <row r="125" spans="1:25" hidden="1" x14ac:dyDescent="0.25">
      <c r="A125" s="14">
        <v>42979</v>
      </c>
      <c r="B125" s="14"/>
      <c r="C125" s="15">
        <f t="shared" si="12"/>
        <v>151703</v>
      </c>
      <c r="D125" s="15">
        <f>19591+781</f>
        <v>20372</v>
      </c>
      <c r="E125" s="15">
        <v>48331</v>
      </c>
      <c r="F125" s="15">
        <v>1330</v>
      </c>
      <c r="G125" s="152">
        <f>[5]Population!DQ361+[5]Population!DR361</f>
        <v>221736</v>
      </c>
      <c r="H125" s="59">
        <f>[5]Population!DS361+[5]Population!DT361</f>
        <v>60863</v>
      </c>
      <c r="I125" s="64">
        <f>Population!DP354</f>
        <v>118335</v>
      </c>
      <c r="J125" s="15">
        <f>Population!DR354</f>
        <v>16520</v>
      </c>
      <c r="K125" s="15">
        <f>Population!DO354+Population!DT354</f>
        <v>490844</v>
      </c>
      <c r="L125" s="15">
        <f>Population!DQ354</f>
        <v>12759</v>
      </c>
      <c r="M125" s="15">
        <f>Population!DS354</f>
        <v>115070</v>
      </c>
      <c r="N125" s="68">
        <f t="shared" si="6"/>
        <v>753528</v>
      </c>
      <c r="O125" s="63">
        <f>Population!DU354</f>
        <v>0</v>
      </c>
      <c r="P125" s="15">
        <f>Population!DV354</f>
        <v>0</v>
      </c>
      <c r="Q125" s="16">
        <v>0</v>
      </c>
      <c r="R125" s="88">
        <v>0</v>
      </c>
      <c r="S125" s="88">
        <f t="shared" si="7"/>
        <v>1036127</v>
      </c>
      <c r="T125" s="17">
        <f>Population!DZ354</f>
        <v>58224</v>
      </c>
      <c r="U125" s="153">
        <f>Population!G354+Population!H354+Population!I354+Population!J354+Population!K354+Population!N354</f>
        <v>65032</v>
      </c>
      <c r="V125" s="15">
        <f>[5]Population!G361</f>
        <v>1154</v>
      </c>
      <c r="W125" s="15">
        <v>0</v>
      </c>
      <c r="X125" s="89">
        <f t="shared" si="8"/>
        <v>124410</v>
      </c>
      <c r="Y125" s="65">
        <f t="shared" si="9"/>
        <v>1160537</v>
      </c>
    </row>
    <row r="126" spans="1:25" hidden="1" x14ac:dyDescent="0.25">
      <c r="A126" s="14">
        <v>43009</v>
      </c>
      <c r="B126" s="14"/>
      <c r="C126" s="15">
        <f t="shared" si="12"/>
        <v>151797</v>
      </c>
      <c r="D126" s="15">
        <f>19700+776</f>
        <v>20476</v>
      </c>
      <c r="E126" s="15">
        <v>48717</v>
      </c>
      <c r="F126" s="15">
        <v>1323</v>
      </c>
      <c r="G126" s="152">
        <f>[5]Population!DQ362+[5]Population!DR362</f>
        <v>222313</v>
      </c>
      <c r="H126" s="59">
        <f>[5]Population!DS362+[5]Population!DT362</f>
        <v>61086</v>
      </c>
      <c r="I126" s="64">
        <f>Population!DP355</f>
        <v>118989</v>
      </c>
      <c r="J126" s="15">
        <f>Population!DR355</f>
        <v>16287</v>
      </c>
      <c r="K126" s="15">
        <f>Population!DO355+Population!DT355</f>
        <v>492473</v>
      </c>
      <c r="L126" s="15">
        <f>Population!DQ355</f>
        <v>12943</v>
      </c>
      <c r="M126" s="15">
        <f>Population!DS355</f>
        <v>116297</v>
      </c>
      <c r="N126" s="68">
        <f t="shared" si="6"/>
        <v>756989</v>
      </c>
      <c r="O126" s="63">
        <f>Population!DU355</f>
        <v>0</v>
      </c>
      <c r="P126" s="15">
        <f>Population!DV355</f>
        <v>0</v>
      </c>
      <c r="Q126" s="16">
        <v>0</v>
      </c>
      <c r="R126" s="88">
        <v>0</v>
      </c>
      <c r="S126" s="88">
        <f t="shared" si="7"/>
        <v>1040388</v>
      </c>
      <c r="T126" s="17">
        <f>Population!DZ355</f>
        <v>59085</v>
      </c>
      <c r="U126" s="153">
        <f>Population!G355+Population!H355+Population!I355+Population!J355+Population!K355+Population!N355</f>
        <v>66047</v>
      </c>
      <c r="V126" s="15">
        <f>[5]Population!G362</f>
        <v>1146</v>
      </c>
      <c r="W126" s="15">
        <v>0</v>
      </c>
      <c r="X126" s="89">
        <f t="shared" si="8"/>
        <v>126278</v>
      </c>
      <c r="Y126" s="65">
        <f t="shared" si="9"/>
        <v>1166666</v>
      </c>
    </row>
    <row r="127" spans="1:25" hidden="1" x14ac:dyDescent="0.25">
      <c r="A127" s="14">
        <v>43040</v>
      </c>
      <c r="B127" s="14"/>
      <c r="C127" s="15">
        <f t="shared" si="12"/>
        <v>152115</v>
      </c>
      <c r="D127" s="15">
        <f>19736+767</f>
        <v>20503</v>
      </c>
      <c r="E127" s="15">
        <v>48687</v>
      </c>
      <c r="F127" s="15">
        <v>1327</v>
      </c>
      <c r="G127" s="152">
        <f>[5]Population!DQ363+[5]Population!DR363</f>
        <v>222632</v>
      </c>
      <c r="H127" s="59">
        <f>[5]Population!DS363+[5]Population!DT363</f>
        <v>60911</v>
      </c>
      <c r="I127" s="64">
        <f>Population!DP356</f>
        <v>114510</v>
      </c>
      <c r="J127" s="15">
        <f>Population!DR356</f>
        <v>15865</v>
      </c>
      <c r="K127" s="15">
        <f>Population!DO356+Population!DT356</f>
        <v>494812</v>
      </c>
      <c r="L127" s="15">
        <f>Population!DQ356</f>
        <v>13346</v>
      </c>
      <c r="M127" s="15">
        <f>Population!DS356</f>
        <v>122668</v>
      </c>
      <c r="N127" s="68">
        <f t="shared" si="6"/>
        <v>761201</v>
      </c>
      <c r="O127" s="63">
        <f>Population!DU356</f>
        <v>0</v>
      </c>
      <c r="P127" s="15">
        <f>Population!DV356</f>
        <v>0</v>
      </c>
      <c r="Q127" s="16">
        <v>0</v>
      </c>
      <c r="R127" s="88">
        <v>0</v>
      </c>
      <c r="S127" s="88">
        <f t="shared" si="7"/>
        <v>1044744</v>
      </c>
      <c r="T127" s="17">
        <f>Population!DZ356</f>
        <v>60115</v>
      </c>
      <c r="U127" s="153">
        <f>Population!G356+Population!H356+Population!I356+Population!J356+Population!K356+Population!N356</f>
        <v>67763</v>
      </c>
      <c r="V127" s="15">
        <f>[5]Population!G363</f>
        <v>1097</v>
      </c>
      <c r="W127" s="15">
        <v>0</v>
      </c>
      <c r="X127" s="89">
        <f t="shared" si="8"/>
        <v>128975</v>
      </c>
      <c r="Y127" s="65">
        <f t="shared" si="9"/>
        <v>1173719</v>
      </c>
    </row>
    <row r="128" spans="1:25" hidden="1" x14ac:dyDescent="0.25">
      <c r="A128" s="14">
        <v>43070</v>
      </c>
      <c r="B128" s="14"/>
      <c r="C128" s="15">
        <f t="shared" si="12"/>
        <v>153604</v>
      </c>
      <c r="D128" s="15">
        <f>19712+762</f>
        <v>20474</v>
      </c>
      <c r="E128" s="15">
        <v>48343</v>
      </c>
      <c r="F128" s="15">
        <v>1332</v>
      </c>
      <c r="G128" s="152">
        <f>[5]Population!DQ364+[5]Population!DR364</f>
        <v>223753</v>
      </c>
      <c r="H128" s="59">
        <f>[5]Population!DS364+[5]Population!DT364</f>
        <v>60946</v>
      </c>
      <c r="I128" s="64">
        <f>Population!DP357</f>
        <v>114406</v>
      </c>
      <c r="J128" s="15">
        <f>Population!DR357</f>
        <v>15565</v>
      </c>
      <c r="K128" s="15">
        <f>Population!DO357+Population!DT357</f>
        <v>495050</v>
      </c>
      <c r="L128" s="15">
        <f>Population!DQ357</f>
        <v>13808</v>
      </c>
      <c r="M128" s="15">
        <f>Population!DS357</f>
        <v>124027</v>
      </c>
      <c r="N128" s="68">
        <f t="shared" si="6"/>
        <v>762856</v>
      </c>
      <c r="O128" s="63">
        <f>Population!DU357</f>
        <v>0</v>
      </c>
      <c r="P128" s="15">
        <f>Population!DV357</f>
        <v>0</v>
      </c>
      <c r="Q128" s="16">
        <v>0</v>
      </c>
      <c r="R128" s="88">
        <v>0</v>
      </c>
      <c r="S128" s="88">
        <f t="shared" si="7"/>
        <v>1047555</v>
      </c>
      <c r="T128" s="17">
        <f>Population!DZ357</f>
        <v>61027</v>
      </c>
      <c r="U128" s="153">
        <f>Population!G357+Population!H357+Population!I357+Population!J357+Population!K357+Population!N357</f>
        <v>68495</v>
      </c>
      <c r="V128" s="15">
        <f>[5]Population!G364</f>
        <v>1085</v>
      </c>
      <c r="W128" s="15">
        <v>0</v>
      </c>
      <c r="X128" s="89">
        <f t="shared" si="8"/>
        <v>130607</v>
      </c>
      <c r="Y128" s="65">
        <f t="shared" si="9"/>
        <v>1178162</v>
      </c>
    </row>
    <row r="129" spans="1:25" hidden="1" x14ac:dyDescent="0.25">
      <c r="A129" s="14">
        <v>43101</v>
      </c>
      <c r="B129" s="14"/>
      <c r="C129" s="15">
        <f t="shared" si="12"/>
        <v>155474</v>
      </c>
      <c r="D129" s="15">
        <f>19128+760</f>
        <v>19888</v>
      </c>
      <c r="E129" s="15">
        <v>47561</v>
      </c>
      <c r="F129" s="15">
        <v>1295</v>
      </c>
      <c r="G129" s="152">
        <f>[5]Population!DQ365+[5]Population!DR365</f>
        <v>224218</v>
      </c>
      <c r="H129" s="59">
        <f>[5]Population!DS365+[5]Population!DT365</f>
        <v>61059</v>
      </c>
      <c r="I129" s="64">
        <f>Population!DP358</f>
        <v>114868</v>
      </c>
      <c r="J129" s="15">
        <f>Population!DR358</f>
        <v>15411</v>
      </c>
      <c r="K129" s="15">
        <f>Population!DO358+Population!DT358</f>
        <v>494345</v>
      </c>
      <c r="L129" s="15">
        <f>Population!DQ358</f>
        <v>14203</v>
      </c>
      <c r="M129" s="15">
        <f>Population!DS358</f>
        <v>125599</v>
      </c>
      <c r="N129" s="68">
        <f t="shared" si="6"/>
        <v>764426</v>
      </c>
      <c r="O129" s="63">
        <f>Population!DU358</f>
        <v>0</v>
      </c>
      <c r="P129" s="15">
        <f>Population!DV358</f>
        <v>0</v>
      </c>
      <c r="Q129" s="16">
        <v>0</v>
      </c>
      <c r="R129" s="88">
        <v>0</v>
      </c>
      <c r="S129" s="88">
        <f t="shared" si="7"/>
        <v>1049703</v>
      </c>
      <c r="T129" s="17">
        <f>Population!DZ358</f>
        <v>61713</v>
      </c>
      <c r="U129" s="153">
        <f>Population!G358+Population!H358+Population!I358+Population!J358+Population!K358+Population!N358</f>
        <v>69280</v>
      </c>
      <c r="V129" s="15">
        <f>[5]Population!G365</f>
        <v>1114</v>
      </c>
      <c r="W129" s="15">
        <v>0</v>
      </c>
      <c r="X129" s="89">
        <f t="shared" si="8"/>
        <v>132107</v>
      </c>
      <c r="Y129" s="65">
        <f t="shared" si="9"/>
        <v>1181810</v>
      </c>
    </row>
    <row r="130" spans="1:25" hidden="1" x14ac:dyDescent="0.25">
      <c r="A130" s="14">
        <v>43132</v>
      </c>
      <c r="B130" s="14"/>
      <c r="C130" s="15">
        <f t="shared" si="12"/>
        <v>153994</v>
      </c>
      <c r="D130" s="15">
        <f>19352+735</f>
        <v>20087</v>
      </c>
      <c r="E130" s="15">
        <v>48406</v>
      </c>
      <c r="F130" s="15">
        <v>1330</v>
      </c>
      <c r="G130" s="152">
        <f>[5]Population!DQ366+[5]Population!DR366</f>
        <v>223817</v>
      </c>
      <c r="H130" s="59">
        <f>[5]Population!DS366+[5]Population!DT366</f>
        <v>60210</v>
      </c>
      <c r="I130" s="64">
        <f>Population!DP359</f>
        <v>115466</v>
      </c>
      <c r="J130" s="15">
        <f>Population!DR359</f>
        <v>15547</v>
      </c>
      <c r="K130" s="15">
        <f>Population!DO359+Population!DT359</f>
        <v>496175</v>
      </c>
      <c r="L130" s="15">
        <f>Population!DQ359</f>
        <v>14503</v>
      </c>
      <c r="M130" s="15">
        <f>Population!DS359</f>
        <v>126954</v>
      </c>
      <c r="N130" s="68">
        <f t="shared" si="6"/>
        <v>768645</v>
      </c>
      <c r="O130" s="63">
        <f>Population!DU359</f>
        <v>0</v>
      </c>
      <c r="P130" s="15">
        <f>Population!DV359</f>
        <v>0</v>
      </c>
      <c r="Q130" s="16">
        <v>0</v>
      </c>
      <c r="R130" s="88">
        <v>0</v>
      </c>
      <c r="S130" s="88">
        <f t="shared" si="7"/>
        <v>1052672</v>
      </c>
      <c r="T130" s="17">
        <f>Population!DZ359</f>
        <v>62537</v>
      </c>
      <c r="U130" s="153">
        <f>Population!G359+Population!H359+Population!I359+Population!J359+Population!K359+Population!N359</f>
        <v>69982</v>
      </c>
      <c r="V130" s="15">
        <f>[5]Population!G366</f>
        <v>1150</v>
      </c>
      <c r="W130" s="15">
        <v>0</v>
      </c>
      <c r="X130" s="89">
        <f t="shared" si="8"/>
        <v>133669</v>
      </c>
      <c r="Y130" s="65">
        <f t="shared" si="9"/>
        <v>1186341</v>
      </c>
    </row>
    <row r="131" spans="1:25" hidden="1" x14ac:dyDescent="0.25">
      <c r="A131" s="14">
        <v>43160</v>
      </c>
      <c r="B131" s="14"/>
      <c r="C131" s="15">
        <f t="shared" si="12"/>
        <v>154263</v>
      </c>
      <c r="D131" s="15">
        <f>19406+726</f>
        <v>20132</v>
      </c>
      <c r="E131" s="15">
        <v>48291</v>
      </c>
      <c r="F131" s="15">
        <v>1343</v>
      </c>
      <c r="G131" s="152">
        <f>[5]Population!DQ367+[5]Population!DR367</f>
        <v>224029</v>
      </c>
      <c r="H131" s="59">
        <f>[5]Population!DS367+[5]Population!DT367</f>
        <v>60271</v>
      </c>
      <c r="I131" s="64">
        <f>Population!DP360</f>
        <v>115416</v>
      </c>
      <c r="J131" s="15">
        <f>Population!DR360</f>
        <v>15519</v>
      </c>
      <c r="K131" s="15">
        <f>Population!DO360+Population!DT360</f>
        <v>496473</v>
      </c>
      <c r="L131" s="15">
        <f>Population!DQ360</f>
        <v>14856</v>
      </c>
      <c r="M131" s="15">
        <f>Population!DS360</f>
        <v>128138</v>
      </c>
      <c r="N131" s="68">
        <f t="shared" si="6"/>
        <v>770402</v>
      </c>
      <c r="O131" s="63">
        <f>Population!DU360</f>
        <v>0</v>
      </c>
      <c r="P131" s="15">
        <f>Population!DV360</f>
        <v>0</v>
      </c>
      <c r="Q131" s="16">
        <v>0</v>
      </c>
      <c r="R131" s="88">
        <v>0</v>
      </c>
      <c r="S131" s="88">
        <f t="shared" si="7"/>
        <v>1054702</v>
      </c>
      <c r="T131" s="17">
        <f>Population!DZ360</f>
        <v>62716</v>
      </c>
      <c r="U131" s="153">
        <f>Population!G360+Population!H360+Population!I360+Population!J360+Population!K360+Population!N360</f>
        <v>70202</v>
      </c>
      <c r="V131" s="15">
        <f>[5]Population!G367</f>
        <v>1208</v>
      </c>
      <c r="W131" s="15">
        <v>0</v>
      </c>
      <c r="X131" s="89">
        <f t="shared" si="8"/>
        <v>134126</v>
      </c>
      <c r="Y131" s="65">
        <f t="shared" si="9"/>
        <v>1188828</v>
      </c>
    </row>
    <row r="132" spans="1:25" hidden="1" x14ac:dyDescent="0.25">
      <c r="A132" s="14">
        <v>43191</v>
      </c>
      <c r="B132" s="14"/>
      <c r="C132" s="15">
        <f t="shared" si="12"/>
        <v>153939</v>
      </c>
      <c r="D132" s="15">
        <f>19321+720</f>
        <v>20041</v>
      </c>
      <c r="E132" s="15">
        <v>48515</v>
      </c>
      <c r="F132" s="15">
        <v>1351</v>
      </c>
      <c r="G132" s="152">
        <f>[5]Population!DQ368+[5]Population!DR368</f>
        <v>223846</v>
      </c>
      <c r="H132" s="59">
        <f>[5]Population!DS368+[5]Population!DT368</f>
        <v>60549</v>
      </c>
      <c r="I132" s="64">
        <f>Population!DP361</f>
        <v>115691</v>
      </c>
      <c r="J132" s="15">
        <f>Population!DR361</f>
        <v>15531</v>
      </c>
      <c r="K132" s="15">
        <f>Population!DO361+Population!DT361</f>
        <v>499183</v>
      </c>
      <c r="L132" s="15">
        <f>Population!DQ361</f>
        <v>15204</v>
      </c>
      <c r="M132" s="15">
        <f>Population!DS361</f>
        <v>129706</v>
      </c>
      <c r="N132" s="68">
        <f t="shared" si="6"/>
        <v>775315</v>
      </c>
      <c r="O132" s="63">
        <f>Population!DU361</f>
        <v>0</v>
      </c>
      <c r="P132" s="15">
        <f>Population!DV361</f>
        <v>0</v>
      </c>
      <c r="Q132" s="16">
        <v>0</v>
      </c>
      <c r="R132" s="88">
        <v>0</v>
      </c>
      <c r="S132" s="88">
        <f t="shared" si="7"/>
        <v>1059710</v>
      </c>
      <c r="T132" s="17">
        <f>Population!DZ361</f>
        <v>63243</v>
      </c>
      <c r="U132" s="153">
        <f>Population!G361+Population!H361+Population!I361+Population!J361+Population!K361+Population!N361</f>
        <v>70392</v>
      </c>
      <c r="V132" s="15">
        <f>[5]Population!G368</f>
        <v>1206</v>
      </c>
      <c r="W132" s="15">
        <v>0</v>
      </c>
      <c r="X132" s="89">
        <f t="shared" si="8"/>
        <v>134841</v>
      </c>
      <c r="Y132" s="65">
        <f t="shared" si="9"/>
        <v>1194551</v>
      </c>
    </row>
    <row r="133" spans="1:25" hidden="1" x14ac:dyDescent="0.25">
      <c r="A133" s="14">
        <v>43221</v>
      </c>
      <c r="B133" s="14"/>
      <c r="C133" s="15">
        <f t="shared" si="12"/>
        <v>154025</v>
      </c>
      <c r="D133" s="15">
        <f>19427+713</f>
        <v>20140</v>
      </c>
      <c r="E133" s="15">
        <v>48867</v>
      </c>
      <c r="F133" s="15">
        <v>1326</v>
      </c>
      <c r="G133" s="152">
        <f>[5]Population!DQ369+[5]Population!DR369</f>
        <v>224358</v>
      </c>
      <c r="H133" s="59">
        <f>[5]Population!DS369+[5]Population!DT369</f>
        <v>60984</v>
      </c>
      <c r="I133" s="64">
        <f>Population!DP362</f>
        <v>115897</v>
      </c>
      <c r="J133" s="15">
        <f>Population!DR362</f>
        <v>15588</v>
      </c>
      <c r="K133" s="15">
        <f>Population!DO362+Population!DT362</f>
        <v>501833</v>
      </c>
      <c r="L133" s="15">
        <f>Population!DQ362</f>
        <v>15551</v>
      </c>
      <c r="M133" s="15">
        <f>Population!DS362</f>
        <v>131403</v>
      </c>
      <c r="N133" s="68">
        <f t="shared" si="6"/>
        <v>780272</v>
      </c>
      <c r="O133" s="63">
        <f>Population!DU362</f>
        <v>0</v>
      </c>
      <c r="P133" s="15">
        <f>Population!DV362</f>
        <v>0</v>
      </c>
      <c r="Q133" s="16">
        <v>0</v>
      </c>
      <c r="R133" s="88">
        <v>0</v>
      </c>
      <c r="S133" s="88">
        <f t="shared" si="7"/>
        <v>1065614</v>
      </c>
      <c r="T133" s="17">
        <f>Population!DZ362</f>
        <v>63633</v>
      </c>
      <c r="U133" s="153">
        <f>Population!G362+Population!H362+Population!I362+Population!J362+Population!K362+Population!N362</f>
        <v>70691</v>
      </c>
      <c r="V133" s="15">
        <f>[5]Population!G369</f>
        <v>1170</v>
      </c>
      <c r="W133" s="15">
        <v>0</v>
      </c>
      <c r="X133" s="89">
        <f t="shared" si="8"/>
        <v>135494</v>
      </c>
      <c r="Y133" s="65">
        <f t="shared" si="9"/>
        <v>1201108</v>
      </c>
    </row>
    <row r="134" spans="1:25" hidden="1" x14ac:dyDescent="0.25">
      <c r="A134" s="14">
        <v>43252</v>
      </c>
      <c r="B134" s="14"/>
      <c r="C134" s="15">
        <f t="shared" si="12"/>
        <v>154095</v>
      </c>
      <c r="D134" s="15">
        <f>19472+665</f>
        <v>20137</v>
      </c>
      <c r="E134" s="15">
        <v>49184</v>
      </c>
      <c r="F134" s="15">
        <v>1329</v>
      </c>
      <c r="G134" s="152">
        <f>[5]Population!DQ370+[5]Population!DR370</f>
        <v>224745</v>
      </c>
      <c r="H134" s="59">
        <f>[5]Population!DS370+[5]Population!DT370</f>
        <v>61329</v>
      </c>
      <c r="I134" s="64">
        <f>Population!DP363</f>
        <v>115987</v>
      </c>
      <c r="J134" s="15">
        <f>Population!DR363</f>
        <v>15852</v>
      </c>
      <c r="K134" s="15">
        <f>Population!DO363+Population!DT363</f>
        <v>503581</v>
      </c>
      <c r="L134" s="15">
        <f>Population!DQ363</f>
        <v>15975</v>
      </c>
      <c r="M134" s="15">
        <f>Population!DS363</f>
        <v>132576</v>
      </c>
      <c r="N134" s="68">
        <f t="shared" si="6"/>
        <v>783971</v>
      </c>
      <c r="O134" s="63">
        <f>Population!DU363</f>
        <v>0</v>
      </c>
      <c r="P134" s="15">
        <f>Population!DV363</f>
        <v>0</v>
      </c>
      <c r="Q134" s="16">
        <v>0</v>
      </c>
      <c r="R134" s="88">
        <v>0</v>
      </c>
      <c r="S134" s="88">
        <f t="shared" si="7"/>
        <v>1070045</v>
      </c>
      <c r="T134" s="17">
        <f>Population!DZ363</f>
        <v>63976</v>
      </c>
      <c r="U134" s="153">
        <f>Population!G363+Population!H363+Population!I363+Population!J363+Population!K363+Population!N363</f>
        <v>71140</v>
      </c>
      <c r="V134" s="15">
        <f>[5]Population!G370</f>
        <v>1162</v>
      </c>
      <c r="W134" s="15">
        <v>0</v>
      </c>
      <c r="X134" s="89">
        <f t="shared" si="8"/>
        <v>136278</v>
      </c>
      <c r="Y134" s="65">
        <f t="shared" si="9"/>
        <v>1206323</v>
      </c>
    </row>
    <row r="135" spans="1:25" hidden="1" x14ac:dyDescent="0.25">
      <c r="A135" s="14"/>
      <c r="B135" s="14"/>
      <c r="C135" s="66"/>
      <c r="D135" s="15"/>
      <c r="E135" s="15"/>
      <c r="F135" s="15"/>
      <c r="G135" s="69"/>
      <c r="H135" s="59"/>
      <c r="I135" s="64"/>
      <c r="J135" s="15"/>
      <c r="K135" s="15"/>
      <c r="L135" s="15"/>
      <c r="M135" s="15"/>
      <c r="N135" s="68"/>
      <c r="O135" s="63"/>
      <c r="P135" s="15"/>
      <c r="Q135" s="16"/>
      <c r="R135" s="88"/>
      <c r="S135" s="88"/>
      <c r="T135" s="17"/>
      <c r="U135" s="153"/>
      <c r="V135" s="67"/>
      <c r="W135" s="15"/>
      <c r="X135" s="89"/>
      <c r="Y135" s="65"/>
    </row>
    <row r="136" spans="1:25" hidden="1" x14ac:dyDescent="0.25">
      <c r="A136" s="14">
        <v>43282</v>
      </c>
      <c r="B136" s="14"/>
      <c r="C136" s="66">
        <f>G136-D136-E136-F136</f>
        <v>153727</v>
      </c>
      <c r="D136" s="15">
        <f>19433+584</f>
        <v>20017</v>
      </c>
      <c r="E136" s="15">
        <v>49345</v>
      </c>
      <c r="F136" s="15">
        <v>1325</v>
      </c>
      <c r="G136" s="69">
        <f>Population!DK364+Population!DL364</f>
        <v>224414</v>
      </c>
      <c r="H136" s="59">
        <f>Population!DM364+Population!DN364</f>
        <v>61585</v>
      </c>
      <c r="I136" s="64">
        <f>Population!DP364</f>
        <v>115630</v>
      </c>
      <c r="J136" s="15">
        <f>Population!DR364</f>
        <v>15901</v>
      </c>
      <c r="K136" s="15">
        <f>Population!DO364+Population!DT364</f>
        <v>503959</v>
      </c>
      <c r="L136" s="15">
        <f>Population!DQ364</f>
        <v>16241</v>
      </c>
      <c r="M136" s="15">
        <f>Population!DS364</f>
        <v>133602</v>
      </c>
      <c r="N136" s="68">
        <f t="shared" ref="N136:N199" si="13">SUM(I136:M136)</f>
        <v>785333</v>
      </c>
      <c r="O136" s="63">
        <f>Population!DU364</f>
        <v>0</v>
      </c>
      <c r="P136" s="15">
        <f>Population!DV364</f>
        <v>0</v>
      </c>
      <c r="Q136" s="16"/>
      <c r="R136" s="88">
        <v>0</v>
      </c>
      <c r="S136" s="88">
        <f t="shared" ref="S136:S199" si="14">G136+N136+R136+H136</f>
        <v>1071332</v>
      </c>
      <c r="T136" s="17">
        <f>Population!DZ364</f>
        <v>63813</v>
      </c>
      <c r="U136" s="153">
        <f>Population!G364+Population!H364+Population!I364+Population!J364+Population!K364+Population!N364</f>
        <v>70858</v>
      </c>
      <c r="V136" s="15">
        <f>[5]Population!G371</f>
        <v>1166</v>
      </c>
      <c r="W136" s="15">
        <v>0</v>
      </c>
      <c r="X136" s="89">
        <f t="shared" ref="X136:X199" si="15">SUM(T136:W136)</f>
        <v>135837</v>
      </c>
      <c r="Y136" s="65">
        <f t="shared" ref="Y136:Y199" si="16">S136+X136</f>
        <v>1207169</v>
      </c>
    </row>
    <row r="137" spans="1:25" hidden="1" x14ac:dyDescent="0.25">
      <c r="A137" s="14">
        <v>43313</v>
      </c>
      <c r="B137" s="14"/>
      <c r="C137" s="66">
        <f t="shared" ref="C137:C147" si="17">G137-D137-E137-F137</f>
        <v>153507</v>
      </c>
      <c r="D137" s="15">
        <f>19253+688</f>
        <v>19941</v>
      </c>
      <c r="E137" s="15">
        <v>49667</v>
      </c>
      <c r="F137" s="15">
        <v>1343</v>
      </c>
      <c r="G137" s="69">
        <f>Population!DK365+Population!DL365</f>
        <v>224458</v>
      </c>
      <c r="H137" s="59">
        <f>Population!DM365+Population!DN365</f>
        <v>61604</v>
      </c>
      <c r="I137" s="64">
        <f>Population!DP365</f>
        <v>115734</v>
      </c>
      <c r="J137" s="15">
        <f>Population!DR365</f>
        <v>15851</v>
      </c>
      <c r="K137" s="15">
        <f>Population!DO365+Population!DT365</f>
        <v>503201</v>
      </c>
      <c r="L137" s="15">
        <f>Population!DQ365</f>
        <v>16464</v>
      </c>
      <c r="M137" s="15">
        <f>Population!DS365</f>
        <v>133612</v>
      </c>
      <c r="N137" s="68">
        <f t="shared" si="13"/>
        <v>784862</v>
      </c>
      <c r="O137" s="63">
        <f>Population!DU365</f>
        <v>0</v>
      </c>
      <c r="P137" s="15">
        <f>Population!DV365</f>
        <v>0</v>
      </c>
      <c r="Q137" s="16"/>
      <c r="R137" s="88">
        <v>0</v>
      </c>
      <c r="S137" s="88">
        <f t="shared" si="14"/>
        <v>1070924</v>
      </c>
      <c r="T137" s="17">
        <f>Population!DZ365</f>
        <v>63529</v>
      </c>
      <c r="U137" s="153">
        <f>Population!G365+Population!H365+Population!I365+Population!J365+Population!K365+Population!N365</f>
        <v>70315</v>
      </c>
      <c r="V137" s="15">
        <f>[5]Population!G372</f>
        <v>1157</v>
      </c>
      <c r="W137" s="15">
        <v>0</v>
      </c>
      <c r="X137" s="89">
        <f t="shared" si="15"/>
        <v>135001</v>
      </c>
      <c r="Y137" s="65">
        <f t="shared" si="16"/>
        <v>1205925</v>
      </c>
    </row>
    <row r="138" spans="1:25" hidden="1" x14ac:dyDescent="0.25">
      <c r="A138" s="14">
        <v>43344</v>
      </c>
      <c r="B138" s="14"/>
      <c r="C138" s="66">
        <f t="shared" si="17"/>
        <v>153441</v>
      </c>
      <c r="D138" s="15">
        <f>19222+668</f>
        <v>19890</v>
      </c>
      <c r="E138" s="15">
        <v>49747</v>
      </c>
      <c r="F138" s="15">
        <v>1326</v>
      </c>
      <c r="G138" s="69">
        <f>Population!DK366+Population!DL366</f>
        <v>224404</v>
      </c>
      <c r="H138" s="59">
        <f>Population!DM366+Population!DN366</f>
        <v>61822</v>
      </c>
      <c r="I138" s="64">
        <f>Population!DP366</f>
        <v>115908</v>
      </c>
      <c r="J138" s="15">
        <f>Population!DR366</f>
        <v>16042</v>
      </c>
      <c r="K138" s="15">
        <f>Population!DO366+Population!DT366</f>
        <v>503591</v>
      </c>
      <c r="L138" s="15">
        <f>Population!DQ366</f>
        <v>16813</v>
      </c>
      <c r="M138" s="15">
        <f>Population!DS366</f>
        <v>134934</v>
      </c>
      <c r="N138" s="68">
        <f t="shared" si="13"/>
        <v>787288</v>
      </c>
      <c r="O138" s="63">
        <f>Population!DU366</f>
        <v>0</v>
      </c>
      <c r="P138" s="15">
        <f>Population!DV366</f>
        <v>0</v>
      </c>
      <c r="Q138" s="16"/>
      <c r="R138" s="88">
        <v>0</v>
      </c>
      <c r="S138" s="88">
        <f t="shared" si="14"/>
        <v>1073514</v>
      </c>
      <c r="T138" s="17">
        <f>Population!DZ366</f>
        <v>63299</v>
      </c>
      <c r="U138" s="153">
        <f>Population!G366+Population!H366+Population!I366+Population!J366+Population!K366+Population!N366</f>
        <v>70393</v>
      </c>
      <c r="V138" s="15">
        <f>[5]Population!G373</f>
        <v>1140</v>
      </c>
      <c r="W138" s="15">
        <v>0</v>
      </c>
      <c r="X138" s="89">
        <f t="shared" si="15"/>
        <v>134832</v>
      </c>
      <c r="Y138" s="65">
        <f t="shared" si="16"/>
        <v>1208346</v>
      </c>
    </row>
    <row r="139" spans="1:25" hidden="1" x14ac:dyDescent="0.25">
      <c r="A139" s="14">
        <v>43374</v>
      </c>
      <c r="B139" s="14"/>
      <c r="C139" s="66">
        <f t="shared" si="17"/>
        <v>153824</v>
      </c>
      <c r="D139" s="15">
        <f>19147+548</f>
        <v>19695</v>
      </c>
      <c r="E139" s="15">
        <v>49094</v>
      </c>
      <c r="F139" s="15">
        <v>1324</v>
      </c>
      <c r="G139" s="69">
        <f>Population!DK367+Population!DL367</f>
        <v>223937</v>
      </c>
      <c r="H139" s="59">
        <f>Population!DM367+Population!DN367</f>
        <v>61621</v>
      </c>
      <c r="I139" s="64">
        <f>Population!DP367</f>
        <v>116026</v>
      </c>
      <c r="J139" s="15">
        <f>Population!DR367</f>
        <v>15660</v>
      </c>
      <c r="K139" s="15">
        <f>Population!DO367+Population!DT367</f>
        <v>503829</v>
      </c>
      <c r="L139" s="15">
        <f>Population!DQ367</f>
        <v>17170</v>
      </c>
      <c r="M139" s="15">
        <f>Population!DS367</f>
        <v>136074</v>
      </c>
      <c r="N139" s="68">
        <f t="shared" si="13"/>
        <v>788759</v>
      </c>
      <c r="O139" s="63">
        <f>Population!DU367</f>
        <v>0</v>
      </c>
      <c r="P139" s="15">
        <f>Population!DV367</f>
        <v>0</v>
      </c>
      <c r="Q139" s="16"/>
      <c r="R139" s="88">
        <v>0</v>
      </c>
      <c r="S139" s="88">
        <f t="shared" si="14"/>
        <v>1074317</v>
      </c>
      <c r="T139" s="17">
        <f>Population!DZ367</f>
        <v>63391</v>
      </c>
      <c r="U139" s="153">
        <f>Population!G367+Population!H367+Population!I367+Population!J367+Population!K367+Population!N367</f>
        <v>70459</v>
      </c>
      <c r="V139" s="15">
        <f>[5]Population!G374</f>
        <v>1139</v>
      </c>
      <c r="W139" s="15">
        <v>0</v>
      </c>
      <c r="X139" s="89">
        <f t="shared" si="15"/>
        <v>134989</v>
      </c>
      <c r="Y139" s="65">
        <f t="shared" si="16"/>
        <v>1209306</v>
      </c>
    </row>
    <row r="140" spans="1:25" hidden="1" x14ac:dyDescent="0.25">
      <c r="A140" s="14">
        <v>43405</v>
      </c>
      <c r="B140" s="14"/>
      <c r="C140" s="66">
        <f t="shared" si="17"/>
        <v>154124</v>
      </c>
      <c r="D140" s="15">
        <f>19203+647</f>
        <v>19850</v>
      </c>
      <c r="E140" s="15">
        <v>49130</v>
      </c>
      <c r="F140" s="15">
        <v>1220</v>
      </c>
      <c r="G140" s="69">
        <f>Population!DK368+Population!DL368</f>
        <v>224324</v>
      </c>
      <c r="H140" s="59">
        <f>Population!DM368+Population!DN368</f>
        <v>61850</v>
      </c>
      <c r="I140" s="64">
        <f>Population!DP368</f>
        <v>116709</v>
      </c>
      <c r="J140" s="15">
        <f>Population!DR368</f>
        <v>15412</v>
      </c>
      <c r="K140" s="15">
        <f>Population!DO368+Population!DT368</f>
        <v>504720</v>
      </c>
      <c r="L140" s="15">
        <f>Population!DQ368</f>
        <v>17781</v>
      </c>
      <c r="M140" s="15">
        <f>Population!DS368</f>
        <v>138145</v>
      </c>
      <c r="N140" s="68">
        <f t="shared" si="13"/>
        <v>792767</v>
      </c>
      <c r="O140" s="63">
        <f>Population!DU368</f>
        <v>0</v>
      </c>
      <c r="P140" s="15">
        <f>Population!DV368</f>
        <v>0</v>
      </c>
      <c r="Q140" s="16"/>
      <c r="R140" s="88">
        <v>0</v>
      </c>
      <c r="S140" s="88">
        <f t="shared" si="14"/>
        <v>1078941</v>
      </c>
      <c r="T140" s="17">
        <f>Population!DZ368</f>
        <v>63746</v>
      </c>
      <c r="U140" s="153">
        <f>Population!G368+Population!H368+Population!I368+Population!J368+Population!K368+Population!N368</f>
        <v>70412</v>
      </c>
      <c r="V140" s="15">
        <f>[5]Population!G375</f>
        <v>1124</v>
      </c>
      <c r="W140" s="15">
        <v>0</v>
      </c>
      <c r="X140" s="89">
        <f t="shared" si="15"/>
        <v>135282</v>
      </c>
      <c r="Y140" s="65">
        <f t="shared" si="16"/>
        <v>1214223</v>
      </c>
    </row>
    <row r="141" spans="1:25" hidden="1" x14ac:dyDescent="0.25">
      <c r="A141" s="14">
        <v>43435</v>
      </c>
      <c r="B141" s="14"/>
      <c r="C141" s="66">
        <f t="shared" si="17"/>
        <v>153580</v>
      </c>
      <c r="D141" s="15">
        <f>19350+642</f>
        <v>19992</v>
      </c>
      <c r="E141" s="15">
        <v>49430</v>
      </c>
      <c r="F141" s="15">
        <v>1191</v>
      </c>
      <c r="G141" s="69">
        <f>Population!DK369+Population!DL369</f>
        <v>224193</v>
      </c>
      <c r="H141" s="59">
        <f>Population!DM369+Population!DN369</f>
        <v>62028</v>
      </c>
      <c r="I141" s="64">
        <f>Population!DP369</f>
        <v>117174</v>
      </c>
      <c r="J141" s="15">
        <f>Population!DR369</f>
        <v>15200</v>
      </c>
      <c r="K141" s="15">
        <f>Population!DO369+Population!DT369</f>
        <v>504963</v>
      </c>
      <c r="L141" s="15">
        <f>Population!DQ369</f>
        <v>17999</v>
      </c>
      <c r="M141" s="15">
        <f>Population!DS369</f>
        <v>141391</v>
      </c>
      <c r="N141" s="68">
        <f t="shared" si="13"/>
        <v>796727</v>
      </c>
      <c r="O141" s="63">
        <f>Population!DU369</f>
        <v>0</v>
      </c>
      <c r="P141" s="15">
        <f>Population!DV369</f>
        <v>0</v>
      </c>
      <c r="Q141" s="16"/>
      <c r="R141" s="88">
        <v>0</v>
      </c>
      <c r="S141" s="88">
        <f t="shared" si="14"/>
        <v>1082948</v>
      </c>
      <c r="T141" s="17">
        <f>Population!DZ369</f>
        <v>64008</v>
      </c>
      <c r="U141" s="153">
        <f>Population!G369+Population!H369+Population!I369+Population!J369+Population!K369+Population!N369</f>
        <v>70995</v>
      </c>
      <c r="V141" s="15">
        <f>[5]Population!G376</f>
        <v>1115</v>
      </c>
      <c r="W141" s="15">
        <v>0</v>
      </c>
      <c r="X141" s="89">
        <f t="shared" si="15"/>
        <v>136118</v>
      </c>
      <c r="Y141" s="65">
        <f t="shared" si="16"/>
        <v>1219066</v>
      </c>
    </row>
    <row r="142" spans="1:25" hidden="1" x14ac:dyDescent="0.25">
      <c r="A142" s="14">
        <v>43466</v>
      </c>
      <c r="B142" s="14"/>
      <c r="C142" s="66">
        <f t="shared" si="17"/>
        <v>155633</v>
      </c>
      <c r="D142" s="15">
        <f>17649+636</f>
        <v>18285</v>
      </c>
      <c r="E142" s="15">
        <v>47770</v>
      </c>
      <c r="F142" s="15">
        <v>1116</v>
      </c>
      <c r="G142" s="69">
        <f>Population!DK370+Population!DL370</f>
        <v>222804</v>
      </c>
      <c r="H142" s="59">
        <f>Population!DM370+Population!DN370</f>
        <v>61557</v>
      </c>
      <c r="I142" s="64">
        <f>Population!DP370</f>
        <v>112146</v>
      </c>
      <c r="J142" s="15">
        <f>Population!DR370</f>
        <v>14784</v>
      </c>
      <c r="K142" s="15">
        <f>Population!DO370+Population!DT370</f>
        <v>505927</v>
      </c>
      <c r="L142" s="15">
        <f>Population!DQ370</f>
        <v>1033</v>
      </c>
      <c r="M142" s="15">
        <f>Population!DS370</f>
        <v>41371</v>
      </c>
      <c r="N142" s="68">
        <f t="shared" si="13"/>
        <v>675261</v>
      </c>
      <c r="O142" s="63">
        <f>Population!DU370</f>
        <v>75210</v>
      </c>
      <c r="P142" s="15">
        <f>Population!DV370</f>
        <v>122535</v>
      </c>
      <c r="Q142" s="15">
        <f>Population!DW370</f>
        <v>908</v>
      </c>
      <c r="R142" s="88">
        <f>SUM(O142:Q142)</f>
        <v>198653</v>
      </c>
      <c r="S142" s="88">
        <f t="shared" si="14"/>
        <v>1158275</v>
      </c>
      <c r="T142" s="17">
        <f>Population!DZ370</f>
        <v>65088</v>
      </c>
      <c r="U142" s="153">
        <f>Population!G370+Population!H370+Population!I370+Population!J370+Population!K370+Population!N370</f>
        <v>72457</v>
      </c>
      <c r="V142" s="15">
        <f>[5]Population!G377</f>
        <v>1171</v>
      </c>
      <c r="W142" s="15">
        <v>0</v>
      </c>
      <c r="X142" s="89">
        <f t="shared" si="15"/>
        <v>138716</v>
      </c>
      <c r="Y142" s="65">
        <f t="shared" si="16"/>
        <v>1296991</v>
      </c>
    </row>
    <row r="143" spans="1:25" hidden="1" x14ac:dyDescent="0.25">
      <c r="A143" s="14">
        <v>43497</v>
      </c>
      <c r="B143" s="14"/>
      <c r="C143" s="66">
        <f t="shared" si="17"/>
        <v>153401</v>
      </c>
      <c r="D143" s="15">
        <f>18750+627</f>
        <v>19377</v>
      </c>
      <c r="E143" s="15">
        <v>48939</v>
      </c>
      <c r="F143" s="15">
        <v>1168</v>
      </c>
      <c r="G143" s="69">
        <f>Population!DK371+Population!DL371</f>
        <v>222885</v>
      </c>
      <c r="H143" s="59">
        <f>Population!DM371+Population!DN371</f>
        <v>62056</v>
      </c>
      <c r="I143" s="64">
        <f>Population!DP371</f>
        <v>110438</v>
      </c>
      <c r="J143" s="15">
        <f>Population!DR371</f>
        <v>14804</v>
      </c>
      <c r="K143" s="15">
        <f>Population!DO371+Population!DT371</f>
        <v>508153</v>
      </c>
      <c r="L143" s="15">
        <f>Population!DQ371</f>
        <v>1070</v>
      </c>
      <c r="M143" s="15">
        <f>Population!DS371</f>
        <v>41375</v>
      </c>
      <c r="N143" s="68">
        <f t="shared" si="13"/>
        <v>675840</v>
      </c>
      <c r="O143" s="63">
        <f>Population!DU371</f>
        <v>82626</v>
      </c>
      <c r="P143" s="15">
        <f>Population!DV371</f>
        <v>136603</v>
      </c>
      <c r="Q143" s="15">
        <f>Population!DW371</f>
        <v>1351</v>
      </c>
      <c r="R143" s="88">
        <f t="shared" ref="R143:R206" si="18">SUM(O143:Q143)</f>
        <v>220580</v>
      </c>
      <c r="S143" s="88">
        <f t="shared" si="14"/>
        <v>1181361</v>
      </c>
      <c r="T143" s="17">
        <f>Population!DZ371</f>
        <v>65522</v>
      </c>
      <c r="U143" s="153">
        <f>Population!G371+Population!H371+Population!I371+Population!J371+Population!K371+Population!N371</f>
        <v>72502</v>
      </c>
      <c r="V143" s="15">
        <f>[5]Population!G378</f>
        <v>1267</v>
      </c>
      <c r="W143" s="15">
        <v>0</v>
      </c>
      <c r="X143" s="89">
        <f t="shared" si="15"/>
        <v>139291</v>
      </c>
      <c r="Y143" s="65">
        <f t="shared" si="16"/>
        <v>1320652</v>
      </c>
    </row>
    <row r="144" spans="1:25" hidden="1" x14ac:dyDescent="0.25">
      <c r="A144" s="14">
        <v>43525</v>
      </c>
      <c r="B144" s="14"/>
      <c r="C144" s="66">
        <f t="shared" si="17"/>
        <v>152951</v>
      </c>
      <c r="D144" s="15">
        <f>18895+631</f>
        <v>19526</v>
      </c>
      <c r="E144" s="15">
        <v>48832</v>
      </c>
      <c r="F144" s="15">
        <v>1180</v>
      </c>
      <c r="G144" s="69">
        <f>Population!DK372+Population!DL372</f>
        <v>222489</v>
      </c>
      <c r="H144" s="59">
        <f>Population!DM372+Population!DN372</f>
        <v>62311</v>
      </c>
      <c r="I144" s="64">
        <f>Population!DP372</f>
        <v>108523</v>
      </c>
      <c r="J144" s="15">
        <f>Population!DR372</f>
        <v>14461</v>
      </c>
      <c r="K144" s="15">
        <f>Population!DO372+Population!DT372</f>
        <v>508063</v>
      </c>
      <c r="L144" s="15">
        <f>Population!DQ372</f>
        <v>1098</v>
      </c>
      <c r="M144" s="15">
        <f>Population!DS372</f>
        <v>40999</v>
      </c>
      <c r="N144" s="68">
        <f t="shared" si="13"/>
        <v>673144</v>
      </c>
      <c r="O144" s="63">
        <f>Population!DU372</f>
        <v>87295</v>
      </c>
      <c r="P144" s="15">
        <f>Population!DV372</f>
        <v>148060</v>
      </c>
      <c r="Q144" s="15">
        <f>Population!DW372</f>
        <v>1810</v>
      </c>
      <c r="R144" s="88">
        <f t="shared" si="18"/>
        <v>237165</v>
      </c>
      <c r="S144" s="88">
        <f t="shared" si="14"/>
        <v>1195109</v>
      </c>
      <c r="T144" s="17">
        <f>Population!DZ372</f>
        <v>65369</v>
      </c>
      <c r="U144" s="153">
        <f>Population!G372+Population!H372+Population!I372+Population!J372+Population!K372+Population!N372</f>
        <v>71984</v>
      </c>
      <c r="V144" s="15">
        <f>[5]Population!G379</f>
        <v>1305</v>
      </c>
      <c r="W144" s="15">
        <v>0</v>
      </c>
      <c r="X144" s="89">
        <f t="shared" si="15"/>
        <v>138658</v>
      </c>
      <c r="Y144" s="65">
        <f t="shared" si="16"/>
        <v>1333767</v>
      </c>
    </row>
    <row r="145" spans="1:25" hidden="1" x14ac:dyDescent="0.25">
      <c r="A145" s="14">
        <v>43556</v>
      </c>
      <c r="B145" s="14"/>
      <c r="C145" s="66">
        <f t="shared" si="17"/>
        <v>152909</v>
      </c>
      <c r="D145" s="15">
        <f>18938+663</f>
        <v>19601</v>
      </c>
      <c r="E145" s="15">
        <v>49033</v>
      </c>
      <c r="F145" s="15">
        <v>1182</v>
      </c>
      <c r="G145" s="69">
        <f>Population!DK373+Population!DL373</f>
        <v>222725</v>
      </c>
      <c r="H145" s="59">
        <f>Population!DM373+Population!DN373</f>
        <v>62872</v>
      </c>
      <c r="I145" s="64">
        <f>Population!DP373</f>
        <v>107765</v>
      </c>
      <c r="J145" s="15">
        <f>Population!DR373</f>
        <v>14295</v>
      </c>
      <c r="K145" s="15">
        <f>Population!DO373+Population!DT373</f>
        <v>510094</v>
      </c>
      <c r="L145" s="15">
        <f>Population!DQ373</f>
        <v>1031</v>
      </c>
      <c r="M145" s="15">
        <f>Population!DS373</f>
        <v>40909</v>
      </c>
      <c r="N145" s="68">
        <f t="shared" si="13"/>
        <v>674094</v>
      </c>
      <c r="O145" s="63">
        <f>Population!DU373</f>
        <v>91561</v>
      </c>
      <c r="P145" s="15">
        <f>Population!DV373</f>
        <v>161829</v>
      </c>
      <c r="Q145" s="15">
        <f>Population!DW373</f>
        <v>2202</v>
      </c>
      <c r="R145" s="88">
        <f t="shared" si="18"/>
        <v>255592</v>
      </c>
      <c r="S145" s="88">
        <f t="shared" si="14"/>
        <v>1215283</v>
      </c>
      <c r="T145" s="17">
        <f>Population!DZ373</f>
        <v>65666</v>
      </c>
      <c r="U145" s="153">
        <f>Population!G373+Population!H373+Population!I373+Population!J373+Population!K373+Population!N373</f>
        <v>71649</v>
      </c>
      <c r="V145" s="15">
        <f>[5]Population!G380</f>
        <v>1269</v>
      </c>
      <c r="W145" s="15">
        <v>0</v>
      </c>
      <c r="X145" s="89">
        <f t="shared" si="15"/>
        <v>138584</v>
      </c>
      <c r="Y145" s="65">
        <f t="shared" si="16"/>
        <v>1353867</v>
      </c>
    </row>
    <row r="146" spans="1:25" hidden="1" x14ac:dyDescent="0.25">
      <c r="A146" s="14">
        <v>43586</v>
      </c>
      <c r="B146" s="14"/>
      <c r="C146" s="94">
        <f t="shared" si="17"/>
        <v>152625</v>
      </c>
      <c r="D146" s="15">
        <f>19057+629</f>
        <v>19686</v>
      </c>
      <c r="E146" s="15">
        <v>49082</v>
      </c>
      <c r="F146" s="15">
        <v>1212</v>
      </c>
      <c r="G146" s="69">
        <f>Population!DK374+Population!DL374</f>
        <v>222605</v>
      </c>
      <c r="H146" s="59">
        <f>Population!DM374+Population!DN374</f>
        <v>63253</v>
      </c>
      <c r="I146" s="64">
        <f>Population!DP374</f>
        <v>106342</v>
      </c>
      <c r="J146" s="15">
        <f>Population!DR374</f>
        <v>14454</v>
      </c>
      <c r="K146" s="15">
        <f>Population!DO374+Population!DT374</f>
        <v>511563</v>
      </c>
      <c r="L146" s="15">
        <f>Population!DQ374</f>
        <v>1052</v>
      </c>
      <c r="M146" s="15">
        <f>Population!DS374</f>
        <v>41089</v>
      </c>
      <c r="N146" s="68">
        <f t="shared" si="13"/>
        <v>674500</v>
      </c>
      <c r="O146" s="63">
        <f>Population!DU374</f>
        <v>95804</v>
      </c>
      <c r="P146" s="15">
        <f>Population!DV374</f>
        <v>172387</v>
      </c>
      <c r="Q146" s="15">
        <f>Population!DW374</f>
        <v>2832</v>
      </c>
      <c r="R146" s="88">
        <f t="shared" si="18"/>
        <v>271023</v>
      </c>
      <c r="S146" s="88">
        <f t="shared" si="14"/>
        <v>1231381</v>
      </c>
      <c r="T146" s="17">
        <f>Population!DZ374</f>
        <v>65969</v>
      </c>
      <c r="U146" s="153">
        <f>Population!G374+Population!H374+Population!I374+Population!J374+Population!K374+Population!N374</f>
        <v>71937</v>
      </c>
      <c r="V146" s="15">
        <f>[5]Population!G381</f>
        <v>1278</v>
      </c>
      <c r="W146" s="15">
        <v>0</v>
      </c>
      <c r="X146" s="89">
        <f t="shared" si="15"/>
        <v>139184</v>
      </c>
      <c r="Y146" s="65">
        <f t="shared" si="16"/>
        <v>1370565</v>
      </c>
    </row>
    <row r="147" spans="1:25" hidden="1" x14ac:dyDescent="0.25">
      <c r="A147" s="14">
        <v>43617</v>
      </c>
      <c r="B147" s="14"/>
      <c r="C147" s="66">
        <f t="shared" si="17"/>
        <v>152069</v>
      </c>
      <c r="D147" s="15">
        <f>19323+606</f>
        <v>19929</v>
      </c>
      <c r="E147" s="15">
        <v>49562</v>
      </c>
      <c r="F147" s="15">
        <v>1247</v>
      </c>
      <c r="G147" s="69">
        <f>Population!DK375+Population!DL375</f>
        <v>222807</v>
      </c>
      <c r="H147" s="59">
        <f>Population!DM375+Population!DN375</f>
        <v>63840</v>
      </c>
      <c r="I147" s="64">
        <f>Population!DP375</f>
        <v>105663</v>
      </c>
      <c r="J147" s="15">
        <f>Population!DR375</f>
        <v>14474</v>
      </c>
      <c r="K147" s="15">
        <f>Population!DO375+Population!DT375</f>
        <v>513684</v>
      </c>
      <c r="L147" s="15">
        <f>Population!DQ375</f>
        <v>1061</v>
      </c>
      <c r="M147" s="15">
        <f>Population!DS375</f>
        <v>41289</v>
      </c>
      <c r="N147" s="68">
        <f t="shared" si="13"/>
        <v>676171</v>
      </c>
      <c r="O147" s="63">
        <f>Population!DU375</f>
        <v>99250</v>
      </c>
      <c r="P147" s="15">
        <f>Population!DV375</f>
        <v>181540</v>
      </c>
      <c r="Q147" s="15">
        <f>Population!DW375</f>
        <v>3676</v>
      </c>
      <c r="R147" s="88">
        <f t="shared" si="18"/>
        <v>284466</v>
      </c>
      <c r="S147" s="88">
        <f t="shared" si="14"/>
        <v>1247284</v>
      </c>
      <c r="T147" s="17">
        <f>Population!DZ375</f>
        <v>66297</v>
      </c>
      <c r="U147" s="153">
        <f>Population!G375+Population!H375+Population!I375+Population!J375+Population!K375+Population!N375</f>
        <v>71936</v>
      </c>
      <c r="V147" s="15">
        <f>[5]Population!G382</f>
        <v>1293</v>
      </c>
      <c r="W147" s="15">
        <v>0</v>
      </c>
      <c r="X147" s="89">
        <f t="shared" si="15"/>
        <v>139526</v>
      </c>
      <c r="Y147" s="65">
        <f t="shared" si="16"/>
        <v>1386810</v>
      </c>
    </row>
    <row r="148" spans="1:25" s="117" customFormat="1" hidden="1" x14ac:dyDescent="0.25">
      <c r="A148" s="116"/>
      <c r="B148" s="116"/>
      <c r="C148" s="94"/>
      <c r="D148" s="47"/>
      <c r="E148" s="47"/>
      <c r="F148" s="47"/>
      <c r="G148" s="69"/>
      <c r="H148" s="59"/>
      <c r="I148" s="64"/>
      <c r="J148" s="15"/>
      <c r="K148" s="15"/>
      <c r="L148" s="15"/>
      <c r="M148" s="15"/>
      <c r="N148" s="68"/>
      <c r="O148" s="63"/>
      <c r="P148" s="15"/>
      <c r="Q148" s="15"/>
      <c r="R148" s="88"/>
      <c r="S148" s="88"/>
      <c r="T148" s="17"/>
      <c r="U148" s="153"/>
      <c r="V148" s="17"/>
      <c r="W148" s="15"/>
      <c r="X148" s="89"/>
      <c r="Y148" s="65"/>
    </row>
    <row r="149" spans="1:25" hidden="1" x14ac:dyDescent="0.25">
      <c r="A149" s="14">
        <v>43647</v>
      </c>
      <c r="B149" s="14"/>
      <c r="C149" s="66">
        <f t="shared" ref="C149:C159" si="19">G150-D149-E149-F149</f>
        <v>151387</v>
      </c>
      <c r="D149" s="15">
        <f>19360+623</f>
        <v>19983</v>
      </c>
      <c r="E149" s="15">
        <v>49689</v>
      </c>
      <c r="F149" s="15">
        <v>1249</v>
      </c>
      <c r="G149" s="69">
        <f>Population!DK376+Population!DL376</f>
        <v>222575</v>
      </c>
      <c r="H149" s="59">
        <f>Population!DM376+Population!DN376</f>
        <v>64017</v>
      </c>
      <c r="I149" s="64">
        <f>Population!DP376</f>
        <v>105055</v>
      </c>
      <c r="J149" s="15">
        <f>Population!DR376</f>
        <v>14270</v>
      </c>
      <c r="K149" s="15">
        <f>Population!DO376+Population!DT376</f>
        <v>513535</v>
      </c>
      <c r="L149" s="15">
        <f>Population!DQ376</f>
        <v>1099</v>
      </c>
      <c r="M149" s="15">
        <f>Population!DS376</f>
        <v>41514</v>
      </c>
      <c r="N149" s="68">
        <f t="shared" si="13"/>
        <v>675473</v>
      </c>
      <c r="O149" s="63">
        <f>Population!DU376</f>
        <v>101062</v>
      </c>
      <c r="P149" s="15">
        <f>Population!DV376</f>
        <v>188207</v>
      </c>
      <c r="Q149" s="15">
        <f>Population!DW376</f>
        <v>4296</v>
      </c>
      <c r="R149" s="88">
        <f t="shared" si="18"/>
        <v>293565</v>
      </c>
      <c r="S149" s="88">
        <f t="shared" si="14"/>
        <v>1255630</v>
      </c>
      <c r="T149" s="17">
        <f>Population!DZ376</f>
        <v>66477</v>
      </c>
      <c r="U149" s="153">
        <f>Population!G376+Population!H376+Population!I376+Population!J376+Population!K376+Population!N376</f>
        <v>72196</v>
      </c>
      <c r="V149" s="15">
        <f>[5]Population!G383</f>
        <v>1368</v>
      </c>
      <c r="W149" s="15">
        <v>0</v>
      </c>
      <c r="X149" s="89">
        <f t="shared" si="15"/>
        <v>140041</v>
      </c>
      <c r="Y149" s="65">
        <f t="shared" si="16"/>
        <v>1395671</v>
      </c>
    </row>
    <row r="150" spans="1:25" hidden="1" x14ac:dyDescent="0.25">
      <c r="A150" s="14">
        <v>43678</v>
      </c>
      <c r="B150" s="14"/>
      <c r="C150" s="66">
        <f t="shared" si="19"/>
        <v>151474</v>
      </c>
      <c r="D150" s="15">
        <f>19213+618</f>
        <v>19831</v>
      </c>
      <c r="E150" s="15">
        <v>49929</v>
      </c>
      <c r="F150" s="15">
        <v>1290</v>
      </c>
      <c r="G150" s="69">
        <f>Population!DK377+Population!DL377</f>
        <v>222308</v>
      </c>
      <c r="H150" s="59">
        <f>Population!DM377+Population!DN377</f>
        <v>64235</v>
      </c>
      <c r="I150" s="64">
        <f>Population!DP377</f>
        <v>105110</v>
      </c>
      <c r="J150" s="15">
        <f>Population!DR377</f>
        <v>14176</v>
      </c>
      <c r="K150" s="15">
        <f>Population!DO377+Population!DT377</f>
        <v>513577</v>
      </c>
      <c r="L150" s="15">
        <f>Population!DQ377</f>
        <v>1119</v>
      </c>
      <c r="M150" s="15">
        <f>Population!DS377</f>
        <v>41557</v>
      </c>
      <c r="N150" s="68">
        <f t="shared" si="13"/>
        <v>675539</v>
      </c>
      <c r="O150" s="63">
        <f>Population!DU377</f>
        <v>102847</v>
      </c>
      <c r="P150" s="15">
        <f>Population!DV377</f>
        <v>195753</v>
      </c>
      <c r="Q150" s="15">
        <f>Population!DW377</f>
        <v>4558</v>
      </c>
      <c r="R150" s="88">
        <f t="shared" si="18"/>
        <v>303158</v>
      </c>
      <c r="S150" s="88">
        <f t="shared" si="14"/>
        <v>1265240</v>
      </c>
      <c r="T150" s="17">
        <f>Population!DZ377</f>
        <v>66531</v>
      </c>
      <c r="U150" s="153">
        <f>Population!G377+Population!H377+Population!I377+Population!J377+Population!K377+Population!N377</f>
        <v>72648</v>
      </c>
      <c r="V150" s="15">
        <f>[5]Population!G384</f>
        <v>1413</v>
      </c>
      <c r="W150" s="15">
        <v>0</v>
      </c>
      <c r="X150" s="89">
        <f t="shared" si="15"/>
        <v>140592</v>
      </c>
      <c r="Y150" s="65">
        <f t="shared" si="16"/>
        <v>1405832</v>
      </c>
    </row>
    <row r="151" spans="1:25" hidden="1" x14ac:dyDescent="0.25">
      <c r="A151" s="14">
        <v>43709</v>
      </c>
      <c r="B151" s="14"/>
      <c r="C151" s="66">
        <f t="shared" si="19"/>
        <v>151190</v>
      </c>
      <c r="D151" s="15">
        <f>19234+615</f>
        <v>19849</v>
      </c>
      <c r="E151" s="15">
        <v>50306</v>
      </c>
      <c r="F151" s="15">
        <v>1295</v>
      </c>
      <c r="G151" s="69">
        <f>Population!DK378+Population!DL378</f>
        <v>222524</v>
      </c>
      <c r="H151" s="59">
        <f>Population!DM378+Population!DN378</f>
        <v>64459</v>
      </c>
      <c r="I151" s="64">
        <f>Population!DP378</f>
        <v>105496</v>
      </c>
      <c r="J151" s="15">
        <f>Population!DR378</f>
        <v>14588</v>
      </c>
      <c r="K151" s="15">
        <f>Population!DO378+Population!DT378</f>
        <v>513497</v>
      </c>
      <c r="L151" s="15">
        <f>Population!DQ378</f>
        <v>1048</v>
      </c>
      <c r="M151" s="15">
        <f>Population!DS378</f>
        <v>41635</v>
      </c>
      <c r="N151" s="68">
        <f t="shared" si="13"/>
        <v>676264</v>
      </c>
      <c r="O151" s="63">
        <f>Population!DU378</f>
        <v>104334</v>
      </c>
      <c r="P151" s="15">
        <f>Population!DV378</f>
        <v>202860</v>
      </c>
      <c r="Q151" s="15">
        <f>Population!DW378</f>
        <v>5432</v>
      </c>
      <c r="R151" s="88">
        <f t="shared" si="18"/>
        <v>312626</v>
      </c>
      <c r="S151" s="88">
        <f t="shared" si="14"/>
        <v>1275873</v>
      </c>
      <c r="T151" s="17">
        <f>Population!DZ378</f>
        <v>66658</v>
      </c>
      <c r="U151" s="153">
        <f>Population!G378+Population!H378+Population!I378+Population!J378+Population!K378+Population!N378</f>
        <v>73737</v>
      </c>
      <c r="V151" s="15">
        <f>[5]Population!G385</f>
        <v>1426</v>
      </c>
      <c r="W151" s="15">
        <v>0</v>
      </c>
      <c r="X151" s="89">
        <f t="shared" si="15"/>
        <v>141821</v>
      </c>
      <c r="Y151" s="65">
        <f t="shared" si="16"/>
        <v>1417694</v>
      </c>
    </row>
    <row r="152" spans="1:25" hidden="1" x14ac:dyDescent="0.25">
      <c r="A152" s="14">
        <v>43739</v>
      </c>
      <c r="B152" s="14"/>
      <c r="C152" s="66">
        <f t="shared" si="19"/>
        <v>150742</v>
      </c>
      <c r="D152" s="15">
        <f>19272+606</f>
        <v>19878</v>
      </c>
      <c r="E152" s="15">
        <v>50602</v>
      </c>
      <c r="F152" s="15">
        <v>1318</v>
      </c>
      <c r="G152" s="69">
        <f>Population!DK379+Population!DL379</f>
        <v>222640</v>
      </c>
      <c r="H152" s="59">
        <f>Population!DM379+Population!DN379</f>
        <v>64493</v>
      </c>
      <c r="I152" s="64">
        <f>Population!DP379</f>
        <v>106542</v>
      </c>
      <c r="J152" s="15">
        <f>Population!DR379</f>
        <v>13933</v>
      </c>
      <c r="K152" s="15">
        <f>Population!DO379+Population!DT379</f>
        <v>514274</v>
      </c>
      <c r="L152" s="15">
        <f>Population!DQ379</f>
        <v>1137</v>
      </c>
      <c r="M152" s="15">
        <f>Population!DS379</f>
        <v>42114</v>
      </c>
      <c r="N152" s="68">
        <f t="shared" si="13"/>
        <v>678000</v>
      </c>
      <c r="O152" s="63">
        <f>Population!DU379</f>
        <v>106476</v>
      </c>
      <c r="P152" s="15">
        <f>Population!DV379</f>
        <v>209514</v>
      </c>
      <c r="Q152" s="15">
        <f>Population!DW379</f>
        <v>7030</v>
      </c>
      <c r="R152" s="88">
        <f t="shared" si="18"/>
        <v>323020</v>
      </c>
      <c r="S152" s="88">
        <f t="shared" si="14"/>
        <v>1288153</v>
      </c>
      <c r="T152" s="17">
        <f>Population!DZ379</f>
        <v>67165</v>
      </c>
      <c r="U152" s="153">
        <f>Population!G379+Population!H379+Population!I379+Population!J379+Population!K379+Population!N379</f>
        <v>74393</v>
      </c>
      <c r="V152" s="15">
        <f>[5]Population!G386</f>
        <v>1456</v>
      </c>
      <c r="W152" s="15">
        <v>0</v>
      </c>
      <c r="X152" s="89">
        <f t="shared" si="15"/>
        <v>143014</v>
      </c>
      <c r="Y152" s="65">
        <f t="shared" si="16"/>
        <v>1431167</v>
      </c>
    </row>
    <row r="153" spans="1:25" hidden="1" x14ac:dyDescent="0.25">
      <c r="A153" s="14">
        <v>43770</v>
      </c>
      <c r="B153" s="14"/>
      <c r="C153" s="66">
        <f t="shared" si="19"/>
        <v>150536</v>
      </c>
      <c r="D153" s="15">
        <f>19316+610</f>
        <v>19926</v>
      </c>
      <c r="E153" s="15">
        <v>50780</v>
      </c>
      <c r="F153" s="15">
        <v>1327</v>
      </c>
      <c r="G153" s="69">
        <f>Population!DK380+Population!DL380</f>
        <v>222540</v>
      </c>
      <c r="H153" s="59">
        <f>Population!DM380+Population!DN380</f>
        <v>64803</v>
      </c>
      <c r="I153" s="64">
        <f>Population!DP380</f>
        <v>107149</v>
      </c>
      <c r="J153" s="15">
        <f>Population!DR380</f>
        <v>13671</v>
      </c>
      <c r="K153" s="15">
        <f>Population!DO380+Population!DT380</f>
        <v>515211</v>
      </c>
      <c r="L153" s="15">
        <f>Population!DQ380</f>
        <v>1284</v>
      </c>
      <c r="M153" s="15">
        <f>Population!DS380</f>
        <v>42963</v>
      </c>
      <c r="N153" s="68">
        <f t="shared" si="13"/>
        <v>680278</v>
      </c>
      <c r="O153" s="63">
        <f>Population!DU380</f>
        <v>107272</v>
      </c>
      <c r="P153" s="15">
        <f>Population!DV380</f>
        <v>210363</v>
      </c>
      <c r="Q153" s="15">
        <f>Population!DW380</f>
        <v>9235</v>
      </c>
      <c r="R153" s="88">
        <f t="shared" si="18"/>
        <v>326870</v>
      </c>
      <c r="S153" s="88">
        <f t="shared" si="14"/>
        <v>1294491</v>
      </c>
      <c r="T153" s="17">
        <f>Population!DZ380</f>
        <v>67404</v>
      </c>
      <c r="U153" s="153">
        <f>Population!G380+Population!H380+Population!I380+Population!J380+Population!K380+Population!N380</f>
        <v>74571</v>
      </c>
      <c r="V153" s="15">
        <f>[5]Population!G387</f>
        <v>1467</v>
      </c>
      <c r="W153" s="15">
        <v>0</v>
      </c>
      <c r="X153" s="89">
        <f t="shared" si="15"/>
        <v>143442</v>
      </c>
      <c r="Y153" s="65">
        <f t="shared" si="16"/>
        <v>1437933</v>
      </c>
    </row>
    <row r="154" spans="1:25" hidden="1" x14ac:dyDescent="0.25">
      <c r="A154" s="14">
        <v>43800</v>
      </c>
      <c r="B154" s="14"/>
      <c r="C154" s="66">
        <f t="shared" si="19"/>
        <v>149479</v>
      </c>
      <c r="D154" s="15">
        <f>19470+605</f>
        <v>20075</v>
      </c>
      <c r="E154" s="15">
        <v>51069</v>
      </c>
      <c r="F154" s="15">
        <v>1326</v>
      </c>
      <c r="G154" s="69">
        <f>Population!DK381+Population!DL381</f>
        <v>222569</v>
      </c>
      <c r="H154" s="59">
        <f>Population!DM381+Population!DN381</f>
        <v>64964</v>
      </c>
      <c r="I154" s="64">
        <f>Population!DP381</f>
        <v>107325</v>
      </c>
      <c r="J154" s="15">
        <f>Population!DR381</f>
        <v>13360</v>
      </c>
      <c r="K154" s="15">
        <f>Population!DO381+Population!DT381</f>
        <v>517140</v>
      </c>
      <c r="L154" s="15">
        <f>Population!DQ381</f>
        <v>1376</v>
      </c>
      <c r="M154" s="15">
        <f>Population!DS381</f>
        <v>43648</v>
      </c>
      <c r="N154" s="68">
        <f t="shared" si="13"/>
        <v>682849</v>
      </c>
      <c r="O154" s="63">
        <f>Population!DU381</f>
        <v>110918</v>
      </c>
      <c r="P154" s="15">
        <f>Population!DV381</f>
        <v>220727</v>
      </c>
      <c r="Q154" s="15">
        <f>Population!DW381</f>
        <v>11402</v>
      </c>
      <c r="R154" s="88">
        <f t="shared" si="18"/>
        <v>343047</v>
      </c>
      <c r="S154" s="88">
        <f t="shared" si="14"/>
        <v>1313429</v>
      </c>
      <c r="T154" s="17">
        <f>Population!DZ381</f>
        <v>70767</v>
      </c>
      <c r="U154" s="153">
        <f>Population!G381+Population!H381+Population!I381+Population!J381+Population!K381+Population!N381</f>
        <v>74315</v>
      </c>
      <c r="V154" s="15">
        <f>[5]Population!G388</f>
        <v>1466</v>
      </c>
      <c r="W154" s="15">
        <v>0</v>
      </c>
      <c r="X154" s="89">
        <f t="shared" si="15"/>
        <v>146548</v>
      </c>
      <c r="Y154" s="65">
        <f t="shared" si="16"/>
        <v>1459977</v>
      </c>
    </row>
    <row r="155" spans="1:25" hidden="1" x14ac:dyDescent="0.25">
      <c r="A155" s="14">
        <v>43831</v>
      </c>
      <c r="B155" s="14"/>
      <c r="C155" s="66">
        <f t="shared" si="19"/>
        <v>150895</v>
      </c>
      <c r="D155" s="15">
        <f>18732+593</f>
        <v>19325</v>
      </c>
      <c r="E155" s="15">
        <v>50000</v>
      </c>
      <c r="F155" s="15">
        <v>1252</v>
      </c>
      <c r="G155" s="69">
        <f>Population!DK382+Population!DL382</f>
        <v>221949</v>
      </c>
      <c r="H155" s="59">
        <f>Population!DM382+Population!DN382</f>
        <v>64820</v>
      </c>
      <c r="I155" s="64">
        <f>Population!DP382</f>
        <v>108002</v>
      </c>
      <c r="J155" s="15">
        <f>Population!DR382</f>
        <v>13158</v>
      </c>
      <c r="K155" s="15">
        <f>Population!DO382+Population!DT382</f>
        <v>521198</v>
      </c>
      <c r="L155" s="15">
        <f>Population!DQ382</f>
        <v>1484</v>
      </c>
      <c r="M155" s="15">
        <f>Population!DS382</f>
        <v>44140</v>
      </c>
      <c r="N155" s="68">
        <f t="shared" si="13"/>
        <v>687982</v>
      </c>
      <c r="O155" s="63">
        <f>Population!DU382</f>
        <v>116369</v>
      </c>
      <c r="P155" s="15">
        <f>Population!DV382</f>
        <v>241049</v>
      </c>
      <c r="Q155" s="15">
        <f>Population!DW382</f>
        <v>14680</v>
      </c>
      <c r="R155" s="88">
        <f t="shared" si="18"/>
        <v>372098</v>
      </c>
      <c r="S155" s="88">
        <f t="shared" si="14"/>
        <v>1346849</v>
      </c>
      <c r="T155" s="17">
        <f>Population!DZ382</f>
        <v>75187</v>
      </c>
      <c r="U155" s="153">
        <f>Population!G382+Population!H382+Population!I382+Population!J382+Population!K382+Population!N382</f>
        <v>74349</v>
      </c>
      <c r="V155" s="15">
        <f>[5]Population!G389</f>
        <v>1591</v>
      </c>
      <c r="W155" s="15">
        <v>0</v>
      </c>
      <c r="X155" s="89">
        <f t="shared" si="15"/>
        <v>151127</v>
      </c>
      <c r="Y155" s="65">
        <f t="shared" si="16"/>
        <v>1497976</v>
      </c>
    </row>
    <row r="156" spans="1:25" hidden="1" x14ac:dyDescent="0.25">
      <c r="A156" s="14">
        <v>43862</v>
      </c>
      <c r="B156" s="14"/>
      <c r="C156" s="66">
        <f t="shared" si="19"/>
        <v>149209</v>
      </c>
      <c r="D156" s="15">
        <f>19149+585</f>
        <v>19734</v>
      </c>
      <c r="E156" s="15">
        <v>51181</v>
      </c>
      <c r="F156" s="15">
        <v>1317</v>
      </c>
      <c r="G156" s="69">
        <f>Population!DK383+Population!DL383</f>
        <v>221472</v>
      </c>
      <c r="H156" s="59">
        <f>Population!DM383+Population!DN383</f>
        <v>64651</v>
      </c>
      <c r="I156" s="64">
        <f>Population!DP383</f>
        <v>107909</v>
      </c>
      <c r="J156" s="15">
        <f>Population!DR383</f>
        <v>13275</v>
      </c>
      <c r="K156" s="15">
        <f>Population!DO383+Population!DT383</f>
        <v>521131</v>
      </c>
      <c r="L156" s="15">
        <f>Population!DQ383</f>
        <v>1603</v>
      </c>
      <c r="M156" s="15">
        <f>Population!DS383</f>
        <v>45215</v>
      </c>
      <c r="N156" s="68">
        <f t="shared" si="13"/>
        <v>689133</v>
      </c>
      <c r="O156" s="63">
        <f>Population!DU383</f>
        <v>117421</v>
      </c>
      <c r="P156" s="15">
        <f>Population!DV383</f>
        <v>246301</v>
      </c>
      <c r="Q156" s="15">
        <f>Population!DW383</f>
        <v>18205</v>
      </c>
      <c r="R156" s="88">
        <f t="shared" si="18"/>
        <v>381927</v>
      </c>
      <c r="S156" s="88">
        <f t="shared" si="14"/>
        <v>1357183</v>
      </c>
      <c r="T156" s="17">
        <f>Population!DZ383</f>
        <v>75211</v>
      </c>
      <c r="U156" s="153">
        <f>Population!G383+Population!H383+Population!I383+Population!J383+Population!K383+Population!N383</f>
        <v>74943</v>
      </c>
      <c r="V156" s="15">
        <f>[5]Population!G390</f>
        <v>1719</v>
      </c>
      <c r="W156" s="15">
        <v>0</v>
      </c>
      <c r="X156" s="89">
        <f t="shared" si="15"/>
        <v>151873</v>
      </c>
      <c r="Y156" s="65">
        <f t="shared" si="16"/>
        <v>1509056</v>
      </c>
    </row>
    <row r="157" spans="1:25" hidden="1" x14ac:dyDescent="0.25">
      <c r="A157" s="14">
        <v>43891</v>
      </c>
      <c r="B157" s="14"/>
      <c r="C157" s="66">
        <f t="shared" si="19"/>
        <v>150150</v>
      </c>
      <c r="D157" s="15">
        <f>19269+572</f>
        <v>19841</v>
      </c>
      <c r="E157" s="15">
        <v>51199</v>
      </c>
      <c r="F157" s="15">
        <v>1306</v>
      </c>
      <c r="G157" s="69">
        <f>Population!DK384+Population!DL384</f>
        <v>221441</v>
      </c>
      <c r="H157" s="59">
        <f>Population!DM384+Population!DN384</f>
        <v>64416</v>
      </c>
      <c r="I157" s="64">
        <f>Population!DP384</f>
        <v>108369</v>
      </c>
      <c r="J157" s="15">
        <f>Population!DR384</f>
        <v>13168</v>
      </c>
      <c r="K157" s="15">
        <f>Population!DO384+Population!DT384</f>
        <v>521899</v>
      </c>
      <c r="L157" s="15">
        <f>Population!DQ384</f>
        <v>1632</v>
      </c>
      <c r="M157" s="15">
        <f>Population!DS384</f>
        <v>45893</v>
      </c>
      <c r="N157" s="68">
        <f t="shared" si="13"/>
        <v>690961</v>
      </c>
      <c r="O157" s="63">
        <f>Population!DU384</f>
        <v>117940</v>
      </c>
      <c r="P157" s="15">
        <f>Population!DV384</f>
        <v>250629</v>
      </c>
      <c r="Q157" s="15">
        <f>Population!DW384</f>
        <v>18420</v>
      </c>
      <c r="R157" s="88">
        <f t="shared" si="18"/>
        <v>386989</v>
      </c>
      <c r="S157" s="88">
        <f t="shared" si="14"/>
        <v>1363807</v>
      </c>
      <c r="T157" s="17">
        <f>Population!DZ384</f>
        <v>75329</v>
      </c>
      <c r="U157" s="153">
        <f>Population!G384+Population!H384+Population!I384+Population!J384+Population!K384+Population!N384</f>
        <v>75296</v>
      </c>
      <c r="V157" s="15">
        <f>[5]Population!G391</f>
        <v>1687</v>
      </c>
      <c r="W157" s="15">
        <v>0</v>
      </c>
      <c r="X157" s="89">
        <f t="shared" si="15"/>
        <v>152312</v>
      </c>
      <c r="Y157" s="65">
        <f t="shared" si="16"/>
        <v>1516119</v>
      </c>
    </row>
    <row r="158" spans="1:25" hidden="1" x14ac:dyDescent="0.25">
      <c r="A158" s="14">
        <v>43922</v>
      </c>
      <c r="B158" s="14"/>
      <c r="C158" s="66">
        <f t="shared" si="19"/>
        <v>154082</v>
      </c>
      <c r="D158" s="15">
        <f>19251+576</f>
        <v>19827</v>
      </c>
      <c r="E158" s="15">
        <v>51249</v>
      </c>
      <c r="F158" s="15">
        <v>1333</v>
      </c>
      <c r="G158" s="69">
        <f>Population!DK385+Population!DL385</f>
        <v>222496</v>
      </c>
      <c r="H158" s="59">
        <f>Population!DM385+Population!DN385</f>
        <v>64790</v>
      </c>
      <c r="I158" s="64">
        <f>Population!DP385</f>
        <v>109412</v>
      </c>
      <c r="J158" s="15">
        <f>Population!DR385</f>
        <v>13741</v>
      </c>
      <c r="K158" s="15">
        <f>Population!DO385+Population!DT385</f>
        <v>525735</v>
      </c>
      <c r="L158" s="15">
        <f>Population!DQ385</f>
        <v>1737</v>
      </c>
      <c r="M158" s="15">
        <f>Population!DS385</f>
        <v>46521</v>
      </c>
      <c r="N158" s="68">
        <f t="shared" si="13"/>
        <v>697146</v>
      </c>
      <c r="O158" s="63">
        <f>Population!DU385</f>
        <v>118821</v>
      </c>
      <c r="P158" s="15">
        <f>Population!DV385</f>
        <v>258022</v>
      </c>
      <c r="Q158" s="15">
        <f>Population!DW385</f>
        <v>19780</v>
      </c>
      <c r="R158" s="88">
        <f t="shared" si="18"/>
        <v>396623</v>
      </c>
      <c r="S158" s="88">
        <f t="shared" si="14"/>
        <v>1381055</v>
      </c>
      <c r="T158" s="17">
        <f>Population!DZ385</f>
        <v>75899</v>
      </c>
      <c r="U158" s="153">
        <f>Population!G385+Population!H385+Population!I385+Population!J385+Population!K385+Population!N385</f>
        <v>76074</v>
      </c>
      <c r="V158" s="15">
        <f>[5]Population!G392</f>
        <v>1563</v>
      </c>
      <c r="W158" s="15">
        <v>0</v>
      </c>
      <c r="X158" s="89">
        <f t="shared" si="15"/>
        <v>153536</v>
      </c>
      <c r="Y158" s="65">
        <f t="shared" si="16"/>
        <v>1534591</v>
      </c>
    </row>
    <row r="159" spans="1:25" hidden="1" x14ac:dyDescent="0.25">
      <c r="A159" s="14">
        <v>43952</v>
      </c>
      <c r="B159" s="14"/>
      <c r="C159" s="66">
        <f t="shared" si="19"/>
        <v>154220</v>
      </c>
      <c r="D159" s="15">
        <f>19251+574</f>
        <v>19825</v>
      </c>
      <c r="E159" s="15">
        <v>52001</v>
      </c>
      <c r="F159" s="15">
        <v>1387</v>
      </c>
      <c r="G159" s="69">
        <f>Population!DK386+Population!DL386</f>
        <v>226491</v>
      </c>
      <c r="H159" s="59">
        <f>Population!DM386+Population!DN386</f>
        <v>66320</v>
      </c>
      <c r="I159" s="64">
        <f>Population!DP386</f>
        <v>115774</v>
      </c>
      <c r="J159" s="15">
        <f>Population!DR386</f>
        <v>15770</v>
      </c>
      <c r="K159" s="15">
        <f>Population!DO386+Population!DT386</f>
        <v>542608</v>
      </c>
      <c r="L159" s="15">
        <f>Population!DQ386</f>
        <v>1710</v>
      </c>
      <c r="M159" s="15">
        <f>Population!DS386</f>
        <v>45224</v>
      </c>
      <c r="N159" s="68">
        <f t="shared" si="13"/>
        <v>721086</v>
      </c>
      <c r="O159" s="63">
        <f>Population!DU386</f>
        <v>122540</v>
      </c>
      <c r="P159" s="15">
        <f>Population!DV386</f>
        <v>274337</v>
      </c>
      <c r="Q159" s="15">
        <f>Population!DW386</f>
        <v>19614</v>
      </c>
      <c r="R159" s="88">
        <f t="shared" si="18"/>
        <v>416491</v>
      </c>
      <c r="S159" s="88">
        <f t="shared" si="14"/>
        <v>1430388</v>
      </c>
      <c r="T159" s="17">
        <f>Population!DZ386</f>
        <v>76873</v>
      </c>
      <c r="U159" s="153">
        <f>Population!G386+Population!H386+Population!I386+Population!J386+Population!K386+Population!N386</f>
        <v>76837</v>
      </c>
      <c r="V159" s="15">
        <f>[5]Population!G393</f>
        <v>1642</v>
      </c>
      <c r="W159" s="15">
        <v>0</v>
      </c>
      <c r="X159" s="89">
        <f t="shared" si="15"/>
        <v>155352</v>
      </c>
      <c r="Y159" s="65">
        <f t="shared" si="16"/>
        <v>1585740</v>
      </c>
    </row>
    <row r="160" spans="1:25" hidden="1" x14ac:dyDescent="0.25">
      <c r="A160" s="14">
        <v>43983</v>
      </c>
      <c r="B160" s="14"/>
      <c r="C160" s="94">
        <f>G162-D160-E160-F160</f>
        <v>154215</v>
      </c>
      <c r="D160" s="47">
        <f>19476+578</f>
        <v>20054</v>
      </c>
      <c r="E160" s="15">
        <v>52557</v>
      </c>
      <c r="F160" s="15">
        <v>1400</v>
      </c>
      <c r="G160" s="69">
        <f>Population!DK387+Population!DL387</f>
        <v>227433</v>
      </c>
      <c r="H160" s="59">
        <f>Population!DM387+Population!DN387</f>
        <v>66595</v>
      </c>
      <c r="I160" s="64">
        <f>Population!DP387</f>
        <v>118311</v>
      </c>
      <c r="J160" s="15">
        <f>Population!DR387</f>
        <v>16939</v>
      </c>
      <c r="K160" s="15">
        <f>Population!DO387+Population!DT387</f>
        <v>549695</v>
      </c>
      <c r="L160" s="15">
        <f>Population!DQ387</f>
        <v>1673</v>
      </c>
      <c r="M160" s="15">
        <f>Population!DS387</f>
        <v>45026</v>
      </c>
      <c r="N160" s="68">
        <f t="shared" si="13"/>
        <v>731644</v>
      </c>
      <c r="O160" s="63">
        <f>Population!DU387</f>
        <v>124160</v>
      </c>
      <c r="P160" s="15">
        <f>Population!DV387</f>
        <v>282588</v>
      </c>
      <c r="Q160" s="15">
        <f>Population!DW387</f>
        <v>19352</v>
      </c>
      <c r="R160" s="88">
        <f t="shared" si="18"/>
        <v>426100</v>
      </c>
      <c r="S160" s="88">
        <f t="shared" si="14"/>
        <v>1451772</v>
      </c>
      <c r="T160" s="17">
        <f>Population!DZ387</f>
        <v>77419</v>
      </c>
      <c r="U160" s="153">
        <f>Population!G387+Population!H387+Population!I387+Population!J387+Population!K387+Population!N387</f>
        <v>76671</v>
      </c>
      <c r="V160" s="15">
        <f>[5]Population!G394</f>
        <v>1772</v>
      </c>
      <c r="W160" s="15">
        <v>0</v>
      </c>
      <c r="X160" s="89">
        <f t="shared" si="15"/>
        <v>155862</v>
      </c>
      <c r="Y160" s="65">
        <f t="shared" si="16"/>
        <v>1607634</v>
      </c>
    </row>
    <row r="161" spans="1:25" hidden="1" x14ac:dyDescent="0.25">
      <c r="A161" s="14"/>
      <c r="B161" s="14"/>
      <c r="C161" s="66"/>
      <c r="D161" s="15"/>
      <c r="E161" s="15"/>
      <c r="F161" s="15"/>
      <c r="G161" s="69"/>
      <c r="H161" s="59"/>
      <c r="I161" s="64"/>
      <c r="J161" s="15"/>
      <c r="K161" s="15"/>
      <c r="L161" s="15"/>
      <c r="M161" s="15"/>
      <c r="N161" s="68"/>
      <c r="O161" s="63"/>
      <c r="P161" s="15"/>
      <c r="Q161" s="15"/>
      <c r="R161" s="88"/>
      <c r="S161" s="88"/>
      <c r="T161" s="17"/>
      <c r="U161" s="153"/>
      <c r="V161" s="17"/>
      <c r="W161" s="15"/>
      <c r="X161" s="89"/>
      <c r="Y161" s="65"/>
    </row>
    <row r="162" spans="1:25" hidden="1" x14ac:dyDescent="0.25">
      <c r="A162" s="14">
        <v>44013</v>
      </c>
      <c r="B162" s="14"/>
      <c r="C162" s="66">
        <f t="shared" ref="C162:C171" si="20">G164-D162-E162-F162</f>
        <v>155164</v>
      </c>
      <c r="D162" s="15">
        <f>19425+577</f>
        <v>20002</v>
      </c>
      <c r="E162" s="15">
        <v>52972</v>
      </c>
      <c r="F162" s="15">
        <v>1414</v>
      </c>
      <c r="G162" s="69">
        <f>Population!DK388+Population!DL388</f>
        <v>228226</v>
      </c>
      <c r="H162" s="59">
        <f>Population!DM388+Population!DN388</f>
        <v>66796</v>
      </c>
      <c r="I162" s="64">
        <f>Population!DP388</f>
        <v>120535</v>
      </c>
      <c r="J162" s="15">
        <f>Population!DR388</f>
        <v>18011</v>
      </c>
      <c r="K162" s="15">
        <f>Population!DO388+Population!DT388</f>
        <v>556991</v>
      </c>
      <c r="L162" s="15">
        <f>Population!DQ388</f>
        <v>1630</v>
      </c>
      <c r="M162" s="15">
        <f>Population!DS388</f>
        <v>44946</v>
      </c>
      <c r="N162" s="68">
        <f t="shared" si="13"/>
        <v>742113</v>
      </c>
      <c r="O162" s="63">
        <f>Population!DU388</f>
        <v>125736</v>
      </c>
      <c r="P162" s="15">
        <f>Population!DV388</f>
        <v>291267</v>
      </c>
      <c r="Q162" s="15">
        <f>Population!DW388</f>
        <v>19178</v>
      </c>
      <c r="R162" s="88">
        <f t="shared" si="18"/>
        <v>436181</v>
      </c>
      <c r="S162" s="88">
        <f t="shared" si="14"/>
        <v>1473316</v>
      </c>
      <c r="T162" s="17">
        <f>Population!DZ388</f>
        <v>77996</v>
      </c>
      <c r="U162" s="153">
        <f>Population!G388+Population!H388+Population!I388+Population!J388+Population!K388+Population!N388</f>
        <v>76574</v>
      </c>
      <c r="V162" s="15">
        <f>[5]Population!G395</f>
        <v>1841</v>
      </c>
      <c r="W162" s="15">
        <v>0</v>
      </c>
      <c r="X162" s="89">
        <f t="shared" si="15"/>
        <v>156411</v>
      </c>
      <c r="Y162" s="65">
        <f t="shared" si="16"/>
        <v>1629727</v>
      </c>
    </row>
    <row r="163" spans="1:25" hidden="1" x14ac:dyDescent="0.25">
      <c r="A163" s="14">
        <v>44044</v>
      </c>
      <c r="B163" s="14"/>
      <c r="C163" s="66">
        <f t="shared" si="20"/>
        <v>155538</v>
      </c>
      <c r="D163" s="15">
        <f>19456+583</f>
        <v>20039</v>
      </c>
      <c r="E163" s="15">
        <v>53142</v>
      </c>
      <c r="F163" s="15">
        <v>1402</v>
      </c>
      <c r="G163" s="69">
        <f>Population!DK389+Population!DL389</f>
        <v>229224</v>
      </c>
      <c r="H163" s="59">
        <f>Population!DM389+Population!DN389</f>
        <v>67011</v>
      </c>
      <c r="I163" s="64">
        <f>Population!DP389</f>
        <v>122711</v>
      </c>
      <c r="J163" s="15">
        <f>Population!DR389</f>
        <v>18737</v>
      </c>
      <c r="K163" s="15">
        <f>Population!DO389+Population!DT389</f>
        <v>560998</v>
      </c>
      <c r="L163" s="15">
        <f>Population!DQ389</f>
        <v>1621</v>
      </c>
      <c r="M163" s="15">
        <f>Population!DS389</f>
        <v>45371</v>
      </c>
      <c r="N163" s="68">
        <f t="shared" si="13"/>
        <v>749438</v>
      </c>
      <c r="O163" s="63">
        <f>Population!DU389</f>
        <v>127198</v>
      </c>
      <c r="P163" s="15">
        <f>Population!DV389</f>
        <v>302085</v>
      </c>
      <c r="Q163" s="15">
        <f>Population!DW389</f>
        <v>18956</v>
      </c>
      <c r="R163" s="88">
        <f t="shared" si="18"/>
        <v>448239</v>
      </c>
      <c r="S163" s="88">
        <f t="shared" si="14"/>
        <v>1493912</v>
      </c>
      <c r="T163" s="17">
        <f>Population!DZ389</f>
        <v>78089</v>
      </c>
      <c r="U163" s="153">
        <f>Population!G389+Population!H389+Population!I389+Population!J389+Population!K389+Population!N389</f>
        <v>77112</v>
      </c>
      <c r="V163" s="15">
        <f>[5]Population!G396</f>
        <v>1936</v>
      </c>
      <c r="W163" s="15">
        <v>0</v>
      </c>
      <c r="X163" s="89">
        <f t="shared" si="15"/>
        <v>157137</v>
      </c>
      <c r="Y163" s="65">
        <f t="shared" si="16"/>
        <v>1651049</v>
      </c>
    </row>
    <row r="164" spans="1:25" hidden="1" x14ac:dyDescent="0.25">
      <c r="A164" s="14">
        <v>44075</v>
      </c>
      <c r="B164" s="14"/>
      <c r="C164" s="66">
        <f t="shared" si="20"/>
        <v>155998</v>
      </c>
      <c r="D164" s="15">
        <f>19327+575</f>
        <v>19902</v>
      </c>
      <c r="E164" s="15">
        <v>53387</v>
      </c>
      <c r="F164" s="15">
        <v>1430</v>
      </c>
      <c r="G164" s="69">
        <f>Population!DK390+Population!DL390</f>
        <v>229552</v>
      </c>
      <c r="H164" s="59">
        <f>Population!DM390+Population!DN390</f>
        <v>67020</v>
      </c>
      <c r="I164" s="64">
        <f>Population!DP390</f>
        <v>124596</v>
      </c>
      <c r="J164" s="15">
        <f>Population!DR390</f>
        <v>18918</v>
      </c>
      <c r="K164" s="15">
        <f>Population!DO390+Population!DT390</f>
        <v>566635</v>
      </c>
      <c r="L164" s="15">
        <f>Population!DQ390</f>
        <v>1635</v>
      </c>
      <c r="M164" s="15">
        <f>Population!DS390</f>
        <v>45731</v>
      </c>
      <c r="N164" s="68">
        <f t="shared" si="13"/>
        <v>757515</v>
      </c>
      <c r="O164" s="63">
        <f>Population!DU390</f>
        <v>128844</v>
      </c>
      <c r="P164" s="15">
        <f>Population!DV390</f>
        <v>310904</v>
      </c>
      <c r="Q164" s="15">
        <f>Population!DW390</f>
        <v>18816</v>
      </c>
      <c r="R164" s="88">
        <f t="shared" si="18"/>
        <v>458564</v>
      </c>
      <c r="S164" s="88">
        <f t="shared" si="14"/>
        <v>1512651</v>
      </c>
      <c r="T164" s="17">
        <f>Population!DZ390</f>
        <v>78262</v>
      </c>
      <c r="U164" s="153">
        <f>Population!G390+Population!H390+Population!I390+Population!J390+Population!K390+Population!N390</f>
        <v>77063</v>
      </c>
      <c r="V164" s="15">
        <f>[5]Population!G397</f>
        <v>1739</v>
      </c>
      <c r="W164" s="15">
        <v>0</v>
      </c>
      <c r="X164" s="89">
        <f t="shared" si="15"/>
        <v>157064</v>
      </c>
      <c r="Y164" s="65">
        <f t="shared" si="16"/>
        <v>1669715</v>
      </c>
    </row>
    <row r="165" spans="1:25" hidden="1" x14ac:dyDescent="0.25">
      <c r="A165" s="14">
        <v>44105</v>
      </c>
      <c r="B165" s="14"/>
      <c r="C165" s="66">
        <f t="shared" si="20"/>
        <v>156712</v>
      </c>
      <c r="D165" s="15">
        <f>19222+575</f>
        <v>19797</v>
      </c>
      <c r="E165" s="15">
        <v>53414</v>
      </c>
      <c r="F165" s="15">
        <v>1439</v>
      </c>
      <c r="G165" s="69">
        <f>Population!DK391+Population!DL391</f>
        <v>230121</v>
      </c>
      <c r="H165" s="59">
        <f>Population!DM391+Population!DN391</f>
        <v>67030</v>
      </c>
      <c r="I165" s="64">
        <f>Population!DP391</f>
        <v>126847</v>
      </c>
      <c r="J165" s="15">
        <f>Population!DR391</f>
        <v>19504</v>
      </c>
      <c r="K165" s="15">
        <f>Population!DO391+Population!DT391</f>
        <v>573039</v>
      </c>
      <c r="L165" s="15">
        <f>Population!DQ391</f>
        <v>1633</v>
      </c>
      <c r="M165" s="15">
        <f>Population!DS391</f>
        <v>45407</v>
      </c>
      <c r="N165" s="68">
        <f t="shared" si="13"/>
        <v>766430</v>
      </c>
      <c r="O165" s="63">
        <f>Population!DU391</f>
        <v>130381</v>
      </c>
      <c r="P165" s="15">
        <f>Population!DV391</f>
        <v>320601</v>
      </c>
      <c r="Q165" s="15">
        <f>Population!DW391</f>
        <v>18711</v>
      </c>
      <c r="R165" s="88">
        <f t="shared" si="18"/>
        <v>469693</v>
      </c>
      <c r="S165" s="88">
        <f t="shared" si="14"/>
        <v>1533274</v>
      </c>
      <c r="T165" s="17">
        <f>Population!DZ391</f>
        <v>78176</v>
      </c>
      <c r="U165" s="153">
        <f>Population!G391+Population!H391+Population!I391+Population!J391+Population!K391+Population!N391</f>
        <v>77375</v>
      </c>
      <c r="V165" s="15">
        <f>[5]Population!G398</f>
        <v>1567</v>
      </c>
      <c r="W165" s="15">
        <v>0</v>
      </c>
      <c r="X165" s="89">
        <f t="shared" si="15"/>
        <v>157118</v>
      </c>
      <c r="Y165" s="65">
        <f t="shared" si="16"/>
        <v>1690392</v>
      </c>
    </row>
    <row r="166" spans="1:25" hidden="1" x14ac:dyDescent="0.25">
      <c r="A166" s="14">
        <v>44136</v>
      </c>
      <c r="B166" s="14"/>
      <c r="C166" s="66">
        <f t="shared" si="20"/>
        <v>156675</v>
      </c>
      <c r="D166" s="15">
        <f>19130+566</f>
        <v>19696</v>
      </c>
      <c r="E166" s="15">
        <v>53769</v>
      </c>
      <c r="F166" s="15">
        <v>1450</v>
      </c>
      <c r="G166" s="69">
        <f>Population!DK392+Population!DL392</f>
        <v>230717</v>
      </c>
      <c r="H166" s="59">
        <f>Population!DM392+Population!DN392</f>
        <v>67092</v>
      </c>
      <c r="I166" s="64">
        <f>Population!DP392</f>
        <v>128484</v>
      </c>
      <c r="J166" s="15">
        <f>Population!DR392</f>
        <v>20215</v>
      </c>
      <c r="K166" s="15">
        <f>Population!DO392+Population!DT392</f>
        <v>578468</v>
      </c>
      <c r="L166" s="15">
        <f>Population!DQ392</f>
        <v>1652</v>
      </c>
      <c r="M166" s="15">
        <f>Population!DS392</f>
        <v>45195</v>
      </c>
      <c r="N166" s="68">
        <f t="shared" si="13"/>
        <v>774014</v>
      </c>
      <c r="O166" s="63">
        <f>Population!DU392</f>
        <v>132110</v>
      </c>
      <c r="P166" s="15">
        <f>Population!DV392</f>
        <v>329215</v>
      </c>
      <c r="Q166" s="15">
        <f>Population!DW392</f>
        <v>18505</v>
      </c>
      <c r="R166" s="88">
        <f t="shared" si="18"/>
        <v>479830</v>
      </c>
      <c r="S166" s="88">
        <f t="shared" si="14"/>
        <v>1551653</v>
      </c>
      <c r="T166" s="17">
        <f>Population!DZ392</f>
        <v>78244</v>
      </c>
      <c r="U166" s="153">
        <f>Population!G392+Population!H392+Population!I392+Population!J392+Population!K392+Population!N392</f>
        <v>77987</v>
      </c>
      <c r="V166" s="15">
        <f>[5]Population!G399</f>
        <v>1505</v>
      </c>
      <c r="W166" s="15">
        <v>0</v>
      </c>
      <c r="X166" s="89">
        <f t="shared" si="15"/>
        <v>157736</v>
      </c>
      <c r="Y166" s="65">
        <f t="shared" si="16"/>
        <v>1709389</v>
      </c>
    </row>
    <row r="167" spans="1:25" hidden="1" x14ac:dyDescent="0.25">
      <c r="A167" s="14">
        <v>44166</v>
      </c>
      <c r="B167" s="14"/>
      <c r="C167" s="66">
        <f t="shared" si="20"/>
        <v>156376</v>
      </c>
      <c r="D167" s="15">
        <f>19029+562</f>
        <v>19591</v>
      </c>
      <c r="E167" s="15">
        <v>54134</v>
      </c>
      <c r="F167" s="15">
        <v>1457</v>
      </c>
      <c r="G167" s="69">
        <f>Population!DK393+Population!DL393</f>
        <v>231362</v>
      </c>
      <c r="H167" s="59">
        <f>Population!DM393+Population!DN393</f>
        <v>67122</v>
      </c>
      <c r="I167" s="64">
        <f>Population!DP393</f>
        <v>130390</v>
      </c>
      <c r="J167" s="15">
        <f>Population!DR393</f>
        <v>20563</v>
      </c>
      <c r="K167" s="15">
        <f>Population!DO393+Population!DT393</f>
        <v>583361</v>
      </c>
      <c r="L167" s="15">
        <f>Population!DQ393</f>
        <v>1649</v>
      </c>
      <c r="M167" s="15">
        <f>Population!DS393</f>
        <v>45421</v>
      </c>
      <c r="N167" s="68">
        <f t="shared" si="13"/>
        <v>781384</v>
      </c>
      <c r="O167" s="63">
        <f>Population!DU393</f>
        <v>134066</v>
      </c>
      <c r="P167" s="15">
        <f>Population!DV393</f>
        <v>341781</v>
      </c>
      <c r="Q167" s="15">
        <f>Population!DW393</f>
        <v>18393</v>
      </c>
      <c r="R167" s="88">
        <f t="shared" si="18"/>
        <v>494240</v>
      </c>
      <c r="S167" s="88">
        <f t="shared" si="14"/>
        <v>1574108</v>
      </c>
      <c r="T167" s="17">
        <f>Population!DZ393</f>
        <v>78999</v>
      </c>
      <c r="U167" s="153">
        <f>Population!G393+Population!H393+Population!I393+Population!J393+Population!K393+Population!N393</f>
        <v>78769</v>
      </c>
      <c r="V167" s="15">
        <f>[5]Population!G400</f>
        <v>1495</v>
      </c>
      <c r="W167" s="15">
        <v>0</v>
      </c>
      <c r="X167" s="89">
        <f t="shared" si="15"/>
        <v>159263</v>
      </c>
      <c r="Y167" s="65">
        <f t="shared" si="16"/>
        <v>1733371</v>
      </c>
    </row>
    <row r="168" spans="1:25" hidden="1" x14ac:dyDescent="0.25">
      <c r="A168" s="14">
        <v>44197</v>
      </c>
      <c r="B168" s="14"/>
      <c r="C168" s="66">
        <f t="shared" si="20"/>
        <v>156824</v>
      </c>
      <c r="D168" s="15">
        <f>18659+562</f>
        <v>19221</v>
      </c>
      <c r="E168" s="15">
        <v>54344</v>
      </c>
      <c r="F168" s="15">
        <v>1475</v>
      </c>
      <c r="G168" s="69">
        <f>Population!DK394+Population!DL394</f>
        <v>231590</v>
      </c>
      <c r="H168" s="59">
        <f>Population!DM394+Population!DN394</f>
        <v>67013</v>
      </c>
      <c r="I168" s="64">
        <f>Population!DP394</f>
        <v>132417</v>
      </c>
      <c r="J168" s="15">
        <f>Population!DR394</f>
        <v>20961</v>
      </c>
      <c r="K168" s="15">
        <f>Population!DO394+Population!DT394</f>
        <v>588886</v>
      </c>
      <c r="L168" s="15">
        <f>Population!DQ394</f>
        <v>1618</v>
      </c>
      <c r="M168" s="15">
        <f>Population!DS394</f>
        <v>45743</v>
      </c>
      <c r="N168" s="68">
        <f t="shared" si="13"/>
        <v>789625</v>
      </c>
      <c r="O168" s="63">
        <f>Population!DU394</f>
        <v>136220</v>
      </c>
      <c r="P168" s="15">
        <f>Population!DV394</f>
        <v>356686</v>
      </c>
      <c r="Q168" s="15">
        <f>Population!DW394</f>
        <v>18213</v>
      </c>
      <c r="R168" s="88">
        <f t="shared" si="18"/>
        <v>511119</v>
      </c>
      <c r="S168" s="88">
        <f t="shared" si="14"/>
        <v>1599347</v>
      </c>
      <c r="T168" s="17">
        <f>Population!DZ394</f>
        <v>79937</v>
      </c>
      <c r="U168" s="153">
        <f>Population!G394+Population!H394+Population!I394+Population!J394+Population!K394+Population!N394</f>
        <v>79598</v>
      </c>
      <c r="V168" s="15">
        <f>[5]Population!G401</f>
        <v>1529</v>
      </c>
      <c r="W168" s="15">
        <v>0</v>
      </c>
      <c r="X168" s="89">
        <f t="shared" si="15"/>
        <v>161064</v>
      </c>
      <c r="Y168" s="65">
        <f t="shared" si="16"/>
        <v>1760411</v>
      </c>
    </row>
    <row r="169" spans="1:25" hidden="1" x14ac:dyDescent="0.25">
      <c r="A169" s="14">
        <v>44228</v>
      </c>
      <c r="B169" s="14"/>
      <c r="C169" s="66">
        <f t="shared" si="20"/>
        <v>157742</v>
      </c>
      <c r="D169" s="15">
        <f>18356+569</f>
        <v>18925</v>
      </c>
      <c r="E169" s="15">
        <v>54572</v>
      </c>
      <c r="F169" s="15">
        <v>1473</v>
      </c>
      <c r="G169" s="69">
        <f>Population!DK395+Population!DL395</f>
        <v>231558</v>
      </c>
      <c r="H169" s="59">
        <f>Population!DM395+Population!DN395</f>
        <v>66976</v>
      </c>
      <c r="I169" s="64">
        <f>Population!DP395</f>
        <v>133948</v>
      </c>
      <c r="J169" s="15">
        <f>Population!DR395</f>
        <v>21344</v>
      </c>
      <c r="K169" s="15">
        <f>Population!DO395+Population!DT395</f>
        <v>592839</v>
      </c>
      <c r="L169" s="15">
        <f>Population!DQ395</f>
        <v>1610</v>
      </c>
      <c r="M169" s="15">
        <f>Population!DS395</f>
        <v>45853</v>
      </c>
      <c r="N169" s="68">
        <f t="shared" si="13"/>
        <v>795594</v>
      </c>
      <c r="O169" s="63">
        <f>Population!DU395</f>
        <v>137671</v>
      </c>
      <c r="P169" s="15">
        <f>Population!DV395</f>
        <v>365013</v>
      </c>
      <c r="Q169" s="15">
        <f>Population!DW395</f>
        <v>18027</v>
      </c>
      <c r="R169" s="88">
        <f t="shared" si="18"/>
        <v>520711</v>
      </c>
      <c r="S169" s="88">
        <f t="shared" si="14"/>
        <v>1614839</v>
      </c>
      <c r="T169" s="17">
        <f>Population!DZ395</f>
        <v>80362</v>
      </c>
      <c r="U169" s="153">
        <f>Population!G395+Population!H395+Population!I395+Population!J395+Population!K395+Population!N395</f>
        <v>80087</v>
      </c>
      <c r="V169" s="15">
        <f>[5]Population!G402</f>
        <v>1572</v>
      </c>
      <c r="W169" s="15">
        <v>0</v>
      </c>
      <c r="X169" s="89">
        <f t="shared" si="15"/>
        <v>162021</v>
      </c>
      <c r="Y169" s="65">
        <f t="shared" si="16"/>
        <v>1776860</v>
      </c>
    </row>
    <row r="170" spans="1:25" hidden="1" x14ac:dyDescent="0.25">
      <c r="A170" s="14">
        <v>44256</v>
      </c>
      <c r="B170" s="14"/>
      <c r="C170" s="66">
        <f t="shared" si="20"/>
        <v>158559</v>
      </c>
      <c r="D170" s="15">
        <f>18175+556</f>
        <v>18731</v>
      </c>
      <c r="E170" s="15">
        <v>54589</v>
      </c>
      <c r="F170" s="15">
        <v>1490</v>
      </c>
      <c r="G170" s="69">
        <f>Population!DK396+Population!DL396</f>
        <v>231864</v>
      </c>
      <c r="H170" s="59">
        <f>Population!DM396+Population!DN396</f>
        <v>66908</v>
      </c>
      <c r="I170" s="64">
        <f>Population!DP396</f>
        <v>135660</v>
      </c>
      <c r="J170" s="15">
        <f>Population!DR396</f>
        <v>21493</v>
      </c>
      <c r="K170" s="15">
        <f>Population!DO396+Population!DT396</f>
        <v>596153</v>
      </c>
      <c r="L170" s="15">
        <f>Population!DQ396</f>
        <v>1604</v>
      </c>
      <c r="M170" s="15">
        <f>Population!DS396</f>
        <v>45928</v>
      </c>
      <c r="N170" s="68">
        <f t="shared" si="13"/>
        <v>800838</v>
      </c>
      <c r="O170" s="63">
        <f>Population!DU396</f>
        <v>138859</v>
      </c>
      <c r="P170" s="15">
        <f>Population!DV396</f>
        <v>372214</v>
      </c>
      <c r="Q170" s="15">
        <f>Population!DW396</f>
        <v>17928</v>
      </c>
      <c r="R170" s="88">
        <f t="shared" si="18"/>
        <v>529001</v>
      </c>
      <c r="S170" s="88">
        <f t="shared" si="14"/>
        <v>1628611</v>
      </c>
      <c r="T170" s="17">
        <f>Population!DZ396</f>
        <v>80762</v>
      </c>
      <c r="U170" s="153">
        <f>Population!G396+Population!H396+Population!I396+Population!J396+Population!K396+Population!N396</f>
        <v>80505</v>
      </c>
      <c r="V170" s="15">
        <f>[5]Population!G403</f>
        <v>1629</v>
      </c>
      <c r="W170" s="15">
        <v>0</v>
      </c>
      <c r="X170" s="89">
        <f t="shared" si="15"/>
        <v>162896</v>
      </c>
      <c r="Y170" s="65">
        <f t="shared" si="16"/>
        <v>1791507</v>
      </c>
    </row>
    <row r="171" spans="1:25" hidden="1" x14ac:dyDescent="0.25">
      <c r="A171" s="14">
        <v>44287</v>
      </c>
      <c r="B171" s="14"/>
      <c r="C171" s="66">
        <f t="shared" si="20"/>
        <v>158585</v>
      </c>
      <c r="D171" s="15">
        <f>18423+554</f>
        <v>18977</v>
      </c>
      <c r="E171" s="15">
        <v>54700</v>
      </c>
      <c r="F171" s="15">
        <v>1491</v>
      </c>
      <c r="G171" s="69">
        <f>Population!DK397+Population!DL397</f>
        <v>232712</v>
      </c>
      <c r="H171" s="59">
        <f>Population!DM397+Population!DN397</f>
        <v>66962</v>
      </c>
      <c r="I171" s="64">
        <f>Population!DP397</f>
        <v>136986</v>
      </c>
      <c r="J171" s="15">
        <f>Population!DR397</f>
        <v>21895</v>
      </c>
      <c r="K171" s="15">
        <f>Population!DO397+Population!DT397</f>
        <v>600277</v>
      </c>
      <c r="L171" s="15">
        <f>Population!DQ397</f>
        <v>1580</v>
      </c>
      <c r="M171" s="15">
        <f>Population!DS397</f>
        <v>46179</v>
      </c>
      <c r="N171" s="68">
        <f t="shared" si="13"/>
        <v>806917</v>
      </c>
      <c r="O171" s="63">
        <f>Population!DU397</f>
        <v>140442</v>
      </c>
      <c r="P171" s="15">
        <f>Population!DV397</f>
        <v>380476</v>
      </c>
      <c r="Q171" s="15">
        <f>Population!DW397</f>
        <v>17742</v>
      </c>
      <c r="R171" s="88">
        <f t="shared" si="18"/>
        <v>538660</v>
      </c>
      <c r="S171" s="88">
        <f t="shared" si="14"/>
        <v>1645251</v>
      </c>
      <c r="T171" s="17">
        <f>Population!DZ397</f>
        <v>81284</v>
      </c>
      <c r="U171" s="153">
        <f>Population!G397+Population!H397+Population!I397+Population!J397+Population!K397+Population!N397</f>
        <v>80811</v>
      </c>
      <c r="V171" s="15">
        <f>[5]Population!G404</f>
        <v>1624</v>
      </c>
      <c r="W171" s="15">
        <v>0</v>
      </c>
      <c r="X171" s="89">
        <f t="shared" si="15"/>
        <v>163719</v>
      </c>
      <c r="Y171" s="65">
        <f t="shared" si="16"/>
        <v>1808970</v>
      </c>
    </row>
    <row r="172" spans="1:25" hidden="1" x14ac:dyDescent="0.25">
      <c r="A172" s="14">
        <v>44317</v>
      </c>
      <c r="B172" s="14"/>
      <c r="C172" s="66">
        <f>G175-D172-E172-F172</f>
        <v>157872</v>
      </c>
      <c r="D172" s="15">
        <f>18594+532</f>
        <v>19126</v>
      </c>
      <c r="E172" s="15">
        <v>54969</v>
      </c>
      <c r="F172" s="15">
        <v>1499</v>
      </c>
      <c r="G172" s="69">
        <f>Population!DK398+Population!DL398</f>
        <v>233369</v>
      </c>
      <c r="H172" s="59">
        <f>Population!DM398+Population!DN398</f>
        <v>66883</v>
      </c>
      <c r="I172" s="64">
        <f>Population!DP398</f>
        <v>138173</v>
      </c>
      <c r="J172" s="15">
        <f>Population!DR398</f>
        <v>22308</v>
      </c>
      <c r="K172" s="15">
        <f>Population!DO398+Population!DT398</f>
        <v>603635</v>
      </c>
      <c r="L172" s="15">
        <f>Population!DQ398</f>
        <v>1570</v>
      </c>
      <c r="M172" s="15">
        <f>Population!DS398</f>
        <v>46349</v>
      </c>
      <c r="N172" s="68">
        <f t="shared" si="13"/>
        <v>812035</v>
      </c>
      <c r="O172" s="63">
        <f>Population!DU398</f>
        <v>141959</v>
      </c>
      <c r="P172" s="15">
        <f>Population!DV398</f>
        <v>388049</v>
      </c>
      <c r="Q172" s="15">
        <f>Population!DW398</f>
        <v>17630</v>
      </c>
      <c r="R172" s="88">
        <f t="shared" si="18"/>
        <v>547638</v>
      </c>
      <c r="S172" s="88">
        <f t="shared" si="14"/>
        <v>1659925</v>
      </c>
      <c r="T172" s="17">
        <f>Population!DZ398</f>
        <v>81897</v>
      </c>
      <c r="U172" s="153">
        <f>Population!G398+Population!H398+Population!I398+Population!J398+Population!K398+Population!N398</f>
        <v>80826</v>
      </c>
      <c r="V172" s="15">
        <f>[5]Population!G405</f>
        <v>1636</v>
      </c>
      <c r="W172" s="15">
        <v>0</v>
      </c>
      <c r="X172" s="89">
        <f t="shared" si="15"/>
        <v>164359</v>
      </c>
      <c r="Y172" s="65">
        <f t="shared" si="16"/>
        <v>1824284</v>
      </c>
    </row>
    <row r="173" spans="1:25" hidden="1" x14ac:dyDescent="0.25">
      <c r="A173" s="14">
        <v>44348</v>
      </c>
      <c r="B173" s="14"/>
      <c r="C173" s="66">
        <f>G176-D173-E173-F173</f>
        <v>157881</v>
      </c>
      <c r="D173" s="15">
        <f>18786+532</f>
        <v>19318</v>
      </c>
      <c r="E173" s="15">
        <v>55117</v>
      </c>
      <c r="F173" s="15">
        <v>1492</v>
      </c>
      <c r="G173" s="69">
        <f>Population!DK399+Population!DL399</f>
        <v>233753</v>
      </c>
      <c r="H173" s="59">
        <f>Population!DM399+Population!DN399</f>
        <v>66795</v>
      </c>
      <c r="I173" s="64">
        <f>Population!DP399</f>
        <v>139518</v>
      </c>
      <c r="J173" s="15">
        <f>Population!DR399</f>
        <v>22760</v>
      </c>
      <c r="K173" s="15">
        <f>Population!DO399+Population!DT399</f>
        <v>607400</v>
      </c>
      <c r="L173" s="15">
        <f>Population!DQ399</f>
        <v>1546</v>
      </c>
      <c r="M173" s="15">
        <f>Population!DS399</f>
        <v>46728</v>
      </c>
      <c r="N173" s="68">
        <f t="shared" si="13"/>
        <v>817952</v>
      </c>
      <c r="O173" s="63">
        <f>Population!DU399</f>
        <v>143186</v>
      </c>
      <c r="P173" s="15">
        <f>Population!DV399</f>
        <v>394579</v>
      </c>
      <c r="Q173" s="15">
        <f>Population!DW399</f>
        <v>17458</v>
      </c>
      <c r="R173" s="88">
        <f t="shared" si="18"/>
        <v>555223</v>
      </c>
      <c r="S173" s="88">
        <f t="shared" si="14"/>
        <v>1673723</v>
      </c>
      <c r="T173" s="17">
        <f>Population!DZ399</f>
        <v>82630</v>
      </c>
      <c r="U173" s="153">
        <f>Population!G399+Population!H399+Population!I399+Population!J399+Population!K399+Population!N399</f>
        <v>80759</v>
      </c>
      <c r="V173" s="15">
        <f>[5]Population!G406</f>
        <v>1682</v>
      </c>
      <c r="W173" s="15">
        <v>0</v>
      </c>
      <c r="X173" s="89">
        <f t="shared" si="15"/>
        <v>165071</v>
      </c>
      <c r="Y173" s="65">
        <f t="shared" si="16"/>
        <v>1838794</v>
      </c>
    </row>
    <row r="174" spans="1:25" hidden="1" x14ac:dyDescent="0.25">
      <c r="A174" s="14"/>
      <c r="B174" s="14"/>
      <c r="C174" s="66"/>
      <c r="D174" s="15"/>
      <c r="E174" s="15"/>
      <c r="F174" s="15"/>
      <c r="G174" s="69"/>
      <c r="H174" s="59"/>
      <c r="I174" s="64"/>
      <c r="J174" s="15"/>
      <c r="K174" s="15"/>
      <c r="L174" s="15"/>
      <c r="M174" s="15"/>
      <c r="N174" s="68"/>
      <c r="O174" s="63"/>
      <c r="P174" s="15"/>
      <c r="Q174" s="15"/>
      <c r="R174" s="88"/>
      <c r="S174" s="88"/>
      <c r="T174" s="17"/>
      <c r="U174" s="153"/>
      <c r="W174" s="15"/>
      <c r="X174" s="89"/>
      <c r="Y174" s="65"/>
    </row>
    <row r="175" spans="1:25" hidden="1" x14ac:dyDescent="0.25">
      <c r="A175" s="14">
        <v>44378</v>
      </c>
      <c r="B175" s="14"/>
      <c r="C175" s="66">
        <f t="shared" ref="C175:C183" si="21">G178-D175-E175-F175</f>
        <v>158697</v>
      </c>
      <c r="D175" s="15">
        <f>18897+513</f>
        <v>19410</v>
      </c>
      <c r="E175" s="15">
        <v>55297</v>
      </c>
      <c r="F175" s="15">
        <v>1508</v>
      </c>
      <c r="G175" s="69">
        <f>Population!DK400+Population!DL400</f>
        <v>233466</v>
      </c>
      <c r="H175" s="59">
        <f>Population!DM400+Population!DN400</f>
        <v>66432</v>
      </c>
      <c r="I175" s="64">
        <f>Population!DP400</f>
        <v>140894</v>
      </c>
      <c r="J175" s="15">
        <f>Population!DR400</f>
        <v>23300</v>
      </c>
      <c r="K175" s="15">
        <f>Population!DO400+Population!DT400</f>
        <v>611748</v>
      </c>
      <c r="L175" s="15">
        <f>Population!DQ400</f>
        <v>1544</v>
      </c>
      <c r="M175" s="15">
        <f>Population!DS400</f>
        <v>47101</v>
      </c>
      <c r="N175" s="68">
        <f t="shared" si="13"/>
        <v>824587</v>
      </c>
      <c r="O175" s="63">
        <f>Population!DU400</f>
        <v>144279</v>
      </c>
      <c r="P175" s="15">
        <f>Population!DV400</f>
        <v>400861</v>
      </c>
      <c r="Q175" s="15">
        <f>Population!DW400</f>
        <v>17408</v>
      </c>
      <c r="R175" s="88">
        <f t="shared" si="18"/>
        <v>562548</v>
      </c>
      <c r="S175" s="88">
        <f t="shared" si="14"/>
        <v>1687033</v>
      </c>
      <c r="T175" s="17">
        <f>Population!DZ400</f>
        <v>83237</v>
      </c>
      <c r="U175" s="153">
        <f>Population!G400+Population!H400+Population!I400+Population!J400+Population!K400+Population!N400</f>
        <v>80556</v>
      </c>
      <c r="V175" s="15">
        <f>[5]Population!G407</f>
        <v>1701</v>
      </c>
      <c r="W175" s="15">
        <v>20</v>
      </c>
      <c r="X175" s="89">
        <f t="shared" si="15"/>
        <v>165514</v>
      </c>
      <c r="Y175" s="65">
        <f t="shared" si="16"/>
        <v>1852547</v>
      </c>
    </row>
    <row r="176" spans="1:25" hidden="1" x14ac:dyDescent="0.25">
      <c r="A176" s="14">
        <v>44409</v>
      </c>
      <c r="B176" s="14"/>
      <c r="C176" s="66">
        <f t="shared" si="21"/>
        <v>159155</v>
      </c>
      <c r="D176" s="15">
        <f>18952+540</f>
        <v>19492</v>
      </c>
      <c r="E176" s="15">
        <v>55333</v>
      </c>
      <c r="F176" s="15">
        <v>1523</v>
      </c>
      <c r="G176" s="69">
        <f>Population!DK401+Population!DL401</f>
        <v>233808</v>
      </c>
      <c r="H176" s="59">
        <f>Population!DM401+Population!DN401</f>
        <v>66294</v>
      </c>
      <c r="I176" s="64">
        <f>Population!DP401</f>
        <v>142676</v>
      </c>
      <c r="J176" s="15">
        <f>Population!DR401</f>
        <v>23875</v>
      </c>
      <c r="K176" s="15">
        <f>Population!DO401+Population!DT401</f>
        <v>616897</v>
      </c>
      <c r="L176" s="15">
        <f>Population!DQ401</f>
        <v>1548</v>
      </c>
      <c r="M176" s="15">
        <f>Population!DS401</f>
        <v>47276</v>
      </c>
      <c r="N176" s="68">
        <f t="shared" si="13"/>
        <v>832272</v>
      </c>
      <c r="O176" s="63">
        <f>Population!DU401</f>
        <v>145418</v>
      </c>
      <c r="P176" s="15">
        <f>Population!DV401</f>
        <v>408229</v>
      </c>
      <c r="Q176" s="15">
        <f>Population!DW401</f>
        <v>17268</v>
      </c>
      <c r="R176" s="88">
        <f t="shared" si="18"/>
        <v>570915</v>
      </c>
      <c r="S176" s="88">
        <f t="shared" si="14"/>
        <v>1703289</v>
      </c>
      <c r="T176" s="17">
        <f>Population!DZ401</f>
        <v>84121</v>
      </c>
      <c r="U176" s="153">
        <f>Population!G401+Population!H401+Population!I401+Population!J401+Population!K401+Population!N401</f>
        <v>80650</v>
      </c>
      <c r="V176" s="67">
        <v>1785</v>
      </c>
      <c r="W176" s="15">
        <v>544</v>
      </c>
      <c r="X176" s="89">
        <f t="shared" si="15"/>
        <v>167100</v>
      </c>
      <c r="Y176" s="65">
        <f t="shared" si="16"/>
        <v>1870389</v>
      </c>
    </row>
    <row r="177" spans="1:25" hidden="1" x14ac:dyDescent="0.25">
      <c r="A177" s="14">
        <v>44440</v>
      </c>
      <c r="B177" s="14"/>
      <c r="C177" s="66">
        <f t="shared" si="21"/>
        <v>159387</v>
      </c>
      <c r="D177" s="15">
        <f>18938+530</f>
        <v>19468</v>
      </c>
      <c r="E177" s="15">
        <v>55404</v>
      </c>
      <c r="F177" s="15">
        <v>1527</v>
      </c>
      <c r="G177" s="69">
        <f>Population!DK402+Population!DL402</f>
        <v>234277</v>
      </c>
      <c r="H177" s="59">
        <f>Population!DM402+Population!DN402</f>
        <v>66303</v>
      </c>
      <c r="I177" s="64">
        <f>Population!DP402</f>
        <v>144356</v>
      </c>
      <c r="J177" s="15">
        <f>Population!DR402</f>
        <v>24239</v>
      </c>
      <c r="K177" s="15">
        <f>Population!DO402+Population!DT402</f>
        <v>621846</v>
      </c>
      <c r="L177" s="15">
        <f>Population!DQ402</f>
        <v>1541</v>
      </c>
      <c r="M177" s="15">
        <f>Population!DS402</f>
        <v>47616</v>
      </c>
      <c r="N177" s="68">
        <f t="shared" si="13"/>
        <v>839598</v>
      </c>
      <c r="O177" s="63">
        <f>Population!DU402</f>
        <v>146771</v>
      </c>
      <c r="P177" s="15">
        <f>Population!DV402</f>
        <v>417376</v>
      </c>
      <c r="Q177" s="15">
        <f>Population!DW402</f>
        <v>17134</v>
      </c>
      <c r="R177" s="88">
        <f t="shared" si="18"/>
        <v>581281</v>
      </c>
      <c r="S177" s="88">
        <f t="shared" si="14"/>
        <v>1721459</v>
      </c>
      <c r="T177" s="17">
        <f>Population!DZ402</f>
        <v>85275</v>
      </c>
      <c r="U177" s="153">
        <f>Population!G402+Population!H402+Population!I402+Population!J402+Population!K402+Population!N402</f>
        <v>80400</v>
      </c>
      <c r="V177" s="67">
        <v>1820</v>
      </c>
      <c r="W177" s="15">
        <v>1319</v>
      </c>
      <c r="X177" s="89">
        <f t="shared" si="15"/>
        <v>168814</v>
      </c>
      <c r="Y177" s="65">
        <f t="shared" si="16"/>
        <v>1890273</v>
      </c>
    </row>
    <row r="178" spans="1:25" hidden="1" x14ac:dyDescent="0.25">
      <c r="A178" s="14">
        <v>44470</v>
      </c>
      <c r="B178" s="14"/>
      <c r="C178" s="66">
        <f t="shared" si="21"/>
        <v>159384</v>
      </c>
      <c r="D178" s="15">
        <f>19066+530</f>
        <v>19596</v>
      </c>
      <c r="E178" s="15">
        <v>55659</v>
      </c>
      <c r="F178" s="15">
        <v>1548</v>
      </c>
      <c r="G178" s="69">
        <f>Population!DK403+Population!DL403</f>
        <v>234912</v>
      </c>
      <c r="H178" s="59">
        <f>Population!DM403+Population!DN403</f>
        <v>66285</v>
      </c>
      <c r="I178" s="64">
        <f>Population!DP403</f>
        <v>145895</v>
      </c>
      <c r="J178" s="15">
        <f>Population!DR403</f>
        <v>24548</v>
      </c>
      <c r="K178" s="15">
        <f>Population!DO403+Population!DT403</f>
        <v>626507</v>
      </c>
      <c r="L178" s="15">
        <f>Population!DQ403</f>
        <v>1533</v>
      </c>
      <c r="M178" s="15">
        <f>Population!DS403</f>
        <v>47913</v>
      </c>
      <c r="N178" s="68">
        <f t="shared" si="13"/>
        <v>846396</v>
      </c>
      <c r="O178" s="63">
        <f>Population!DU403</f>
        <v>147966</v>
      </c>
      <c r="P178" s="15">
        <f>Population!DV403</f>
        <v>425193</v>
      </c>
      <c r="Q178" s="15">
        <f>Population!DW403</f>
        <v>17008</v>
      </c>
      <c r="R178" s="88">
        <f t="shared" si="18"/>
        <v>590167</v>
      </c>
      <c r="S178" s="88">
        <f t="shared" si="14"/>
        <v>1737760</v>
      </c>
      <c r="T178" s="17">
        <f>Population!DZ403</f>
        <v>86355</v>
      </c>
      <c r="U178" s="153">
        <f>Population!G403+Population!H403+Population!I403+Population!J403+Population!K403+Population!N403</f>
        <v>80181</v>
      </c>
      <c r="V178" s="67">
        <v>1838</v>
      </c>
      <c r="W178" s="15">
        <v>1885</v>
      </c>
      <c r="X178" s="89">
        <f t="shared" si="15"/>
        <v>170259</v>
      </c>
      <c r="Y178" s="65">
        <f t="shared" si="16"/>
        <v>1908019</v>
      </c>
    </row>
    <row r="179" spans="1:25" hidden="1" x14ac:dyDescent="0.25">
      <c r="A179" s="14">
        <v>44501</v>
      </c>
      <c r="B179" s="14"/>
      <c r="C179" s="66">
        <f t="shared" si="21"/>
        <v>158211</v>
      </c>
      <c r="D179" s="15">
        <f>19108+530</f>
        <v>19638</v>
      </c>
      <c r="E179" s="15">
        <v>55962</v>
      </c>
      <c r="F179" s="15">
        <v>1541</v>
      </c>
      <c r="G179" s="69">
        <f>Population!DK404+Population!DL404</f>
        <v>235503</v>
      </c>
      <c r="H179" s="59">
        <f>Population!DM404+Population!DN404</f>
        <v>66281</v>
      </c>
      <c r="I179" s="64">
        <f>Population!DP404</f>
        <v>147371</v>
      </c>
      <c r="J179" s="15">
        <f>Population!DR404</f>
        <v>24834</v>
      </c>
      <c r="K179" s="15">
        <f>Population!DO404+Population!DT404</f>
        <v>629830</v>
      </c>
      <c r="L179" s="15">
        <f>Population!DQ404</f>
        <v>1517</v>
      </c>
      <c r="M179" s="15">
        <f>Population!DS404</f>
        <v>48089</v>
      </c>
      <c r="N179" s="68">
        <f t="shared" si="13"/>
        <v>851641</v>
      </c>
      <c r="O179" s="63">
        <f>Population!DU404</f>
        <v>148759</v>
      </c>
      <c r="P179" s="15">
        <f>Population!DV404</f>
        <v>432070</v>
      </c>
      <c r="Q179" s="15">
        <f>Population!DW404</f>
        <v>16856</v>
      </c>
      <c r="R179" s="88">
        <f t="shared" si="18"/>
        <v>597685</v>
      </c>
      <c r="S179" s="88">
        <f t="shared" si="14"/>
        <v>1751110</v>
      </c>
      <c r="T179" s="17">
        <f>Population!DZ404</f>
        <v>87470</v>
      </c>
      <c r="U179" s="153">
        <f>Population!G404+Population!H404+Population!I404+Population!J404+Population!K404+Population!N404</f>
        <v>80102</v>
      </c>
      <c r="V179" s="67">
        <v>1834</v>
      </c>
      <c r="W179" s="15">
        <v>2347</v>
      </c>
      <c r="X179" s="89">
        <f t="shared" si="15"/>
        <v>171753</v>
      </c>
      <c r="Y179" s="65">
        <f t="shared" si="16"/>
        <v>1922863</v>
      </c>
    </row>
    <row r="180" spans="1:25" hidden="1" x14ac:dyDescent="0.25">
      <c r="A180" s="14">
        <v>44531</v>
      </c>
      <c r="B180" s="14"/>
      <c r="C180" s="66">
        <f t="shared" si="21"/>
        <v>159496</v>
      </c>
      <c r="D180" s="15">
        <f>19047+512</f>
        <v>19559</v>
      </c>
      <c r="E180" s="15">
        <v>56086</v>
      </c>
      <c r="F180" s="15">
        <v>1549</v>
      </c>
      <c r="G180" s="69">
        <f>Population!DK405+Population!DL405</f>
        <v>235786</v>
      </c>
      <c r="H180" s="59">
        <f>Population!DM405+Population!DN405</f>
        <v>66197</v>
      </c>
      <c r="I180" s="64">
        <f>Population!DP405</f>
        <v>150575</v>
      </c>
      <c r="J180" s="15">
        <f>Population!DR405</f>
        <v>21599</v>
      </c>
      <c r="K180" s="15">
        <f>Population!DO405+Population!DT405</f>
        <v>633808</v>
      </c>
      <c r="L180" s="15">
        <f>Population!DQ405</f>
        <v>1518</v>
      </c>
      <c r="M180" s="15">
        <f>Population!DS405</f>
        <v>48308</v>
      </c>
      <c r="N180" s="68">
        <f t="shared" si="13"/>
        <v>855808</v>
      </c>
      <c r="O180" s="63">
        <f>Population!DU405</f>
        <v>151968</v>
      </c>
      <c r="P180" s="15">
        <f>Population!DV405</f>
        <v>442032</v>
      </c>
      <c r="Q180" s="15">
        <f>Population!DW405</f>
        <v>16729</v>
      </c>
      <c r="R180" s="88">
        <f t="shared" si="18"/>
        <v>610729</v>
      </c>
      <c r="S180" s="88">
        <f t="shared" si="14"/>
        <v>1768520</v>
      </c>
      <c r="T180" s="17">
        <f>Population!DZ405</f>
        <v>88544</v>
      </c>
      <c r="U180" s="153">
        <f>Population!G405+Population!H405+Population!I405+Population!J405+Population!K405+Population!N405</f>
        <v>80070</v>
      </c>
      <c r="V180" s="67">
        <v>1884</v>
      </c>
      <c r="W180" s="15">
        <v>2611</v>
      </c>
      <c r="X180" s="89">
        <f t="shared" si="15"/>
        <v>173109</v>
      </c>
      <c r="Y180" s="65">
        <f t="shared" si="16"/>
        <v>1941629</v>
      </c>
    </row>
    <row r="181" spans="1:25" hidden="1" x14ac:dyDescent="0.25">
      <c r="A181" s="14">
        <v>44562</v>
      </c>
      <c r="B181" s="14"/>
      <c r="C181" s="66">
        <f t="shared" si="21"/>
        <v>159440</v>
      </c>
      <c r="D181" s="15">
        <f>19067+520</f>
        <v>19587</v>
      </c>
      <c r="E181" s="15">
        <v>56250</v>
      </c>
      <c r="F181" s="15">
        <v>1556</v>
      </c>
      <c r="G181" s="69">
        <f>Population!DK406+Population!DL406</f>
        <v>236187</v>
      </c>
      <c r="H181" s="59">
        <f>Population!DM406+Population!DN406</f>
        <v>66237</v>
      </c>
      <c r="I181" s="64">
        <f>Population!DP406</f>
        <v>152502</v>
      </c>
      <c r="J181" s="15">
        <f>Population!DR406</f>
        <v>22073</v>
      </c>
      <c r="K181" s="15">
        <f>Population!DO406+Population!DT406</f>
        <v>638923</v>
      </c>
      <c r="L181" s="15">
        <f>Population!DQ406</f>
        <v>1518</v>
      </c>
      <c r="M181" s="15">
        <f>Population!DS406</f>
        <v>48732</v>
      </c>
      <c r="N181" s="68">
        <f t="shared" si="13"/>
        <v>863748</v>
      </c>
      <c r="O181" s="63">
        <f>Population!DU406</f>
        <v>153391</v>
      </c>
      <c r="P181" s="15">
        <f>Population!DV406</f>
        <v>451796</v>
      </c>
      <c r="Q181" s="15">
        <f>Population!DW406</f>
        <v>16613</v>
      </c>
      <c r="R181" s="88">
        <f t="shared" si="18"/>
        <v>621800</v>
      </c>
      <c r="S181" s="88">
        <f t="shared" si="14"/>
        <v>1787972</v>
      </c>
      <c r="T181" s="17">
        <f>Population!DZ406</f>
        <v>90110</v>
      </c>
      <c r="U181" s="153">
        <f>Population!G406+Population!H406+Population!I406+Population!J406+Population!K406+Population!N406</f>
        <v>80160</v>
      </c>
      <c r="V181" s="67">
        <v>1962</v>
      </c>
      <c r="W181" s="15">
        <v>2840</v>
      </c>
      <c r="X181" s="89">
        <f t="shared" si="15"/>
        <v>175072</v>
      </c>
      <c r="Y181" s="65">
        <f t="shared" si="16"/>
        <v>1963044</v>
      </c>
    </row>
    <row r="182" spans="1:25" hidden="1" x14ac:dyDescent="0.25">
      <c r="A182" s="14">
        <v>44593</v>
      </c>
      <c r="B182" s="14"/>
      <c r="C182" s="66">
        <f t="shared" si="21"/>
        <v>160426</v>
      </c>
      <c r="D182" s="15">
        <f>18965+519</f>
        <v>19484</v>
      </c>
      <c r="E182" s="15">
        <v>56223</v>
      </c>
      <c r="F182" s="15">
        <v>1548</v>
      </c>
      <c r="G182" s="69">
        <f>Population!DK407+Population!DL407</f>
        <v>235352</v>
      </c>
      <c r="H182" s="59">
        <f>Population!DM407+Population!DN407</f>
        <v>66136</v>
      </c>
      <c r="I182" s="64">
        <f>Population!DP407</f>
        <v>154127</v>
      </c>
      <c r="J182" s="15">
        <f>Population!DR407</f>
        <v>21824</v>
      </c>
      <c r="K182" s="15">
        <f>Population!DO407+Population!DT407</f>
        <v>643570</v>
      </c>
      <c r="L182" s="15">
        <f>Population!DQ407</f>
        <v>1526</v>
      </c>
      <c r="M182" s="15">
        <f>Population!DS407</f>
        <v>49213</v>
      </c>
      <c r="N182" s="68">
        <f t="shared" si="13"/>
        <v>870260</v>
      </c>
      <c r="O182" s="63">
        <f>Population!DU407</f>
        <v>154868</v>
      </c>
      <c r="P182" s="15">
        <f>Population!DV407</f>
        <v>459739</v>
      </c>
      <c r="Q182" s="15">
        <f>Population!DW407</f>
        <v>16441</v>
      </c>
      <c r="R182" s="88">
        <f t="shared" si="18"/>
        <v>631048</v>
      </c>
      <c r="S182" s="88">
        <f t="shared" si="14"/>
        <v>1802796</v>
      </c>
      <c r="T182" s="17">
        <f>Population!DZ407</f>
        <v>91219</v>
      </c>
      <c r="U182" s="153">
        <f>Population!G407+Population!H407+Population!I407+Population!J407+Population!K407+Population!N407</f>
        <v>80399</v>
      </c>
      <c r="V182" s="67">
        <v>2008</v>
      </c>
      <c r="W182" s="15">
        <v>2994</v>
      </c>
      <c r="X182" s="89">
        <f t="shared" si="15"/>
        <v>176620</v>
      </c>
      <c r="Y182" s="65">
        <f t="shared" si="16"/>
        <v>1979416</v>
      </c>
    </row>
    <row r="183" spans="1:25" hidden="1" x14ac:dyDescent="0.25">
      <c r="A183" s="14">
        <v>44621</v>
      </c>
      <c r="B183" s="14"/>
      <c r="C183" s="66">
        <f t="shared" si="21"/>
        <v>160626</v>
      </c>
      <c r="D183" s="15">
        <f>18958+527</f>
        <v>19485</v>
      </c>
      <c r="E183" s="15">
        <v>56249</v>
      </c>
      <c r="F183" s="15">
        <v>1551</v>
      </c>
      <c r="G183" s="69">
        <f>Population!DK408+Population!DL408</f>
        <v>236690</v>
      </c>
      <c r="H183" s="59">
        <f>Population!DM408+Population!DN408</f>
        <v>65963</v>
      </c>
      <c r="I183" s="64">
        <f>Population!DP408</f>
        <v>155366</v>
      </c>
      <c r="J183" s="15">
        <f>Population!DR408</f>
        <v>21646</v>
      </c>
      <c r="K183" s="15">
        <f>Population!DO408+Population!DT408</f>
        <v>646779</v>
      </c>
      <c r="L183" s="15">
        <f>Population!DQ408</f>
        <v>1542</v>
      </c>
      <c r="M183" s="15">
        <f>Population!DS408</f>
        <v>49484</v>
      </c>
      <c r="N183" s="68">
        <f t="shared" si="13"/>
        <v>874817</v>
      </c>
      <c r="O183" s="63">
        <f>Population!DU408</f>
        <v>156003</v>
      </c>
      <c r="P183" s="15">
        <f>Population!DV408</f>
        <v>465007</v>
      </c>
      <c r="Q183" s="15">
        <f>Population!DW408</f>
        <v>16430</v>
      </c>
      <c r="R183" s="88">
        <f t="shared" si="18"/>
        <v>637440</v>
      </c>
      <c r="S183" s="88">
        <f t="shared" si="14"/>
        <v>1814910</v>
      </c>
      <c r="T183" s="17">
        <f>Population!DZ408</f>
        <v>92160</v>
      </c>
      <c r="U183" s="153">
        <f>Population!G408+Population!H408+Population!I408+Population!J408+Population!K408+Population!N408</f>
        <v>80461</v>
      </c>
      <c r="V183" s="67">
        <v>1996</v>
      </c>
      <c r="W183" s="15">
        <v>3195</v>
      </c>
      <c r="X183" s="89">
        <f t="shared" si="15"/>
        <v>177812</v>
      </c>
      <c r="Y183" s="65">
        <f t="shared" si="16"/>
        <v>1992722</v>
      </c>
    </row>
    <row r="184" spans="1:25" hidden="1" x14ac:dyDescent="0.25">
      <c r="A184" s="14">
        <v>44652</v>
      </c>
      <c r="B184" s="14"/>
      <c r="C184" s="66">
        <f>G188-D184-E184-F184</f>
        <v>160947</v>
      </c>
      <c r="D184" s="15">
        <f>19087+536</f>
        <v>19623</v>
      </c>
      <c r="E184" s="15">
        <v>56473</v>
      </c>
      <c r="F184" s="15">
        <v>1557</v>
      </c>
      <c r="G184" s="69">
        <f>Population!DK409+Population!DL409</f>
        <v>236833</v>
      </c>
      <c r="H184" s="59">
        <f>Population!DM409+Population!DN409</f>
        <v>65830</v>
      </c>
      <c r="I184" s="64">
        <f>Population!DP409</f>
        <v>156606</v>
      </c>
      <c r="J184" s="15">
        <f>Population!DR409</f>
        <v>24709</v>
      </c>
      <c r="K184" s="15">
        <f>Population!DO409+Population!DT409</f>
        <v>651216</v>
      </c>
      <c r="L184" s="15">
        <f>Population!DQ409</f>
        <v>1554</v>
      </c>
      <c r="M184" s="15">
        <f>Population!DS409</f>
        <v>50216</v>
      </c>
      <c r="N184" s="68">
        <f t="shared" si="13"/>
        <v>884301</v>
      </c>
      <c r="O184" s="63">
        <f>Population!DU409</f>
        <v>156966</v>
      </c>
      <c r="P184" s="15">
        <f>Population!DV409</f>
        <v>473054</v>
      </c>
      <c r="Q184" s="15">
        <f>Population!DW409</f>
        <v>16355</v>
      </c>
      <c r="R184" s="88">
        <f t="shared" si="18"/>
        <v>646375</v>
      </c>
      <c r="S184" s="88">
        <f t="shared" si="14"/>
        <v>1833339</v>
      </c>
      <c r="T184" s="17">
        <f>Population!DZ409</f>
        <v>92500</v>
      </c>
      <c r="U184" s="153">
        <f>Population!G409+Population!H409+Population!I409+Population!J409+Population!K409+Population!N409</f>
        <v>81348</v>
      </c>
      <c r="V184" s="67">
        <v>2145</v>
      </c>
      <c r="W184" s="15">
        <v>3825</v>
      </c>
      <c r="X184" s="89">
        <f t="shared" si="15"/>
        <v>179818</v>
      </c>
      <c r="Y184" s="65">
        <f t="shared" si="16"/>
        <v>2013157</v>
      </c>
    </row>
    <row r="185" spans="1:25" hidden="1" x14ac:dyDescent="0.25">
      <c r="A185" s="14">
        <v>44682</v>
      </c>
      <c r="B185" s="14"/>
      <c r="C185" s="66">
        <f>G189-D185-E185-F185</f>
        <v>161366</v>
      </c>
      <c r="D185" s="15">
        <f>18986+480</f>
        <v>19466</v>
      </c>
      <c r="E185" s="15">
        <v>56793</v>
      </c>
      <c r="F185" s="15">
        <v>1557</v>
      </c>
      <c r="G185" s="69">
        <f>Population!DK410+Population!DL410</f>
        <v>237681</v>
      </c>
      <c r="H185" s="59">
        <f>Population!DM410+Population!DN410</f>
        <v>65825</v>
      </c>
      <c r="I185" s="64">
        <f>Population!DP410</f>
        <v>157482</v>
      </c>
      <c r="J185" s="15">
        <f>Population!DR410</f>
        <v>21488</v>
      </c>
      <c r="K185" s="15">
        <f>Population!DO410+Population!DT410</f>
        <v>653185</v>
      </c>
      <c r="L185" s="15">
        <f>Population!DQ410</f>
        <v>1546</v>
      </c>
      <c r="M185" s="15">
        <f>Population!DS410</f>
        <v>49272</v>
      </c>
      <c r="N185" s="68">
        <f t="shared" si="13"/>
        <v>882973</v>
      </c>
      <c r="O185" s="63">
        <f>Population!DU410</f>
        <v>158970</v>
      </c>
      <c r="P185" s="15">
        <f>Population!DV410</f>
        <v>482669</v>
      </c>
      <c r="Q185" s="15">
        <f>Population!DW410</f>
        <v>16313</v>
      </c>
      <c r="R185" s="88">
        <f t="shared" si="18"/>
        <v>657952</v>
      </c>
      <c r="S185" s="88">
        <f t="shared" si="14"/>
        <v>1844431</v>
      </c>
      <c r="T185" s="17">
        <f>Population!DZ410</f>
        <v>94061</v>
      </c>
      <c r="U185" s="153">
        <f>Population!G410+Population!H410+Population!I410+Population!J410+Population!K410+Population!N410</f>
        <v>79681</v>
      </c>
      <c r="V185" s="67">
        <v>2082</v>
      </c>
      <c r="W185" s="15">
        <v>3826</v>
      </c>
      <c r="X185" s="89">
        <f t="shared" si="15"/>
        <v>179650</v>
      </c>
      <c r="Y185" s="65">
        <f t="shared" si="16"/>
        <v>2024081</v>
      </c>
    </row>
    <row r="186" spans="1:25" hidden="1" x14ac:dyDescent="0.25">
      <c r="A186" s="14">
        <v>44713</v>
      </c>
      <c r="B186" s="14"/>
      <c r="C186" s="66">
        <f>G190-D186-E186-F186</f>
        <v>161011</v>
      </c>
      <c r="D186" s="15">
        <f>18915+508</f>
        <v>19423</v>
      </c>
      <c r="E186" s="15">
        <v>57006</v>
      </c>
      <c r="F186" s="15">
        <v>1565</v>
      </c>
      <c r="G186" s="69">
        <f>Population!DK411+Population!DL411</f>
        <v>237911</v>
      </c>
      <c r="H186" s="59">
        <f>Population!DM411+Population!DN411</f>
        <v>65694</v>
      </c>
      <c r="I186" s="64">
        <f>Population!DP411</f>
        <v>157986</v>
      </c>
      <c r="J186" s="15">
        <f>Population!DR411</f>
        <v>21221</v>
      </c>
      <c r="K186" s="15">
        <f>Population!DO411+Population!DT411</f>
        <v>655387</v>
      </c>
      <c r="L186" s="15">
        <f>Population!DQ411</f>
        <v>1593</v>
      </c>
      <c r="M186" s="15">
        <f>Population!DS411</f>
        <v>48927</v>
      </c>
      <c r="N186" s="68">
        <f t="shared" si="13"/>
        <v>885114</v>
      </c>
      <c r="O186" s="63">
        <f>Population!DU411</f>
        <v>160112</v>
      </c>
      <c r="P186" s="15">
        <f>Population!DV411</f>
        <v>488587</v>
      </c>
      <c r="Q186" s="15">
        <f>Population!DW411</f>
        <v>16455</v>
      </c>
      <c r="R186" s="88">
        <f t="shared" si="18"/>
        <v>665154</v>
      </c>
      <c r="S186" s="88">
        <f t="shared" si="14"/>
        <v>1853873</v>
      </c>
      <c r="T186" s="17">
        <f>Population!DZ411</f>
        <v>94733</v>
      </c>
      <c r="U186" s="153">
        <f>Population!G411+Population!H411+Population!I411+Population!J411+Population!K411+Population!N411</f>
        <v>78707</v>
      </c>
      <c r="V186" s="67">
        <v>2071</v>
      </c>
      <c r="W186" s="15">
        <v>4024</v>
      </c>
      <c r="X186" s="89">
        <f t="shared" si="15"/>
        <v>179535</v>
      </c>
      <c r="Y186" s="65">
        <f t="shared" si="16"/>
        <v>2033408</v>
      </c>
    </row>
    <row r="187" spans="1:25" hidden="1" x14ac:dyDescent="0.25">
      <c r="A187" s="14"/>
      <c r="B187" s="14"/>
      <c r="C187" s="66"/>
      <c r="D187" s="15"/>
      <c r="E187" s="15"/>
      <c r="F187" s="15"/>
      <c r="G187" s="69"/>
      <c r="H187" s="59"/>
      <c r="I187" s="64"/>
      <c r="J187" s="15"/>
      <c r="K187" s="15"/>
      <c r="L187" s="15"/>
      <c r="M187" s="15"/>
      <c r="N187" s="68"/>
      <c r="O187" s="63"/>
      <c r="P187" s="15"/>
      <c r="Q187" s="15"/>
      <c r="R187" s="88"/>
      <c r="S187" s="88"/>
      <c r="T187" s="17"/>
      <c r="U187" s="153"/>
      <c r="V187" s="67"/>
      <c r="W187" s="15"/>
      <c r="X187" s="89"/>
      <c r="Y187" s="65"/>
    </row>
    <row r="188" spans="1:25" hidden="1" x14ac:dyDescent="0.25">
      <c r="A188" s="14">
        <v>44743</v>
      </c>
      <c r="B188" s="14"/>
      <c r="C188" s="66">
        <f t="shared" ref="C188:C195" si="22">G192-D188-E188-F188</f>
        <v>160924</v>
      </c>
      <c r="D188" s="15">
        <f>19006+497</f>
        <v>19503</v>
      </c>
      <c r="E188" s="15">
        <v>57236</v>
      </c>
      <c r="F188" s="15">
        <v>1583</v>
      </c>
      <c r="G188" s="69">
        <f>Population!DK412+Population!DL412</f>
        <v>238600</v>
      </c>
      <c r="H188" s="59">
        <f>Population!DM412+Population!DN412</f>
        <v>65646</v>
      </c>
      <c r="I188" s="64">
        <f>Population!DP412</f>
        <v>159478</v>
      </c>
      <c r="J188" s="15">
        <f>Population!DR412</f>
        <v>21366</v>
      </c>
      <c r="K188" s="15">
        <f>Population!DO412+Population!DT412</f>
        <v>659336</v>
      </c>
      <c r="L188" s="15">
        <f>Population!DQ412</f>
        <v>1600</v>
      </c>
      <c r="M188" s="15">
        <f>Population!DS412</f>
        <v>49305</v>
      </c>
      <c r="N188" s="68">
        <f t="shared" si="13"/>
        <v>891085</v>
      </c>
      <c r="O188" s="63">
        <f>Population!DU412</f>
        <v>161101</v>
      </c>
      <c r="P188" s="15">
        <f>Population!DV412</f>
        <v>493760</v>
      </c>
      <c r="Q188" s="15">
        <f>Population!DW412</f>
        <v>16482</v>
      </c>
      <c r="R188" s="88">
        <f t="shared" si="18"/>
        <v>671343</v>
      </c>
      <c r="S188" s="88">
        <f t="shared" si="14"/>
        <v>1866674</v>
      </c>
      <c r="T188" s="17">
        <f>Population!DZ412</f>
        <v>95450</v>
      </c>
      <c r="U188" s="153">
        <f>Population!G412+Population!H412+Population!I412+Population!J412+Population!K412+Population!N412</f>
        <v>78850</v>
      </c>
      <c r="V188" s="67">
        <v>2097</v>
      </c>
      <c r="W188" s="15">
        <v>4211</v>
      </c>
      <c r="X188" s="89">
        <f t="shared" si="15"/>
        <v>180608</v>
      </c>
      <c r="Y188" s="65">
        <f t="shared" si="16"/>
        <v>2047282</v>
      </c>
    </row>
    <row r="189" spans="1:25" hidden="1" x14ac:dyDescent="0.25">
      <c r="A189" s="14">
        <v>44774</v>
      </c>
      <c r="B189" s="14"/>
      <c r="C189" s="58">
        <f t="shared" si="22"/>
        <v>160914</v>
      </c>
      <c r="D189" s="18">
        <f>19146+531</f>
        <v>19677</v>
      </c>
      <c r="E189" s="18">
        <v>57568</v>
      </c>
      <c r="F189" s="18">
        <v>1602</v>
      </c>
      <c r="G189" s="69">
        <f>Population!DK413+Population!DL413</f>
        <v>239182</v>
      </c>
      <c r="H189" s="59">
        <f>Population!DM413+Population!DN413</f>
        <v>65538</v>
      </c>
      <c r="I189" s="64">
        <f>Population!DP413</f>
        <v>160538</v>
      </c>
      <c r="J189" s="15">
        <f>Population!DR413</f>
        <v>22318</v>
      </c>
      <c r="K189" s="15">
        <f>Population!DO413+Population!DT413</f>
        <v>662866</v>
      </c>
      <c r="L189" s="15">
        <f>Population!DQ413</f>
        <v>2146</v>
      </c>
      <c r="M189" s="15">
        <f>Population!DS413</f>
        <v>49329</v>
      </c>
      <c r="N189" s="68">
        <f t="shared" si="13"/>
        <v>897197</v>
      </c>
      <c r="O189" s="63">
        <f>Population!DU413</f>
        <v>161700</v>
      </c>
      <c r="P189" s="15">
        <f>Population!DV413</f>
        <v>499595</v>
      </c>
      <c r="Q189" s="15">
        <f>Population!DW413</f>
        <v>16725</v>
      </c>
      <c r="R189" s="88">
        <f t="shared" si="18"/>
        <v>678020</v>
      </c>
      <c r="S189" s="88">
        <f t="shared" si="14"/>
        <v>1879937</v>
      </c>
      <c r="T189" s="17">
        <f>Population!DZ413</f>
        <v>96294</v>
      </c>
      <c r="U189" s="153">
        <f>Population!G413+Population!H413+Population!I413+Population!J413+Population!K413+Population!N413</f>
        <v>79051</v>
      </c>
      <c r="V189" s="67">
        <v>2358</v>
      </c>
      <c r="W189" s="15">
        <v>4371</v>
      </c>
      <c r="X189" s="89">
        <f t="shared" si="15"/>
        <v>182074</v>
      </c>
      <c r="Y189" s="65">
        <f t="shared" si="16"/>
        <v>2062011</v>
      </c>
    </row>
    <row r="190" spans="1:25" hidden="1" x14ac:dyDescent="0.25">
      <c r="A190" s="14">
        <v>44805</v>
      </c>
      <c r="B190" s="14"/>
      <c r="C190" s="66">
        <f t="shared" si="22"/>
        <v>160986</v>
      </c>
      <c r="D190" s="15">
        <f>19154+510</f>
        <v>19664</v>
      </c>
      <c r="E190" s="15">
        <v>57838</v>
      </c>
      <c r="F190" s="15">
        <v>1604</v>
      </c>
      <c r="G190" s="69">
        <f>Population!DK414+Population!DL414</f>
        <v>239005</v>
      </c>
      <c r="H190" s="59">
        <f>Population!DM414+Population!DN414</f>
        <v>65234</v>
      </c>
      <c r="I190" s="64">
        <f>Population!DP414</f>
        <v>160422</v>
      </c>
      <c r="J190" s="15">
        <f>Population!DR414</f>
        <v>22604</v>
      </c>
      <c r="K190" s="15">
        <f>Population!DO414+Population!DT414</f>
        <v>664630</v>
      </c>
      <c r="L190" s="15">
        <f>Population!DQ414</f>
        <v>3844</v>
      </c>
      <c r="M190" s="15">
        <f>Population!DS414</f>
        <v>49427</v>
      </c>
      <c r="N190" s="68">
        <f t="shared" si="13"/>
        <v>900927</v>
      </c>
      <c r="O190" s="63">
        <f>Population!DU414</f>
        <v>161897</v>
      </c>
      <c r="P190" s="15">
        <f>Population!DV414</f>
        <v>506025</v>
      </c>
      <c r="Q190" s="15">
        <f>Population!DW414</f>
        <v>17482</v>
      </c>
      <c r="R190" s="88">
        <f t="shared" si="18"/>
        <v>685404</v>
      </c>
      <c r="S190" s="88">
        <f t="shared" si="14"/>
        <v>1890570</v>
      </c>
      <c r="T190" s="17">
        <f>Population!DZ414</f>
        <v>97236</v>
      </c>
      <c r="U190" s="153">
        <f>Population!G414+Population!H414+Population!I414+Population!J414+Population!K414+Population!N414</f>
        <v>79441</v>
      </c>
      <c r="V190" s="67">
        <v>2474</v>
      </c>
      <c r="W190" s="15">
        <v>4470</v>
      </c>
      <c r="X190" s="89">
        <f t="shared" si="15"/>
        <v>183621</v>
      </c>
      <c r="Y190" s="65">
        <f t="shared" si="16"/>
        <v>2074191</v>
      </c>
    </row>
    <row r="191" spans="1:25" hidden="1" x14ac:dyDescent="0.25">
      <c r="A191" s="14">
        <v>44835</v>
      </c>
      <c r="B191" s="14"/>
      <c r="C191" s="66">
        <f t="shared" si="22"/>
        <v>160675</v>
      </c>
      <c r="D191" s="15">
        <f>19219+538</f>
        <v>19757</v>
      </c>
      <c r="E191" s="15">
        <v>58173</v>
      </c>
      <c r="F191" s="15">
        <v>1610</v>
      </c>
      <c r="G191" s="69">
        <f>Population!DK415+Population!DL415</f>
        <v>239014</v>
      </c>
      <c r="H191" s="59">
        <f>Population!DM415+Population!DN415</f>
        <v>65053</v>
      </c>
      <c r="I191" s="64">
        <f>Population!DP415</f>
        <v>160234</v>
      </c>
      <c r="J191" s="15">
        <f>Population!DR415</f>
        <v>23401</v>
      </c>
      <c r="K191" s="15">
        <f>Population!DO415+Population!DT415</f>
        <v>665596</v>
      </c>
      <c r="L191" s="15">
        <f>Population!DQ415</f>
        <v>5092</v>
      </c>
      <c r="M191" s="15">
        <f>Population!DS415</f>
        <v>49156</v>
      </c>
      <c r="N191" s="68">
        <f t="shared" si="13"/>
        <v>903479</v>
      </c>
      <c r="O191" s="63">
        <f>Population!DU415</f>
        <v>162305</v>
      </c>
      <c r="P191" s="15">
        <f>Population!DV415</f>
        <v>511078</v>
      </c>
      <c r="Q191" s="15">
        <f>Population!DW415</f>
        <v>18312</v>
      </c>
      <c r="R191" s="88">
        <f t="shared" si="18"/>
        <v>691695</v>
      </c>
      <c r="S191" s="88">
        <f t="shared" si="14"/>
        <v>1899241</v>
      </c>
      <c r="T191" s="17">
        <f>Population!DZ415</f>
        <v>98069</v>
      </c>
      <c r="U191" s="153">
        <f>Population!G415+Population!H415+Population!I415+Population!J415+Population!K415+Population!N415</f>
        <v>80000</v>
      </c>
      <c r="V191" s="67">
        <v>2569</v>
      </c>
      <c r="W191" s="15">
        <v>4650</v>
      </c>
      <c r="X191" s="89">
        <f t="shared" si="15"/>
        <v>185288</v>
      </c>
      <c r="Y191" s="65">
        <f t="shared" si="16"/>
        <v>2084529</v>
      </c>
    </row>
    <row r="192" spans="1:25" hidden="1" x14ac:dyDescent="0.25">
      <c r="A192" s="14">
        <v>44866</v>
      </c>
      <c r="B192" s="14"/>
      <c r="C192" s="66">
        <f t="shared" si="22"/>
        <v>160900</v>
      </c>
      <c r="D192" s="15">
        <f>19298+533</f>
        <v>19831</v>
      </c>
      <c r="E192" s="15">
        <v>58461</v>
      </c>
      <c r="F192" s="15">
        <v>1626</v>
      </c>
      <c r="G192" s="69">
        <f>Population!DK416+Population!DL416</f>
        <v>239246</v>
      </c>
      <c r="H192" s="59">
        <f>Population!DM416+Population!DN416</f>
        <v>64930</v>
      </c>
      <c r="I192" s="64">
        <f>Population!DP416</f>
        <v>160465</v>
      </c>
      <c r="J192" s="15">
        <f>Population!DR416</f>
        <v>24231</v>
      </c>
      <c r="K192" s="15">
        <f>Population!DO416+Population!DT416</f>
        <v>668086</v>
      </c>
      <c r="L192" s="15">
        <f>Population!DQ416</f>
        <v>6269</v>
      </c>
      <c r="M192" s="15">
        <f>Population!DS416</f>
        <v>49227</v>
      </c>
      <c r="N192" s="68">
        <f t="shared" si="13"/>
        <v>908278</v>
      </c>
      <c r="O192" s="63">
        <f>Population!DU416</f>
        <v>162923</v>
      </c>
      <c r="P192" s="15">
        <f>Population!DV416</f>
        <v>516955</v>
      </c>
      <c r="Q192" s="15">
        <f>Population!DW416</f>
        <v>19379</v>
      </c>
      <c r="R192" s="88">
        <f t="shared" si="18"/>
        <v>699257</v>
      </c>
      <c r="S192" s="88">
        <f t="shared" si="14"/>
        <v>1911711</v>
      </c>
      <c r="T192" s="17">
        <f>Population!DZ416</f>
        <v>99009</v>
      </c>
      <c r="U192" s="153">
        <f>Population!G416+Population!H416+Population!I416+Population!J416+Population!K416+Population!N416</f>
        <v>80580</v>
      </c>
      <c r="V192" s="67">
        <v>2677</v>
      </c>
      <c r="W192" s="15">
        <v>4560</v>
      </c>
      <c r="X192" s="89">
        <f t="shared" si="15"/>
        <v>186826</v>
      </c>
      <c r="Y192" s="65">
        <f t="shared" si="16"/>
        <v>2098537</v>
      </c>
    </row>
    <row r="193" spans="1:25" hidden="1" x14ac:dyDescent="0.25">
      <c r="A193" s="14">
        <v>44896</v>
      </c>
      <c r="B193" s="14"/>
      <c r="C193" s="66">
        <f t="shared" si="22"/>
        <v>160908</v>
      </c>
      <c r="D193" s="15">
        <f>19383+534</f>
        <v>19917</v>
      </c>
      <c r="E193" s="15">
        <v>58835</v>
      </c>
      <c r="F193" s="15">
        <v>1675</v>
      </c>
      <c r="G193" s="69">
        <f>Population!DK417+Population!DL417</f>
        <v>239761</v>
      </c>
      <c r="H193" s="59">
        <f>Population!DM417+Population!DN417</f>
        <v>64865</v>
      </c>
      <c r="I193" s="64">
        <f>Population!DP417</f>
        <v>160834</v>
      </c>
      <c r="J193" s="15">
        <f>Population!DR417</f>
        <v>25149</v>
      </c>
      <c r="K193" s="15">
        <f>Population!DO417+Population!DT417</f>
        <v>670599</v>
      </c>
      <c r="L193" s="15">
        <f>Population!DQ417</f>
        <v>7214</v>
      </c>
      <c r="M193" s="15">
        <f>Population!DS417</f>
        <v>49561</v>
      </c>
      <c r="N193" s="68">
        <f t="shared" si="13"/>
        <v>913357</v>
      </c>
      <c r="O193" s="63">
        <f>Population!DU417</f>
        <v>164045</v>
      </c>
      <c r="P193" s="15">
        <f>Population!DV417</f>
        <v>525797</v>
      </c>
      <c r="Q193" s="15">
        <f>Population!DW417</f>
        <v>20458</v>
      </c>
      <c r="R193" s="88">
        <f t="shared" si="18"/>
        <v>710300</v>
      </c>
      <c r="S193" s="88">
        <f t="shared" si="14"/>
        <v>1928283</v>
      </c>
      <c r="T193" s="17">
        <f>Population!DZ417</f>
        <v>100602</v>
      </c>
      <c r="U193" s="153">
        <f>Population!G417+Population!H417+Population!I417+Population!J417+Population!K417+Population!N417</f>
        <v>81227</v>
      </c>
      <c r="V193" s="67">
        <v>2805</v>
      </c>
      <c r="W193" s="15">
        <v>4509</v>
      </c>
      <c r="X193" s="89">
        <f t="shared" si="15"/>
        <v>189143</v>
      </c>
      <c r="Y193" s="65">
        <f t="shared" si="16"/>
        <v>2117426</v>
      </c>
    </row>
    <row r="194" spans="1:25" hidden="1" x14ac:dyDescent="0.25">
      <c r="A194" s="14">
        <v>44927</v>
      </c>
      <c r="B194" s="14"/>
      <c r="C194" s="66">
        <f t="shared" si="22"/>
        <v>159462</v>
      </c>
      <c r="D194" s="15">
        <f>19271+533</f>
        <v>19804</v>
      </c>
      <c r="E194" s="15">
        <v>58979</v>
      </c>
      <c r="F194" s="15">
        <v>1661</v>
      </c>
      <c r="G194" s="69">
        <f>Population!DK418+Population!DL418</f>
        <v>240092</v>
      </c>
      <c r="H194" s="59">
        <f>Population!DM418+Population!DN418</f>
        <v>64855</v>
      </c>
      <c r="I194" s="64">
        <f>Population!DP418</f>
        <v>161475</v>
      </c>
      <c r="J194" s="15">
        <f>Population!DR418</f>
        <v>25937</v>
      </c>
      <c r="K194" s="15">
        <f>Population!DO418+Population!DT418</f>
        <v>673760</v>
      </c>
      <c r="L194" s="15">
        <f>Population!DQ418</f>
        <v>8373</v>
      </c>
      <c r="M194" s="15">
        <f>Population!DS418</f>
        <v>49994</v>
      </c>
      <c r="N194" s="68">
        <f t="shared" si="13"/>
        <v>919539</v>
      </c>
      <c r="O194" s="63">
        <f>Population!DU418</f>
        <v>165405</v>
      </c>
      <c r="P194" s="15">
        <f>Population!DV418</f>
        <v>536042</v>
      </c>
      <c r="Q194" s="15">
        <f>Population!DW418</f>
        <v>21586</v>
      </c>
      <c r="R194" s="88">
        <f t="shared" si="18"/>
        <v>723033</v>
      </c>
      <c r="S194" s="88">
        <f t="shared" si="14"/>
        <v>1947519</v>
      </c>
      <c r="T194" s="17">
        <f>Population!DZ418</f>
        <v>102578</v>
      </c>
      <c r="U194" s="153">
        <f>Population!G418+Population!H418+Population!I418+Population!J418+Population!K418+Population!N418</f>
        <v>81595</v>
      </c>
      <c r="V194" s="67">
        <v>2917</v>
      </c>
      <c r="W194" s="15">
        <v>4543</v>
      </c>
      <c r="X194" s="89">
        <f t="shared" si="15"/>
        <v>191633</v>
      </c>
      <c r="Y194" s="65">
        <f t="shared" si="16"/>
        <v>2139152</v>
      </c>
    </row>
    <row r="195" spans="1:25" hidden="1" x14ac:dyDescent="0.25">
      <c r="A195" s="14">
        <v>44958</v>
      </c>
      <c r="B195" s="14"/>
      <c r="C195" s="66">
        <f t="shared" si="22"/>
        <v>158786</v>
      </c>
      <c r="D195" s="15">
        <f>19346+530</f>
        <v>19876</v>
      </c>
      <c r="E195" s="15">
        <v>59228</v>
      </c>
      <c r="F195" s="15">
        <v>1672</v>
      </c>
      <c r="G195" s="69">
        <f>Population!DK419+Population!DL419</f>
        <v>240215</v>
      </c>
      <c r="H195" s="59">
        <f>Population!DM419+Population!DN419</f>
        <v>64690</v>
      </c>
      <c r="I195" s="64">
        <f>Population!DP419</f>
        <v>162323</v>
      </c>
      <c r="J195" s="15">
        <f>Population!DR419</f>
        <v>26806</v>
      </c>
      <c r="K195" s="15">
        <f>Population!DO419+Population!DT419</f>
        <v>677759</v>
      </c>
      <c r="L195" s="15">
        <f>Population!DQ419</f>
        <v>9436</v>
      </c>
      <c r="M195" s="15">
        <f>Population!DS419</f>
        <v>50352</v>
      </c>
      <c r="N195" s="68">
        <f t="shared" si="13"/>
        <v>926676</v>
      </c>
      <c r="O195" s="63">
        <f>Population!DU419</f>
        <v>166389</v>
      </c>
      <c r="P195" s="15">
        <f>Population!DV419</f>
        <v>543249</v>
      </c>
      <c r="Q195" s="15">
        <f>Population!DW419</f>
        <v>22772</v>
      </c>
      <c r="R195" s="88">
        <f t="shared" si="18"/>
        <v>732410</v>
      </c>
      <c r="S195" s="88">
        <f t="shared" si="14"/>
        <v>1963991</v>
      </c>
      <c r="T195" s="17">
        <f>Population!DZ419</f>
        <v>103611</v>
      </c>
      <c r="U195" s="153">
        <f>Population!G419+Population!H419+Population!I419+Population!J419+Population!K419+Population!N419</f>
        <v>82372</v>
      </c>
      <c r="V195" s="67">
        <v>3085</v>
      </c>
      <c r="W195" s="15">
        <v>4674</v>
      </c>
      <c r="X195" s="89">
        <f t="shared" si="15"/>
        <v>193742</v>
      </c>
      <c r="Y195" s="65">
        <f t="shared" si="16"/>
        <v>2157733</v>
      </c>
    </row>
    <row r="196" spans="1:25" hidden="1" x14ac:dyDescent="0.25">
      <c r="A196" s="14">
        <v>44986</v>
      </c>
      <c r="B196" s="14"/>
      <c r="C196" s="66">
        <f>G201-D196-E196-F196</f>
        <v>155986</v>
      </c>
      <c r="D196" s="15">
        <f>19339+524</f>
        <v>19863</v>
      </c>
      <c r="E196" s="15">
        <v>59272</v>
      </c>
      <c r="F196" s="15">
        <v>1667</v>
      </c>
      <c r="G196" s="69">
        <f>Population!DK420+Population!DL420</f>
        <v>240818</v>
      </c>
      <c r="H196" s="59">
        <f>Population!DM420+Population!DN420</f>
        <v>64641</v>
      </c>
      <c r="I196" s="64">
        <f>Population!DP420</f>
        <v>162351</v>
      </c>
      <c r="J196" s="15">
        <f>Population!DR420</f>
        <v>27622</v>
      </c>
      <c r="K196" s="15">
        <f>Population!DO420+Population!DT420</f>
        <v>680124</v>
      </c>
      <c r="L196" s="15">
        <f>Population!DQ420</f>
        <v>10773</v>
      </c>
      <c r="M196" s="15">
        <f>Population!DS420</f>
        <v>50573</v>
      </c>
      <c r="N196" s="68">
        <f t="shared" si="13"/>
        <v>931443</v>
      </c>
      <c r="O196" s="63">
        <f>Population!DU420</f>
        <v>167160</v>
      </c>
      <c r="P196" s="15">
        <f>Population!DV420</f>
        <v>547400</v>
      </c>
      <c r="Q196" s="15">
        <f>Population!DW420</f>
        <v>23659</v>
      </c>
      <c r="R196" s="88">
        <f t="shared" si="18"/>
        <v>738219</v>
      </c>
      <c r="S196" s="88">
        <f t="shared" si="14"/>
        <v>1975121</v>
      </c>
      <c r="T196" s="17">
        <f>Population!DZ420</f>
        <v>104316</v>
      </c>
      <c r="U196" s="153">
        <f>Population!G420+Population!H420+Population!I420+Population!J420+Population!K420+Population!N420</f>
        <v>82750</v>
      </c>
      <c r="V196" s="67">
        <v>3126</v>
      </c>
      <c r="W196" s="15">
        <v>4590</v>
      </c>
      <c r="X196" s="89">
        <f t="shared" si="15"/>
        <v>194782</v>
      </c>
      <c r="Y196" s="65">
        <f t="shared" si="16"/>
        <v>2169903</v>
      </c>
    </row>
    <row r="197" spans="1:25" hidden="1" x14ac:dyDescent="0.25">
      <c r="A197" s="14">
        <v>45017</v>
      </c>
      <c r="B197" s="14"/>
      <c r="C197" s="66">
        <f>G202-D197-E197-F197</f>
        <v>152002</v>
      </c>
      <c r="D197" s="15">
        <f>19698+518</f>
        <v>20216</v>
      </c>
      <c r="E197" s="15">
        <v>60043</v>
      </c>
      <c r="F197" s="15">
        <v>1713</v>
      </c>
      <c r="G197" s="69">
        <f>Population!DK421+Population!DL421</f>
        <v>241335</v>
      </c>
      <c r="H197" s="59">
        <f>Population!DM421+Population!DN421</f>
        <v>64676</v>
      </c>
      <c r="I197" s="64">
        <f>Population!DP421</f>
        <v>162738</v>
      </c>
      <c r="J197" s="15">
        <f>Population!DR421</f>
        <v>28214</v>
      </c>
      <c r="K197" s="15">
        <f>Population!DO421+Population!DT421</f>
        <v>683589</v>
      </c>
      <c r="L197" s="15">
        <f>Population!DQ421</f>
        <v>11921</v>
      </c>
      <c r="M197" s="15">
        <f>Population!DS421</f>
        <v>50612</v>
      </c>
      <c r="N197" s="68">
        <f t="shared" si="13"/>
        <v>937074</v>
      </c>
      <c r="O197" s="63">
        <f>Population!DU421</f>
        <v>168379</v>
      </c>
      <c r="P197" s="15">
        <f>Population!DV421</f>
        <v>552779</v>
      </c>
      <c r="Q197" s="15">
        <f>Population!DW421</f>
        <v>24757</v>
      </c>
      <c r="R197" s="88">
        <f t="shared" si="18"/>
        <v>745915</v>
      </c>
      <c r="S197" s="88">
        <f t="shared" si="14"/>
        <v>1989000</v>
      </c>
      <c r="T197" s="17">
        <f>Population!DZ421</f>
        <v>105034</v>
      </c>
      <c r="U197" s="153">
        <f>Population!G421+Population!H421+Population!I421+Population!J421+Population!K421+Population!N421</f>
        <v>83384</v>
      </c>
      <c r="V197" s="67">
        <v>3202</v>
      </c>
      <c r="W197" s="15">
        <v>4688</v>
      </c>
      <c r="X197" s="89">
        <f t="shared" si="15"/>
        <v>196308</v>
      </c>
      <c r="Y197" s="65">
        <f t="shared" si="16"/>
        <v>2185308</v>
      </c>
    </row>
    <row r="198" spans="1:25" hidden="1" x14ac:dyDescent="0.25">
      <c r="A198" s="14">
        <v>45047</v>
      </c>
      <c r="B198" s="14"/>
      <c r="C198" s="66">
        <f>G203-D198-E198-F198</f>
        <v>150241</v>
      </c>
      <c r="D198" s="47">
        <f>19481+518</f>
        <v>19999</v>
      </c>
      <c r="E198" s="15">
        <v>60301</v>
      </c>
      <c r="F198" s="15">
        <v>1716</v>
      </c>
      <c r="G198" s="69">
        <f>Population!DK422+Population!DL422</f>
        <v>239906</v>
      </c>
      <c r="H198" s="59">
        <f>Population!DM422+Population!DN422</f>
        <v>64446</v>
      </c>
      <c r="I198" s="64">
        <f>Population!DP422</f>
        <v>160748</v>
      </c>
      <c r="J198" s="15">
        <f>Population!DR422</f>
        <v>29044</v>
      </c>
      <c r="K198" s="15">
        <f>Population!DO422+Population!DT422</f>
        <v>682708</v>
      </c>
      <c r="L198" s="15">
        <f>Population!DQ422</f>
        <v>12766</v>
      </c>
      <c r="M198" s="15">
        <f>Population!DS422</f>
        <v>51153</v>
      </c>
      <c r="N198" s="68">
        <f t="shared" si="13"/>
        <v>936419</v>
      </c>
      <c r="O198" s="63">
        <f>Population!DU422</f>
        <v>169049</v>
      </c>
      <c r="P198" s="15">
        <f>Population!DV422</f>
        <v>556573</v>
      </c>
      <c r="Q198" s="15">
        <f>Population!DW422</f>
        <v>25608</v>
      </c>
      <c r="R198" s="88">
        <f t="shared" si="18"/>
        <v>751230</v>
      </c>
      <c r="S198" s="88">
        <f t="shared" si="14"/>
        <v>1992001</v>
      </c>
      <c r="T198" s="17">
        <f>Population!DZ422</f>
        <v>105539</v>
      </c>
      <c r="U198" s="153">
        <f>Population!G422+Population!H422+Population!I422+Population!J422+Population!K422+Population!N422</f>
        <v>83090</v>
      </c>
      <c r="V198" s="67">
        <v>3212</v>
      </c>
      <c r="W198" s="15">
        <v>4732</v>
      </c>
      <c r="X198" s="89">
        <f t="shared" si="15"/>
        <v>196573</v>
      </c>
      <c r="Y198" s="65">
        <f t="shared" si="16"/>
        <v>2188574</v>
      </c>
    </row>
    <row r="199" spans="1:25" hidden="1" x14ac:dyDescent="0.25">
      <c r="A199" s="14">
        <v>45078</v>
      </c>
      <c r="B199" s="14"/>
      <c r="C199" s="66">
        <f>G204-D199-E199-F199</f>
        <v>150130</v>
      </c>
      <c r="D199" s="15">
        <f>19600+498</f>
        <v>20098</v>
      </c>
      <c r="E199" s="15">
        <v>60627</v>
      </c>
      <c r="F199" s="15">
        <v>1738</v>
      </c>
      <c r="G199" s="69">
        <f>Population!DK423+Population!DL423</f>
        <v>239562</v>
      </c>
      <c r="H199" s="59">
        <f>Population!DM423+Population!DN423</f>
        <v>64467</v>
      </c>
      <c r="I199" s="64">
        <f>Population!DP423</f>
        <v>158656</v>
      </c>
      <c r="J199" s="15">
        <f>Population!DR423</f>
        <v>29358</v>
      </c>
      <c r="K199" s="15">
        <f>Population!DO423+Population!DT423</f>
        <v>676220</v>
      </c>
      <c r="L199" s="15">
        <f>Population!DQ423</f>
        <v>13572</v>
      </c>
      <c r="M199" s="15">
        <f>Population!DS423</f>
        <v>52385</v>
      </c>
      <c r="N199" s="68">
        <f t="shared" si="13"/>
        <v>930191</v>
      </c>
      <c r="O199" s="63">
        <f>Population!DU423</f>
        <v>166717</v>
      </c>
      <c r="P199" s="15">
        <f>Population!DV423</f>
        <v>551669</v>
      </c>
      <c r="Q199" s="15">
        <f>Population!DW423</f>
        <v>26534</v>
      </c>
      <c r="R199" s="88">
        <f t="shared" si="18"/>
        <v>744920</v>
      </c>
      <c r="S199" s="88">
        <f t="shared" si="14"/>
        <v>1979140</v>
      </c>
      <c r="T199" s="17">
        <f>Population!DZ423</f>
        <v>104483</v>
      </c>
      <c r="U199" s="153">
        <f>Population!G423+Population!H423+Population!I423+Population!J423+Population!K423+Population!N423</f>
        <v>83532</v>
      </c>
      <c r="V199" s="67">
        <v>3201</v>
      </c>
      <c r="W199" s="15">
        <v>4748</v>
      </c>
      <c r="X199" s="89">
        <f t="shared" si="15"/>
        <v>195964</v>
      </c>
      <c r="Y199" s="65">
        <f t="shared" si="16"/>
        <v>2175104</v>
      </c>
    </row>
    <row r="200" spans="1:25" hidden="1" x14ac:dyDescent="0.25">
      <c r="A200" s="14"/>
      <c r="B200" s="14"/>
      <c r="C200" s="66"/>
      <c r="D200" s="15"/>
      <c r="E200" s="15"/>
      <c r="F200" s="15"/>
      <c r="G200" s="69"/>
      <c r="H200" s="59"/>
      <c r="I200" s="64"/>
      <c r="J200" s="15"/>
      <c r="K200" s="15"/>
      <c r="L200" s="15"/>
      <c r="M200" s="15"/>
      <c r="N200" s="68"/>
      <c r="O200" s="63"/>
      <c r="P200" s="15"/>
      <c r="Q200" s="15"/>
      <c r="R200" s="88"/>
      <c r="S200" s="88"/>
      <c r="T200" s="17"/>
      <c r="U200" s="67"/>
      <c r="V200" s="16"/>
      <c r="W200" s="15"/>
      <c r="X200" s="89"/>
      <c r="Y200" s="65"/>
    </row>
    <row r="201" spans="1:25" hidden="1" x14ac:dyDescent="0.25">
      <c r="A201" s="14">
        <v>45108</v>
      </c>
      <c r="B201" s="14"/>
      <c r="C201" s="66">
        <f t="shared" ref="C201:C207" si="23">G206-D201-E201-F201</f>
        <v>149659</v>
      </c>
      <c r="D201" s="15">
        <f>19612+481</f>
        <v>20093</v>
      </c>
      <c r="E201" s="15">
        <v>60454</v>
      </c>
      <c r="F201" s="15">
        <v>1740</v>
      </c>
      <c r="G201" s="69">
        <f>Population!DK424+Population!DL424</f>
        <v>236788</v>
      </c>
      <c r="H201" s="59">
        <f>Population!DM424+Population!DN424</f>
        <v>62802</v>
      </c>
      <c r="I201" s="64">
        <f>Population!DP424</f>
        <v>156821</v>
      </c>
      <c r="J201" s="15">
        <f>Population!DR424</f>
        <v>29207</v>
      </c>
      <c r="K201" s="15">
        <f>Population!DO424+Population!DT424</f>
        <v>666811</v>
      </c>
      <c r="L201" s="15">
        <f>Population!DQ424</f>
        <v>14198</v>
      </c>
      <c r="M201" s="15">
        <f>Population!DS424</f>
        <v>52072</v>
      </c>
      <c r="N201" s="68">
        <f t="shared" ref="N201:N215" si="24">SUM(I201:M201)</f>
        <v>919109</v>
      </c>
      <c r="O201" s="63">
        <f>Population!DU424</f>
        <v>163676</v>
      </c>
      <c r="P201" s="15">
        <f>Population!DV424</f>
        <v>546611</v>
      </c>
      <c r="Q201" s="15">
        <f>Population!DW424</f>
        <v>27371</v>
      </c>
      <c r="R201" s="88">
        <f t="shared" si="18"/>
        <v>737658</v>
      </c>
      <c r="S201" s="88">
        <f t="shared" ref="S201:S215" si="25">G201+N201+R201+H201</f>
        <v>1956357</v>
      </c>
      <c r="T201" s="17">
        <f>Population!DZ424</f>
        <v>102046</v>
      </c>
      <c r="U201" s="153">
        <f>Population!G424+Population!H424+Population!I424+Population!J424+Population!K424+Population!N424</f>
        <v>83330</v>
      </c>
      <c r="V201" s="67">
        <v>3222</v>
      </c>
      <c r="W201" s="15">
        <v>4770</v>
      </c>
      <c r="X201" s="89">
        <f t="shared" ref="X201:X215" si="26">SUM(T201:W201)</f>
        <v>193368</v>
      </c>
      <c r="Y201" s="65">
        <f t="shared" ref="Y201:Y215" si="27">S201+X201</f>
        <v>2149725</v>
      </c>
    </row>
    <row r="202" spans="1:25" hidden="1" x14ac:dyDescent="0.25">
      <c r="A202" s="14">
        <v>45139</v>
      </c>
      <c r="B202" s="14"/>
      <c r="C202" s="66">
        <f t="shared" si="23"/>
        <v>149993</v>
      </c>
      <c r="D202" s="15">
        <f>19802+513</f>
        <v>20315</v>
      </c>
      <c r="E202" s="15">
        <v>59525</v>
      </c>
      <c r="F202" s="15">
        <v>1713</v>
      </c>
      <c r="G202" s="69">
        <f>Population!DK425+Population!DL425</f>
        <v>233974</v>
      </c>
      <c r="H202" s="59">
        <f>Population!DM425+Population!DN425</f>
        <v>61180</v>
      </c>
      <c r="I202" s="64">
        <f>Population!DP425</f>
        <v>155285</v>
      </c>
      <c r="J202" s="15">
        <f>Population!DR425</f>
        <v>28984</v>
      </c>
      <c r="K202" s="15">
        <f>Population!DO425+Population!DT425</f>
        <v>657294</v>
      </c>
      <c r="L202" s="15">
        <f>Population!DQ425</f>
        <v>14774</v>
      </c>
      <c r="M202" s="15">
        <f>Population!DS425</f>
        <v>51892</v>
      </c>
      <c r="N202" s="68">
        <f t="shared" si="24"/>
        <v>908229</v>
      </c>
      <c r="O202" s="63">
        <f>Population!DU425</f>
        <v>160164</v>
      </c>
      <c r="P202" s="15">
        <f>Population!DV425</f>
        <v>541379</v>
      </c>
      <c r="Q202" s="15">
        <f>Population!DW425</f>
        <v>28224</v>
      </c>
      <c r="R202" s="88">
        <f t="shared" si="18"/>
        <v>729767</v>
      </c>
      <c r="S202" s="88">
        <f t="shared" si="25"/>
        <v>1933150</v>
      </c>
      <c r="T202" s="17">
        <f>Population!DZ425</f>
        <v>99674</v>
      </c>
      <c r="U202" s="153">
        <f>Population!G425+Population!H425+Population!I425+Population!J425+Population!K425+Population!N425</f>
        <v>83045</v>
      </c>
      <c r="V202" s="67">
        <v>3220</v>
      </c>
      <c r="W202" s="15">
        <v>4721</v>
      </c>
      <c r="X202" s="89">
        <f t="shared" si="26"/>
        <v>190660</v>
      </c>
      <c r="Y202" s="65">
        <f t="shared" si="27"/>
        <v>2123810</v>
      </c>
    </row>
    <row r="203" spans="1:25" hidden="1" x14ac:dyDescent="0.25">
      <c r="A203" s="14">
        <v>45170</v>
      </c>
      <c r="B203" s="14"/>
      <c r="C203" s="66">
        <f t="shared" si="23"/>
        <v>148959</v>
      </c>
      <c r="D203" s="15">
        <f>19855+497</f>
        <v>20352</v>
      </c>
      <c r="E203" s="15">
        <v>59968</v>
      </c>
      <c r="F203" s="15">
        <v>1720</v>
      </c>
      <c r="G203" s="69">
        <f>Population!DK426+Population!DL426</f>
        <v>232257</v>
      </c>
      <c r="H203" s="59">
        <f>Population!DM426+Population!DN426</f>
        <v>61586</v>
      </c>
      <c r="I203" s="64">
        <f>Population!DP426</f>
        <v>153226</v>
      </c>
      <c r="J203" s="15">
        <f>Population!DR426</f>
        <v>28890</v>
      </c>
      <c r="K203" s="15">
        <f>Population!DO426+Population!DT426</f>
        <v>645387</v>
      </c>
      <c r="L203" s="15">
        <f>Population!DQ426</f>
        <v>15602</v>
      </c>
      <c r="M203" s="15">
        <f>Population!DS426</f>
        <v>52079</v>
      </c>
      <c r="N203" s="68">
        <f t="shared" si="24"/>
        <v>895184</v>
      </c>
      <c r="O203" s="63">
        <f>Population!DU426</f>
        <v>155956</v>
      </c>
      <c r="P203" s="15">
        <f>Population!DV426</f>
        <v>535543</v>
      </c>
      <c r="Q203" s="15">
        <f>Population!DW426</f>
        <v>28900</v>
      </c>
      <c r="R203" s="88">
        <f t="shared" si="18"/>
        <v>720399</v>
      </c>
      <c r="S203" s="88">
        <f t="shared" si="25"/>
        <v>1909426</v>
      </c>
      <c r="T203" s="17">
        <f>Population!DZ426</f>
        <v>97114</v>
      </c>
      <c r="U203" s="153">
        <f>Population!G426+Population!H426+Population!I426+Population!J426+Population!K426+Population!N426</f>
        <v>83250</v>
      </c>
      <c r="V203" s="67">
        <v>3380</v>
      </c>
      <c r="W203" s="15">
        <v>4603</v>
      </c>
      <c r="X203" s="89">
        <f t="shared" si="26"/>
        <v>188347</v>
      </c>
      <c r="Y203" s="65">
        <f t="shared" si="27"/>
        <v>2097773</v>
      </c>
    </row>
    <row r="204" spans="1:25" hidden="1" x14ac:dyDescent="0.25">
      <c r="A204" s="14">
        <v>45200</v>
      </c>
      <c r="B204" s="14"/>
      <c r="C204" s="66">
        <f t="shared" si="23"/>
        <v>148309</v>
      </c>
      <c r="D204" s="15">
        <f>19204+506</f>
        <v>19710</v>
      </c>
      <c r="E204" s="15">
        <v>59894</v>
      </c>
      <c r="F204" s="15">
        <v>1784</v>
      </c>
      <c r="G204" s="69">
        <f>Population!DK427+Population!DL427</f>
        <v>232593</v>
      </c>
      <c r="H204" s="59">
        <f>Population!DM427+Population!DN427</f>
        <v>62546</v>
      </c>
      <c r="I204" s="64">
        <f>Population!DP427</f>
        <v>155391</v>
      </c>
      <c r="J204" s="15">
        <f>Population!DR427</f>
        <v>29925</v>
      </c>
      <c r="K204" s="15">
        <f>Population!DO427+Population!DT427</f>
        <v>656062</v>
      </c>
      <c r="L204" s="15">
        <f>Population!DQ427</f>
        <v>16520</v>
      </c>
      <c r="M204" s="15">
        <f>Population!DS427</f>
        <v>53292</v>
      </c>
      <c r="N204" s="68">
        <f t="shared" si="24"/>
        <v>911190</v>
      </c>
      <c r="O204" s="63">
        <f>Population!DU427</f>
        <v>158627</v>
      </c>
      <c r="P204" s="15">
        <f>Population!DV427</f>
        <v>548506</v>
      </c>
      <c r="Q204" s="15">
        <f>Population!DW427</f>
        <v>29834</v>
      </c>
      <c r="R204" s="88">
        <f t="shared" si="18"/>
        <v>736967</v>
      </c>
      <c r="S204" s="88">
        <f t="shared" si="25"/>
        <v>1943296</v>
      </c>
      <c r="T204" s="17">
        <f>Population!DZ427</f>
        <v>100486</v>
      </c>
      <c r="U204" s="153">
        <f>Population!G427+Population!H427+Population!I427+Population!J427+Population!K427+Population!N427</f>
        <v>88456</v>
      </c>
      <c r="V204" s="67">
        <v>3366</v>
      </c>
      <c r="W204" s="15">
        <v>4657</v>
      </c>
      <c r="X204" s="89">
        <f t="shared" si="26"/>
        <v>196965</v>
      </c>
      <c r="Y204" s="65">
        <f t="shared" si="27"/>
        <v>2140261</v>
      </c>
    </row>
    <row r="205" spans="1:25" hidden="1" x14ac:dyDescent="0.25">
      <c r="A205" s="14">
        <v>45231</v>
      </c>
      <c r="B205" s="14"/>
      <c r="C205" s="66">
        <f t="shared" si="23"/>
        <v>144401</v>
      </c>
      <c r="D205" s="15">
        <f>19383+512</f>
        <v>19895</v>
      </c>
      <c r="E205" s="15">
        <v>60315</v>
      </c>
      <c r="F205" s="15">
        <v>1789</v>
      </c>
      <c r="G205" s="69">
        <f>Population!DK428+Population!DL428</f>
        <v>232957</v>
      </c>
      <c r="H205" s="59">
        <f>Population!DM428+Population!DN428</f>
        <v>63389</v>
      </c>
      <c r="I205" s="64">
        <f>Population!DP428</f>
        <v>152777</v>
      </c>
      <c r="J205" s="15">
        <f>Population!DR428</f>
        <v>30091</v>
      </c>
      <c r="K205" s="15">
        <f>Population!DO428+Population!DT428</f>
        <v>643647</v>
      </c>
      <c r="L205" s="15">
        <f>Population!DQ428</f>
        <v>17308</v>
      </c>
      <c r="M205" s="15">
        <f>Population!DS428</f>
        <v>54147</v>
      </c>
      <c r="N205" s="68">
        <f t="shared" si="24"/>
        <v>897970</v>
      </c>
      <c r="O205" s="63">
        <f>Population!DU428</f>
        <v>153444</v>
      </c>
      <c r="P205" s="15">
        <f>Population!DV428</f>
        <v>537858</v>
      </c>
      <c r="Q205" s="15">
        <f>Population!DW428</f>
        <v>30778</v>
      </c>
      <c r="R205" s="88">
        <f t="shared" si="18"/>
        <v>722080</v>
      </c>
      <c r="S205" s="88">
        <f t="shared" si="25"/>
        <v>1916396</v>
      </c>
      <c r="T205" s="17">
        <f>Population!DZ428</f>
        <v>97861</v>
      </c>
      <c r="U205" s="153">
        <f>Population!G428+Population!H428+Population!I428+Population!J428+Population!K428+Population!N428</f>
        <v>89663</v>
      </c>
      <c r="V205" s="67">
        <v>3499</v>
      </c>
      <c r="W205" s="15">
        <v>4591</v>
      </c>
      <c r="X205" s="89">
        <f t="shared" si="26"/>
        <v>195614</v>
      </c>
      <c r="Y205" s="65">
        <f t="shared" si="27"/>
        <v>2112010</v>
      </c>
    </row>
    <row r="206" spans="1:25" hidden="1" x14ac:dyDescent="0.25">
      <c r="A206" s="14">
        <v>45261</v>
      </c>
      <c r="B206" s="14"/>
      <c r="C206" s="66">
        <f t="shared" si="23"/>
        <v>143523</v>
      </c>
      <c r="D206" s="15">
        <v>19703</v>
      </c>
      <c r="E206" s="15">
        <v>60446</v>
      </c>
      <c r="F206" s="15">
        <v>1845</v>
      </c>
      <c r="G206" s="69">
        <f>Population!DK429+Population!DL429</f>
        <v>231946</v>
      </c>
      <c r="H206" s="59">
        <f>Population!DM429+Population!DN429</f>
        <v>63852</v>
      </c>
      <c r="I206" s="64">
        <f>Population!DP429</f>
        <v>151910</v>
      </c>
      <c r="J206" s="15">
        <f>Population!DR429</f>
        <v>30206</v>
      </c>
      <c r="K206" s="15">
        <f>Population!DO429+Population!DT429</f>
        <v>637441</v>
      </c>
      <c r="L206" s="15">
        <f>Population!DQ429</f>
        <v>18187</v>
      </c>
      <c r="M206" s="15">
        <f>Population!DS429</f>
        <v>54999</v>
      </c>
      <c r="N206" s="68">
        <f t="shared" si="24"/>
        <v>892743</v>
      </c>
      <c r="O206" s="63">
        <f>Population!DU429</f>
        <v>151507</v>
      </c>
      <c r="P206" s="15">
        <f>Population!DV429</f>
        <v>536202</v>
      </c>
      <c r="Q206" s="15">
        <f>Population!DW429</f>
        <v>31694</v>
      </c>
      <c r="R206" s="88">
        <f t="shared" si="18"/>
        <v>719403</v>
      </c>
      <c r="S206" s="88">
        <f t="shared" si="25"/>
        <v>1907944</v>
      </c>
      <c r="T206" s="17">
        <f>Population!DZ429</f>
        <v>97085</v>
      </c>
      <c r="U206" s="153">
        <f>Population!G429+Population!H429+Population!I429+Population!J429+Population!K429+Population!N429</f>
        <v>92938</v>
      </c>
      <c r="V206" s="67">
        <v>3520</v>
      </c>
      <c r="W206" s="15">
        <v>4481</v>
      </c>
      <c r="X206" s="89">
        <f t="shared" si="26"/>
        <v>198024</v>
      </c>
      <c r="Y206" s="65">
        <f t="shared" si="27"/>
        <v>2105968</v>
      </c>
    </row>
    <row r="207" spans="1:25" hidden="1" x14ac:dyDescent="0.25">
      <c r="A207" s="14">
        <v>45292</v>
      </c>
      <c r="B207" s="14"/>
      <c r="C207" s="66">
        <f t="shared" si="23"/>
        <v>144083</v>
      </c>
      <c r="D207" s="15">
        <v>19585</v>
      </c>
      <c r="E207" s="15">
        <v>60337</v>
      </c>
      <c r="F207" s="15">
        <v>1806</v>
      </c>
      <c r="G207" s="69">
        <f>Population!DK430+Population!DL430</f>
        <v>231546</v>
      </c>
      <c r="H207" s="59">
        <f>Population!DM430+Population!DN430</f>
        <v>64352</v>
      </c>
      <c r="I207" s="64">
        <f>Population!DP430</f>
        <v>151103</v>
      </c>
      <c r="J207" s="15">
        <f>Population!DR430</f>
        <v>30497</v>
      </c>
      <c r="K207" s="15">
        <f>Population!DO430+Population!DT430</f>
        <v>633398</v>
      </c>
      <c r="L207" s="15">
        <f>Population!DQ430</f>
        <v>19468</v>
      </c>
      <c r="M207" s="15">
        <f>Population!DS430</f>
        <v>56007</v>
      </c>
      <c r="N207" s="68">
        <f t="shared" si="24"/>
        <v>890473</v>
      </c>
      <c r="O207" s="63">
        <f>Population!DU430</f>
        <v>150937</v>
      </c>
      <c r="P207" s="15">
        <f>Population!DV430</f>
        <v>538116</v>
      </c>
      <c r="Q207" s="15">
        <f>Population!DW430</f>
        <v>32653</v>
      </c>
      <c r="R207" s="88">
        <f t="shared" ref="R207:R215" si="28">SUM(O207:Q207)</f>
        <v>721706</v>
      </c>
      <c r="S207" s="88">
        <f t="shared" si="25"/>
        <v>1908077</v>
      </c>
      <c r="T207" s="17">
        <f>Population!DZ430</f>
        <v>97077</v>
      </c>
      <c r="U207" s="153">
        <f>Population!G430+Population!H430+Population!I430+Population!J430+Population!K430+Population!N430</f>
        <v>95906</v>
      </c>
      <c r="V207" s="15">
        <v>3632</v>
      </c>
      <c r="W207" s="15">
        <v>4344</v>
      </c>
      <c r="X207" s="89">
        <f t="shared" si="26"/>
        <v>200959</v>
      </c>
      <c r="Y207" s="65">
        <f t="shared" si="27"/>
        <v>2109036</v>
      </c>
    </row>
    <row r="208" spans="1:25" hidden="1" x14ac:dyDescent="0.25">
      <c r="A208" s="14">
        <v>45323</v>
      </c>
      <c r="B208" s="14"/>
      <c r="C208" s="66">
        <f>G214-D208-E208-F208</f>
        <v>142108</v>
      </c>
      <c r="D208" s="15">
        <v>19809</v>
      </c>
      <c r="E208" s="15">
        <v>60967</v>
      </c>
      <c r="F208" s="15">
        <v>1818</v>
      </c>
      <c r="G208" s="69">
        <f>Population!DK431+Population!DL431</f>
        <v>230999</v>
      </c>
      <c r="H208" s="59">
        <f>Population!DM431+Population!DN431</f>
        <v>64849</v>
      </c>
      <c r="I208" s="64">
        <f>Population!DP431</f>
        <v>150753</v>
      </c>
      <c r="J208" s="15">
        <f>Population!DR431</f>
        <v>30779</v>
      </c>
      <c r="K208" s="15">
        <f>Population!DO431+Population!DT431</f>
        <v>628988</v>
      </c>
      <c r="L208" s="15">
        <f>Population!DQ431</f>
        <v>20712</v>
      </c>
      <c r="M208" s="15">
        <f>Population!DS431</f>
        <v>56632</v>
      </c>
      <c r="N208" s="68">
        <f t="shared" si="24"/>
        <v>887864</v>
      </c>
      <c r="O208" s="63">
        <f>Population!DU431</f>
        <v>149474</v>
      </c>
      <c r="P208" s="15">
        <f>Population!DV431</f>
        <v>538490</v>
      </c>
      <c r="Q208" s="15">
        <f>Population!DW431</f>
        <v>33703</v>
      </c>
      <c r="R208" s="88">
        <f t="shared" si="28"/>
        <v>721667</v>
      </c>
      <c r="S208" s="88">
        <f t="shared" si="25"/>
        <v>1905379</v>
      </c>
      <c r="T208" s="17">
        <f>Population!DZ431</f>
        <v>96335</v>
      </c>
      <c r="U208" s="153">
        <f>Population!G431+Population!H431+Population!I431+Population!J431+Population!K431+Population!N431</f>
        <v>99421</v>
      </c>
      <c r="V208" s="15">
        <v>3765</v>
      </c>
      <c r="W208" s="15">
        <v>4147</v>
      </c>
      <c r="X208" s="89">
        <f t="shared" si="26"/>
        <v>203668</v>
      </c>
      <c r="Y208" s="65">
        <f t="shared" si="27"/>
        <v>2109047</v>
      </c>
    </row>
    <row r="209" spans="1:25" hidden="1" x14ac:dyDescent="0.25">
      <c r="A209" s="14">
        <v>45352</v>
      </c>
      <c r="B209" s="14"/>
      <c r="C209" s="66">
        <f>G215-D209-E209-F209</f>
        <v>142379</v>
      </c>
      <c r="D209" s="15">
        <v>19807</v>
      </c>
      <c r="E209" s="15">
        <v>60875</v>
      </c>
      <c r="F209" s="15">
        <v>1805</v>
      </c>
      <c r="G209" s="69">
        <f>Population!DK432+Population!DL432</f>
        <v>229697</v>
      </c>
      <c r="H209" s="59">
        <f>Population!DM432+Population!DN432</f>
        <v>65430</v>
      </c>
      <c r="I209" s="64">
        <f>Population!DP432</f>
        <v>149192</v>
      </c>
      <c r="J209" s="15">
        <f>Population!DR432</f>
        <v>30928</v>
      </c>
      <c r="K209" s="15">
        <f>Population!DO432+Population!DT432</f>
        <v>621005</v>
      </c>
      <c r="L209" s="15">
        <f>Population!DQ432</f>
        <v>21775</v>
      </c>
      <c r="M209" s="15">
        <f>Population!DS432</f>
        <v>57008</v>
      </c>
      <c r="N209" s="68">
        <f t="shared" si="24"/>
        <v>879908</v>
      </c>
      <c r="O209" s="63">
        <f>Population!DU432</f>
        <v>146148</v>
      </c>
      <c r="P209" s="15">
        <f>Population!DV432</f>
        <v>530241</v>
      </c>
      <c r="Q209" s="15">
        <f>Population!DW432</f>
        <v>34823</v>
      </c>
      <c r="R209" s="88">
        <f t="shared" si="28"/>
        <v>711212</v>
      </c>
      <c r="S209" s="88">
        <f t="shared" si="25"/>
        <v>1886247</v>
      </c>
      <c r="T209" s="17">
        <f>Population!DZ432</f>
        <v>94729</v>
      </c>
      <c r="U209" s="153">
        <f>Population!G432+Population!H432+Population!I432+Population!J432+Population!K432+Population!N432</f>
        <v>101682</v>
      </c>
      <c r="V209" s="15">
        <v>3732</v>
      </c>
      <c r="W209" s="15">
        <v>4148</v>
      </c>
      <c r="X209" s="89">
        <f t="shared" si="26"/>
        <v>204291</v>
      </c>
      <c r="Y209" s="65">
        <f t="shared" si="27"/>
        <v>2090538</v>
      </c>
    </row>
    <row r="210" spans="1:25" hidden="1" x14ac:dyDescent="0.25">
      <c r="A210" s="14">
        <v>45383</v>
      </c>
      <c r="B210" s="14"/>
      <c r="C210" s="66">
        <f>G210-D210-E210-F210</f>
        <v>144795</v>
      </c>
      <c r="D210" s="15">
        <v>19168</v>
      </c>
      <c r="E210" s="15">
        <v>60678</v>
      </c>
      <c r="F210" s="15">
        <v>1759</v>
      </c>
      <c r="G210" s="69">
        <f>Population!DK433+Population!DL433</f>
        <v>226400</v>
      </c>
      <c r="H210" s="59">
        <f>Population!DM433+Population!DN433</f>
        <v>64814</v>
      </c>
      <c r="I210" s="64">
        <f>Population!DP433</f>
        <v>143806</v>
      </c>
      <c r="J210" s="15">
        <f>Population!DR433</f>
        <v>30982</v>
      </c>
      <c r="K210" s="15">
        <f>Population!DO433+Population!DT433</f>
        <v>604475</v>
      </c>
      <c r="L210" s="15">
        <f>Population!DQ433</f>
        <v>22555</v>
      </c>
      <c r="M210" s="15">
        <f>Population!DS433</f>
        <v>53091</v>
      </c>
      <c r="N210" s="68">
        <f t="shared" si="24"/>
        <v>854909</v>
      </c>
      <c r="O210" s="63">
        <f>Population!DU433</f>
        <v>138422</v>
      </c>
      <c r="P210" s="15">
        <f>Population!DV433</f>
        <v>503986</v>
      </c>
      <c r="Q210" s="15">
        <f>Population!DW433</f>
        <v>35159</v>
      </c>
      <c r="R210" s="88">
        <f t="shared" si="28"/>
        <v>677567</v>
      </c>
      <c r="S210" s="88">
        <f t="shared" si="25"/>
        <v>1823690</v>
      </c>
      <c r="T210" s="17">
        <f>Population!DZ433</f>
        <v>91170</v>
      </c>
      <c r="U210" s="153">
        <f>Population!G433+Population!H433+Population!I433+Population!J433+Population!K433+Population!N433</f>
        <v>100129</v>
      </c>
      <c r="V210" s="15">
        <v>3748</v>
      </c>
      <c r="W210" s="15">
        <v>4217</v>
      </c>
      <c r="X210" s="89">
        <f t="shared" si="26"/>
        <v>199264</v>
      </c>
      <c r="Y210" s="65">
        <f t="shared" si="27"/>
        <v>2022954</v>
      </c>
    </row>
    <row r="211" spans="1:25" hidden="1" x14ac:dyDescent="0.25">
      <c r="A211" s="14">
        <v>45413</v>
      </c>
      <c r="B211" s="14"/>
      <c r="C211" s="66">
        <f t="shared" ref="C211:C215" si="29">G211-D211-E211-F211</f>
        <v>142507</v>
      </c>
      <c r="D211" s="15">
        <v>19568</v>
      </c>
      <c r="E211" s="15">
        <v>61665</v>
      </c>
      <c r="F211" s="15">
        <v>1777</v>
      </c>
      <c r="G211" s="69">
        <f>Population!DK434+Population!DL434</f>
        <v>225517</v>
      </c>
      <c r="H211" s="59">
        <f>Population!DM434+Population!DN434</f>
        <v>66043</v>
      </c>
      <c r="I211" s="64">
        <f>Population!DP434</f>
        <v>143634</v>
      </c>
      <c r="J211" s="15">
        <f>Population!DR434</f>
        <v>27899</v>
      </c>
      <c r="K211" s="15">
        <f>Population!DO434+Population!DT434</f>
        <v>592428</v>
      </c>
      <c r="L211" s="15">
        <f>Population!DQ434</f>
        <v>23200</v>
      </c>
      <c r="M211" s="15">
        <f>Population!DS434</f>
        <v>53568</v>
      </c>
      <c r="N211" s="68">
        <f t="shared" si="24"/>
        <v>840729</v>
      </c>
      <c r="O211" s="63">
        <f>Population!DU434</f>
        <v>136208</v>
      </c>
      <c r="P211" s="15">
        <f>Population!DV434</f>
        <v>499483</v>
      </c>
      <c r="Q211" s="15">
        <f>Population!DW434</f>
        <v>36821</v>
      </c>
      <c r="R211" s="88">
        <f t="shared" si="28"/>
        <v>672512</v>
      </c>
      <c r="S211" s="88">
        <f t="shared" si="25"/>
        <v>1804801</v>
      </c>
      <c r="T211" s="17">
        <f>Population!DZ434</f>
        <v>90203</v>
      </c>
      <c r="U211" s="153">
        <f>Population!G434+Population!H434+Population!I434+Population!J434+Population!K434+Population!N434</f>
        <v>99679</v>
      </c>
      <c r="V211" s="15">
        <v>3667</v>
      </c>
      <c r="W211" s="15">
        <v>4315</v>
      </c>
      <c r="X211" s="89">
        <f t="shared" si="26"/>
        <v>197864</v>
      </c>
      <c r="Y211" s="65">
        <f t="shared" si="27"/>
        <v>2002665</v>
      </c>
    </row>
    <row r="212" spans="1:25" hidden="1" x14ac:dyDescent="0.25">
      <c r="A212" s="14">
        <v>45444</v>
      </c>
      <c r="B212" s="14"/>
      <c r="C212" s="66">
        <f t="shared" si="29"/>
        <v>144151</v>
      </c>
      <c r="D212" s="15">
        <v>19193</v>
      </c>
      <c r="E212" s="15">
        <v>60703</v>
      </c>
      <c r="F212" s="15">
        <v>1764</v>
      </c>
      <c r="G212" s="69">
        <f>Population!DK435+Population!DL435</f>
        <v>225811</v>
      </c>
      <c r="H212" s="59">
        <f>Population!DM435+Population!DN435</f>
        <v>67157</v>
      </c>
      <c r="I212" s="64">
        <f>Population!DP435</f>
        <v>142125</v>
      </c>
      <c r="J212" s="15">
        <f>Population!DR435</f>
        <v>28653</v>
      </c>
      <c r="K212" s="15">
        <f>Population!DO435+Population!DT435</f>
        <v>590825</v>
      </c>
      <c r="L212" s="15">
        <f>Population!DQ435</f>
        <v>23966</v>
      </c>
      <c r="M212" s="15">
        <f>Population!DS435</f>
        <v>53162</v>
      </c>
      <c r="N212" s="68">
        <f t="shared" si="24"/>
        <v>838731</v>
      </c>
      <c r="O212" s="63">
        <f>Population!DU435</f>
        <v>134105</v>
      </c>
      <c r="P212" s="15">
        <f>Population!DV435</f>
        <v>492546</v>
      </c>
      <c r="Q212" s="15">
        <f>Population!DW435</f>
        <v>37888</v>
      </c>
      <c r="R212" s="88">
        <f t="shared" si="28"/>
        <v>664539</v>
      </c>
      <c r="S212" s="88">
        <f t="shared" si="25"/>
        <v>1796238</v>
      </c>
      <c r="T212" s="17">
        <f>Population!DZ435</f>
        <v>92496</v>
      </c>
      <c r="U212" s="153">
        <f>Population!G435+Population!H435+Population!I435+Population!J435+Population!K435+Population!N435</f>
        <v>98035</v>
      </c>
      <c r="V212" s="15">
        <v>3844</v>
      </c>
      <c r="W212" s="15">
        <v>4394</v>
      </c>
      <c r="X212" s="89">
        <f t="shared" si="26"/>
        <v>198769</v>
      </c>
      <c r="Y212" s="65">
        <f t="shared" si="27"/>
        <v>1995007</v>
      </c>
    </row>
    <row r="213" spans="1:25" ht="9" hidden="1" customHeight="1" x14ac:dyDescent="0.25">
      <c r="A213" s="14"/>
      <c r="B213" s="14"/>
      <c r="C213" s="66"/>
      <c r="D213" s="15"/>
      <c r="E213" s="15"/>
      <c r="F213" s="15"/>
      <c r="G213" s="69"/>
      <c r="H213" s="59"/>
      <c r="I213" s="64"/>
      <c r="J213" s="15"/>
      <c r="K213" s="15"/>
      <c r="L213" s="15"/>
      <c r="M213" s="15"/>
      <c r="N213" s="68"/>
      <c r="O213" s="63"/>
      <c r="P213" s="15"/>
      <c r="Q213" s="15"/>
      <c r="R213" s="88"/>
      <c r="S213" s="88"/>
      <c r="T213" s="17"/>
      <c r="U213" s="153"/>
      <c r="W213" s="15"/>
      <c r="X213" s="89"/>
      <c r="Y213" s="65"/>
    </row>
    <row r="214" spans="1:25" ht="15.6" hidden="1" customHeight="1" x14ac:dyDescent="0.25">
      <c r="A214" s="14">
        <v>45474</v>
      </c>
      <c r="B214" s="14"/>
      <c r="C214" s="66">
        <f t="shared" si="29"/>
        <v>142906</v>
      </c>
      <c r="D214" s="15">
        <v>19243</v>
      </c>
      <c r="E214" s="15">
        <v>60733</v>
      </c>
      <c r="F214" s="15">
        <v>1820</v>
      </c>
      <c r="G214" s="69">
        <f>Population!DK436+Population!DL436</f>
        <v>224702</v>
      </c>
      <c r="H214" s="59">
        <f>Population!DM436+Population!DN436</f>
        <v>67156</v>
      </c>
      <c r="I214" s="64">
        <f>Population!DP436</f>
        <v>141024</v>
      </c>
      <c r="J214" s="15">
        <f>Population!DR436</f>
        <v>29056</v>
      </c>
      <c r="K214" s="15">
        <f>Population!DO436+Population!DT436</f>
        <v>589390</v>
      </c>
      <c r="L214" s="15">
        <f>Population!DQ436</f>
        <v>24310</v>
      </c>
      <c r="M214" s="15">
        <f>Population!DS436</f>
        <v>52532</v>
      </c>
      <c r="N214" s="68">
        <f t="shared" si="24"/>
        <v>836312</v>
      </c>
      <c r="O214" s="63">
        <f>Population!DU436</f>
        <v>132023</v>
      </c>
      <c r="P214" s="15">
        <f>Population!DV436</f>
        <v>487720</v>
      </c>
      <c r="Q214" s="15">
        <f>Population!DW436</f>
        <v>38556</v>
      </c>
      <c r="R214" s="88">
        <f t="shared" si="28"/>
        <v>658299</v>
      </c>
      <c r="S214" s="88">
        <f t="shared" si="25"/>
        <v>1786469</v>
      </c>
      <c r="T214" s="17">
        <f>Population!DZ436</f>
        <v>93612</v>
      </c>
      <c r="U214" s="153">
        <f>Population!G436+Population!H436+Population!I436+Population!J436+Population!K436+Population!N436</f>
        <v>96502</v>
      </c>
      <c r="V214" s="67">
        <f>Population!F436</f>
        <v>3966</v>
      </c>
      <c r="W214" s="15">
        <f>Population!CS436+Population!CT436</f>
        <v>4428</v>
      </c>
      <c r="X214" s="89">
        <f t="shared" si="26"/>
        <v>198508</v>
      </c>
      <c r="Y214" s="65">
        <f t="shared" si="27"/>
        <v>1984977</v>
      </c>
    </row>
    <row r="215" spans="1:25" ht="13.2" hidden="1" customHeight="1" x14ac:dyDescent="0.25">
      <c r="A215" s="14">
        <v>45505</v>
      </c>
      <c r="B215" s="14"/>
      <c r="C215" s="58">
        <f t="shared" si="29"/>
        <v>142283</v>
      </c>
      <c r="D215" s="18">
        <f>18756+497</f>
        <v>19253</v>
      </c>
      <c r="E215" s="18">
        <v>61514</v>
      </c>
      <c r="F215" s="18">
        <v>1816</v>
      </c>
      <c r="G215" s="156">
        <f>Population!DK437+Population!DL437</f>
        <v>224866</v>
      </c>
      <c r="H215" s="59">
        <f>Population!DM437+Population!DN437</f>
        <v>67169</v>
      </c>
      <c r="I215" s="64">
        <f>Population!DP437</f>
        <v>140802</v>
      </c>
      <c r="J215" s="18">
        <f>Population!DR437</f>
        <v>28313</v>
      </c>
      <c r="K215" s="18">
        <f>Population!DO437+Population!DT437</f>
        <v>587429</v>
      </c>
      <c r="L215" s="18">
        <f>Population!DQ437</f>
        <v>25085</v>
      </c>
      <c r="M215" s="18">
        <f>Population!DS437</f>
        <v>52109</v>
      </c>
      <c r="N215" s="68">
        <f t="shared" si="24"/>
        <v>833738</v>
      </c>
      <c r="O215" s="63">
        <f>Population!DU437</f>
        <v>131414</v>
      </c>
      <c r="P215" s="18">
        <f>Population!DV437</f>
        <v>489476</v>
      </c>
      <c r="Q215" s="18">
        <f>Population!DW437</f>
        <v>39609</v>
      </c>
      <c r="R215" s="88">
        <f t="shared" si="28"/>
        <v>660499</v>
      </c>
      <c r="S215" s="88">
        <f t="shared" si="25"/>
        <v>1786272</v>
      </c>
      <c r="T215" s="17">
        <f>Population!DZ437</f>
        <v>94335</v>
      </c>
      <c r="U215" s="153">
        <f>Population!G437+Population!H437+Population!I437+Population!J437+Population!K437+Population!N437</f>
        <v>94568</v>
      </c>
      <c r="V215" s="67">
        <f>Population!F437</f>
        <v>3973</v>
      </c>
      <c r="W215" s="15">
        <f>Population!CS437+Population!CT437</f>
        <v>4508</v>
      </c>
      <c r="X215" s="89">
        <f t="shared" si="26"/>
        <v>197384</v>
      </c>
      <c r="Y215" s="65">
        <f t="shared" si="27"/>
        <v>1983656</v>
      </c>
    </row>
    <row r="216" spans="1:25" ht="13.95" hidden="1" customHeight="1" x14ac:dyDescent="0.25">
      <c r="A216" s="14">
        <v>45536</v>
      </c>
      <c r="B216" s="14"/>
      <c r="C216" s="66"/>
      <c r="D216" s="15"/>
      <c r="E216" s="15"/>
      <c r="F216" s="15"/>
      <c r="G216" s="69"/>
      <c r="H216" s="59"/>
      <c r="I216" s="64"/>
      <c r="J216" s="15"/>
      <c r="K216" s="15"/>
      <c r="L216" s="15"/>
      <c r="M216" s="15"/>
      <c r="N216" s="68"/>
      <c r="O216" s="63"/>
      <c r="P216" s="15"/>
      <c r="Q216" s="16">
        <f>Population!DW438</f>
        <v>41285</v>
      </c>
      <c r="R216" s="88"/>
      <c r="S216" s="88"/>
      <c r="T216" s="17"/>
      <c r="U216" s="17"/>
      <c r="V216" s="67"/>
      <c r="W216" s="15"/>
      <c r="X216" s="89"/>
      <c r="Y216" s="65"/>
    </row>
    <row r="217" spans="1:25" ht="12.6" hidden="1" customHeight="1" x14ac:dyDescent="0.25">
      <c r="A217" s="14">
        <v>45566</v>
      </c>
      <c r="B217" s="14"/>
      <c r="C217" s="66"/>
      <c r="D217" s="15"/>
      <c r="E217" s="15"/>
      <c r="F217" s="15"/>
      <c r="G217" s="69"/>
      <c r="H217" s="59"/>
      <c r="I217" s="64"/>
      <c r="J217" s="15"/>
      <c r="K217" s="15"/>
      <c r="L217" s="15"/>
      <c r="M217" s="15"/>
      <c r="N217" s="68"/>
      <c r="O217" s="63"/>
      <c r="P217" s="15"/>
      <c r="Q217" s="16">
        <f>Population!DW439</f>
        <v>0</v>
      </c>
      <c r="R217" s="88"/>
      <c r="S217" s="88"/>
      <c r="T217" s="17"/>
      <c r="U217" s="17"/>
      <c r="V217" s="67"/>
      <c r="W217" s="15"/>
      <c r="X217" s="89"/>
      <c r="Y217" s="65"/>
    </row>
    <row r="218" spans="1:25" ht="12.6" hidden="1" customHeight="1" x14ac:dyDescent="0.25">
      <c r="A218" s="14">
        <v>45597</v>
      </c>
      <c r="B218" s="14"/>
      <c r="C218" s="66"/>
      <c r="D218" s="15"/>
      <c r="E218" s="15"/>
      <c r="F218" s="15"/>
      <c r="G218" s="69"/>
      <c r="H218" s="59"/>
      <c r="I218" s="64"/>
      <c r="J218" s="15"/>
      <c r="K218" s="15"/>
      <c r="L218" s="15"/>
      <c r="M218" s="15"/>
      <c r="N218" s="68"/>
      <c r="O218" s="63"/>
      <c r="P218" s="15"/>
      <c r="Q218" s="16">
        <f>Population!DW440</f>
        <v>0</v>
      </c>
      <c r="R218" s="88"/>
      <c r="S218" s="88"/>
      <c r="T218" s="17"/>
      <c r="U218" s="17"/>
      <c r="V218" s="67"/>
      <c r="W218" s="15"/>
      <c r="X218" s="89"/>
      <c r="Y218" s="65"/>
    </row>
    <row r="219" spans="1:25" hidden="1" x14ac:dyDescent="0.25">
      <c r="A219" s="14">
        <v>45627</v>
      </c>
      <c r="B219" s="14"/>
      <c r="C219" s="66"/>
      <c r="D219" s="15"/>
      <c r="E219" s="15"/>
      <c r="F219" s="15"/>
      <c r="G219" s="69"/>
      <c r="H219" s="59"/>
      <c r="I219" s="64"/>
      <c r="J219" s="15"/>
      <c r="L219" s="15"/>
      <c r="M219" s="15"/>
      <c r="N219" s="68"/>
      <c r="O219" s="63"/>
      <c r="P219" s="15"/>
      <c r="Q219" s="16">
        <f>Population!DW441</f>
        <v>0</v>
      </c>
      <c r="R219" s="88"/>
      <c r="S219" s="88"/>
      <c r="T219" s="17"/>
      <c r="U219" s="17"/>
      <c r="V219" s="67"/>
      <c r="W219" s="15"/>
      <c r="X219" s="89"/>
      <c r="Y219" s="65"/>
    </row>
    <row r="220" spans="1:25" hidden="1" x14ac:dyDescent="0.25">
      <c r="A220" s="14">
        <v>45658</v>
      </c>
      <c r="B220" s="14"/>
      <c r="C220" s="66"/>
      <c r="D220" s="15"/>
      <c r="E220" s="15"/>
      <c r="F220" s="15"/>
      <c r="G220" s="69"/>
      <c r="H220" s="59"/>
      <c r="I220" s="64"/>
      <c r="J220" s="15"/>
      <c r="K220" s="15"/>
      <c r="L220" s="15"/>
      <c r="M220" s="15"/>
      <c r="N220" s="68"/>
      <c r="O220" s="63"/>
      <c r="P220" s="15"/>
      <c r="Q220" s="16">
        <f>Population!DW442</f>
        <v>0</v>
      </c>
      <c r="R220" s="88"/>
      <c r="S220" s="88"/>
      <c r="T220" s="17"/>
      <c r="U220" s="17"/>
      <c r="V220" s="67"/>
      <c r="W220" s="15"/>
      <c r="X220" s="89"/>
      <c r="Y220" s="65"/>
    </row>
    <row r="221" spans="1:25" hidden="1" x14ac:dyDescent="0.25">
      <c r="A221" s="14">
        <v>45689</v>
      </c>
      <c r="B221" s="14"/>
      <c r="C221" s="66"/>
      <c r="D221" s="15"/>
      <c r="E221" s="15"/>
      <c r="F221" s="15"/>
      <c r="G221" s="69"/>
      <c r="H221" s="59"/>
      <c r="I221" s="64"/>
      <c r="J221" s="15"/>
      <c r="K221" s="15"/>
      <c r="L221" s="15"/>
      <c r="M221" s="15"/>
      <c r="N221" s="68"/>
      <c r="O221" s="63"/>
      <c r="P221" s="15"/>
      <c r="Q221" s="16">
        <f>Population!DW443</f>
        <v>0</v>
      </c>
      <c r="R221" s="88"/>
      <c r="S221" s="88"/>
      <c r="T221" s="17"/>
      <c r="U221" s="17"/>
      <c r="V221" s="67"/>
      <c r="W221" s="15"/>
      <c r="X221" s="89"/>
      <c r="Y221" s="65"/>
    </row>
    <row r="222" spans="1:25" hidden="1" x14ac:dyDescent="0.25">
      <c r="A222" s="14">
        <v>45717</v>
      </c>
      <c r="B222" s="14"/>
      <c r="C222" s="66"/>
      <c r="D222" s="15"/>
      <c r="E222" s="15"/>
      <c r="F222" s="15"/>
      <c r="G222" s="69"/>
      <c r="H222" s="59"/>
      <c r="I222" s="64"/>
      <c r="J222" s="15"/>
      <c r="K222" s="15"/>
      <c r="L222" s="15"/>
      <c r="M222" s="15"/>
      <c r="N222" s="68"/>
      <c r="O222" s="63"/>
      <c r="P222" s="15"/>
      <c r="Q222" s="16"/>
      <c r="R222" s="88"/>
      <c r="S222" s="88"/>
      <c r="T222" s="17"/>
      <c r="U222" s="17"/>
      <c r="V222" s="67"/>
      <c r="W222" s="15"/>
      <c r="X222" s="89"/>
      <c r="Y222" s="65"/>
    </row>
    <row r="223" spans="1:25" hidden="1" x14ac:dyDescent="0.25">
      <c r="A223" s="14">
        <v>45748</v>
      </c>
      <c r="B223" s="14"/>
      <c r="C223" s="66"/>
      <c r="D223" s="15"/>
      <c r="E223" s="15"/>
      <c r="F223" s="15"/>
      <c r="G223" s="69"/>
      <c r="H223" s="59"/>
      <c r="I223" s="64"/>
      <c r="J223" s="15"/>
      <c r="K223" s="15"/>
      <c r="L223" s="15"/>
      <c r="M223" s="15"/>
      <c r="N223" s="68"/>
      <c r="O223" s="63"/>
      <c r="P223" s="15"/>
      <c r="Q223" s="16"/>
      <c r="R223" s="88"/>
      <c r="S223" s="88"/>
      <c r="T223" s="17"/>
      <c r="U223" s="17"/>
      <c r="V223" s="67"/>
      <c r="W223" s="15"/>
      <c r="X223" s="89"/>
      <c r="Y223" s="65"/>
    </row>
    <row r="224" spans="1:25" hidden="1" x14ac:dyDescent="0.25">
      <c r="A224" s="14">
        <v>45778</v>
      </c>
      <c r="B224" s="14"/>
      <c r="C224" s="66"/>
      <c r="D224" s="15"/>
      <c r="E224" s="15"/>
      <c r="F224" s="15"/>
      <c r="G224" s="69"/>
      <c r="H224" s="59"/>
      <c r="I224" s="64"/>
      <c r="J224" s="15"/>
      <c r="K224" s="15"/>
      <c r="L224" s="15"/>
      <c r="M224" s="15"/>
      <c r="N224" s="68"/>
      <c r="O224" s="63"/>
      <c r="P224" s="15"/>
      <c r="Q224" s="16"/>
      <c r="R224" s="88"/>
      <c r="S224" s="88"/>
      <c r="T224" s="17"/>
      <c r="U224" s="17"/>
      <c r="V224" s="67"/>
      <c r="W224" s="15"/>
      <c r="X224" s="89"/>
      <c r="Y224" s="65"/>
    </row>
    <row r="225" spans="1:26" hidden="1" x14ac:dyDescent="0.25">
      <c r="A225" s="14">
        <v>45809</v>
      </c>
      <c r="B225" s="14"/>
      <c r="C225" s="66"/>
      <c r="D225" s="15"/>
      <c r="E225" s="15"/>
      <c r="F225" s="15"/>
      <c r="G225" s="69"/>
      <c r="H225" s="59"/>
      <c r="I225" s="64"/>
      <c r="J225" s="15"/>
      <c r="K225" s="15"/>
      <c r="L225" s="15"/>
      <c r="M225" s="15"/>
      <c r="N225" s="68"/>
      <c r="O225" s="63"/>
      <c r="P225" s="15"/>
      <c r="Q225" s="16"/>
      <c r="R225" s="88"/>
      <c r="S225" s="88"/>
      <c r="T225" s="17"/>
      <c r="U225" s="17"/>
      <c r="V225" s="67"/>
      <c r="W225" s="15"/>
      <c r="X225" s="89"/>
      <c r="Y225" s="65"/>
    </row>
    <row r="226" spans="1:26" hidden="1" x14ac:dyDescent="0.25">
      <c r="A226" s="14"/>
      <c r="B226" s="14"/>
      <c r="C226" s="15"/>
      <c r="D226" s="15"/>
      <c r="E226" s="15"/>
      <c r="F226" s="15"/>
      <c r="G226" s="69"/>
      <c r="H226" s="59"/>
      <c r="I226" s="64"/>
      <c r="J226" s="15"/>
      <c r="K226" s="15"/>
      <c r="L226" s="15"/>
      <c r="M226" s="15"/>
      <c r="N226" s="16"/>
      <c r="O226" s="16"/>
      <c r="P226" s="16"/>
      <c r="Q226" s="18"/>
      <c r="R226" s="16"/>
      <c r="S226" s="16"/>
      <c r="T226" s="17"/>
      <c r="U226" s="17"/>
      <c r="V226" s="15"/>
      <c r="W226" s="15"/>
      <c r="X226" s="16"/>
      <c r="Y226" s="39"/>
    </row>
    <row r="227" spans="1:26" hidden="1" x14ac:dyDescent="0.25">
      <c r="A227" s="36" t="s">
        <v>102</v>
      </c>
      <c r="B227" s="36"/>
      <c r="G227" s="69"/>
      <c r="H227" s="59"/>
      <c r="I227" s="15"/>
      <c r="K227" s="15"/>
      <c r="L227" s="15"/>
      <c r="Q227" s="18"/>
      <c r="T227" s="17"/>
      <c r="U227" s="17"/>
      <c r="V227" s="15"/>
      <c r="W227" s="15"/>
    </row>
    <row r="228" spans="1:26" hidden="1" x14ac:dyDescent="0.25">
      <c r="A228" s="37" t="s">
        <v>326</v>
      </c>
      <c r="B228" s="37"/>
      <c r="C228" s="38">
        <f t="shared" ref="C228:H228" si="30">AVERAGE(C7:C147)</f>
        <v>149392.53571428571</v>
      </c>
      <c r="D228" s="38">
        <f t="shared" si="30"/>
        <v>20434.309523809523</v>
      </c>
      <c r="E228" s="38">
        <f t="shared" si="30"/>
        <v>42961.273809523809</v>
      </c>
      <c r="F228" s="38">
        <f t="shared" si="30"/>
        <v>1165.452380952381</v>
      </c>
      <c r="G228" s="38">
        <f t="shared" si="30"/>
        <v>206796.58015267176</v>
      </c>
      <c r="H228" s="38">
        <f t="shared" si="30"/>
        <v>56822.893129770993</v>
      </c>
      <c r="I228" s="38">
        <f>AVERAGE(I7:I158)</f>
        <v>95466.177304964542</v>
      </c>
      <c r="J228" s="38">
        <f>AVERAGE(J7:J158)</f>
        <v>15365.971631205673</v>
      </c>
      <c r="K228" s="38">
        <f>AVERAGE(K7:K160)</f>
        <v>470118.71328671329</v>
      </c>
      <c r="L228" s="38">
        <f>AVERAGE(L7:L158)</f>
        <v>3484.0141843971633</v>
      </c>
      <c r="M228" s="38">
        <f>AVERAGE(M7:M158)</f>
        <v>56201.985815602835</v>
      </c>
      <c r="N228" s="38">
        <f>AVERAGE(N7:N147)</f>
        <v>636214.55725190835</v>
      </c>
      <c r="O228" s="38">
        <f>AVERAGE(O7:O151)</f>
        <v>6268.5746268656712</v>
      </c>
      <c r="P228" s="38">
        <f>AVERAGE(P7:P151)</f>
        <v>11266.970149253732</v>
      </c>
      <c r="Q228" s="38">
        <f>AVERAGE(Q7:Q146)</f>
        <v>73.411290322580641</v>
      </c>
      <c r="R228" s="38">
        <f>AVERAGE(R7:R147)</f>
        <v>11202.129770992366</v>
      </c>
      <c r="S228" s="38">
        <f>AVERAGE(S7:S147)</f>
        <v>911036.16030534357</v>
      </c>
      <c r="T228" s="38">
        <f>AVERAGE(T145:T152)</f>
        <v>66394.71428571429</v>
      </c>
      <c r="U228" s="38">
        <f>AVERAGE(U7:U158)</f>
        <v>62551.028368794323</v>
      </c>
      <c r="V228" s="38">
        <f>AVERAGE(V7:V147)</f>
        <v>1130.0687022900763</v>
      </c>
      <c r="W228" s="38">
        <f>AVERAGE(W7:W147)</f>
        <v>0</v>
      </c>
      <c r="X228" s="38">
        <f>AVERAGE(X7:X147)</f>
        <v>113099.48091603053</v>
      </c>
      <c r="Y228" s="38">
        <f>AVERAGE(Y135:Y147)</f>
        <v>1277223.9166666667</v>
      </c>
    </row>
    <row r="229" spans="1:26" s="5" customFormat="1" hidden="1" x14ac:dyDescent="0.25">
      <c r="A229" s="37" t="s">
        <v>168</v>
      </c>
      <c r="B229" s="37"/>
      <c r="C229" s="38">
        <f>AVERAGE(C149:C160)</f>
        <v>151464.91666666666</v>
      </c>
      <c r="D229" s="38">
        <f t="shared" ref="D229:N229" si="31">AVERAGE(D149:D160)</f>
        <v>19845.666666666668</v>
      </c>
      <c r="E229" s="38">
        <f t="shared" si="31"/>
        <v>50880.166666666664</v>
      </c>
      <c r="F229" s="38">
        <f t="shared" si="31"/>
        <v>1316.6666666666667</v>
      </c>
      <c r="G229" s="38">
        <f>AVERAGE(G150:G162)</f>
        <v>223507.41666666666</v>
      </c>
      <c r="H229" s="38">
        <f>AVERAGE(H150:H162)</f>
        <v>65111.833333333336</v>
      </c>
      <c r="I229" s="38">
        <f>AVERAGE(I160:I172)</f>
        <v>129088.16666666667</v>
      </c>
      <c r="J229" s="38">
        <f>AVERAGE(J160:J172)</f>
        <v>20074</v>
      </c>
      <c r="K229" s="38">
        <f>AVERAGE(K163:K176)</f>
        <v>590795.07692307688</v>
      </c>
      <c r="L229" s="38">
        <f>AVERAGE(L162:L175)</f>
        <v>1607.0769230769231</v>
      </c>
      <c r="M229" s="38">
        <f>AVERAGE(M160:M172)</f>
        <v>45595.75</v>
      </c>
      <c r="N229" s="38">
        <f t="shared" si="31"/>
        <v>690529.58333333337</v>
      </c>
      <c r="O229" s="38">
        <f>AVERAGE(O153:O164)</f>
        <v>119747.18181818182</v>
      </c>
      <c r="P229" s="38">
        <f>AVERAGE(P153:P164)</f>
        <v>262570.18181818182</v>
      </c>
      <c r="Q229" s="38" t="e">
        <f>AVERAGE(#REF!)</f>
        <v>#REF!</v>
      </c>
      <c r="R229" s="38" t="e">
        <f>AVERAGE(#REF!)</f>
        <v>#REF!</v>
      </c>
      <c r="S229" s="38">
        <f>AVERAGE(S149:S160)</f>
        <v>1335322.5</v>
      </c>
      <c r="T229" s="38">
        <f>AVERAGE(V150:V162)</f>
        <v>1586.9166666666667</v>
      </c>
      <c r="U229" s="38">
        <f>AVERAGE(W150:W162)</f>
        <v>0</v>
      </c>
      <c r="V229" s="38">
        <f>AVERAGE(V149:V160)</f>
        <v>1547.5</v>
      </c>
      <c r="W229" s="38">
        <f>AVERAGE(W149:W160)</f>
        <v>0</v>
      </c>
      <c r="X229" s="38">
        <f>AVERAGE(X149:X160)</f>
        <v>147960</v>
      </c>
      <c r="Y229" s="38">
        <f>AVERAGE(Y149:Y160)</f>
        <v>1483282.5</v>
      </c>
    </row>
    <row r="230" spans="1:26" s="5" customFormat="1" hidden="1" x14ac:dyDescent="0.25">
      <c r="A230" s="37" t="s">
        <v>181</v>
      </c>
      <c r="B230" s="37"/>
      <c r="C230" s="38">
        <f>AVERAGE(C162:C173)</f>
        <v>156993.83333333334</v>
      </c>
      <c r="D230" s="38">
        <f t="shared" ref="D230:N230" si="32">AVERAGE(D162:D173)</f>
        <v>19443.75</v>
      </c>
      <c r="E230" s="38">
        <f t="shared" si="32"/>
        <v>54092.416666666664</v>
      </c>
      <c r="F230" s="38">
        <f t="shared" si="32"/>
        <v>1459.3333333333333</v>
      </c>
      <c r="G230" s="38">
        <f>AVERAGE(G164:G176)</f>
        <v>231989.33333333334</v>
      </c>
      <c r="H230" s="38">
        <f>AVERAGE(H164:H176)</f>
        <v>66877.25</v>
      </c>
      <c r="I230" s="38">
        <f>AVERAGE(I175:I186)</f>
        <v>150486.33333333334</v>
      </c>
      <c r="J230" s="38">
        <f>AVERAGE(J175:J186)</f>
        <v>22946.333333333332</v>
      </c>
      <c r="K230" s="38">
        <f>AVERAGE(K178:K191)</f>
        <v>648587.15384615387</v>
      </c>
      <c r="L230" s="38">
        <f>AVERAGE(L177:L190)</f>
        <v>1767.5384615384614</v>
      </c>
      <c r="M230" s="38">
        <f>AVERAGE(M175:M186)</f>
        <v>48512.25</v>
      </c>
      <c r="N230" s="38">
        <f t="shared" si="32"/>
        <v>782821.25</v>
      </c>
      <c r="O230" s="38">
        <f>AVERAGE(O166:O178)</f>
        <v>140745.58333333334</v>
      </c>
      <c r="P230" s="38">
        <f>AVERAGE(P166:P178)</f>
        <v>381639.33333333331</v>
      </c>
      <c r="Q230" s="38">
        <f>AVERAGE(S162:S173)</f>
        <v>1580050.8333333333</v>
      </c>
      <c r="R230" s="38" t="e">
        <f>AVERAGE(#REF!)</f>
        <v>#REF!</v>
      </c>
      <c r="S230" s="38" t="e">
        <f>AVERAGE(#REF!)</f>
        <v>#REF!</v>
      </c>
      <c r="T230" s="38">
        <f>AVERAGE(T177:T190)</f>
        <v>91646.692307692312</v>
      </c>
      <c r="U230" s="38">
        <f>AVERAGE(U177:U190)</f>
        <v>79911.61538461539</v>
      </c>
      <c r="V230" s="38">
        <f>AVERAGE(V162:V173)</f>
        <v>1646.25</v>
      </c>
      <c r="W230" s="38">
        <f>AVERAGE(W162:W173)</f>
        <v>0</v>
      </c>
      <c r="X230" s="38">
        <f>AVERAGE(X162:X173)</f>
        <v>160321.58333333334</v>
      </c>
      <c r="Y230" s="38">
        <f>AVERAGE(Y162:Y173)</f>
        <v>1740372.4166666667</v>
      </c>
    </row>
    <row r="231" spans="1:26" s="5" customFormat="1" hidden="1" x14ac:dyDescent="0.25">
      <c r="A231" s="37" t="s">
        <v>182</v>
      </c>
      <c r="B231" s="37"/>
      <c r="C231" s="38">
        <f>AVERAGE(C175:C186)</f>
        <v>159845.5</v>
      </c>
      <c r="D231" s="38">
        <f t="shared" ref="D231:N231" si="33">AVERAGE(D175:D186)</f>
        <v>19519.25</v>
      </c>
      <c r="E231" s="38">
        <f t="shared" si="33"/>
        <v>56061.25</v>
      </c>
      <c r="F231" s="38">
        <f t="shared" si="33"/>
        <v>1544.1666666666667</v>
      </c>
      <c r="G231" s="38">
        <f>AVERAGE(G178:G190)</f>
        <v>236970.16666666666</v>
      </c>
      <c r="H231" s="38">
        <f>AVERAGE(H178:H190)</f>
        <v>65905.5</v>
      </c>
      <c r="I231" s="38">
        <f>AVERAGE(I189:I201)</f>
        <v>160633.75</v>
      </c>
      <c r="J231" s="38">
        <f>AVERAGE(J189:J201)</f>
        <v>26157.583333333332</v>
      </c>
      <c r="K231" s="38">
        <f>AVERAGE(K193:K206)</f>
        <v>665492.38461538462</v>
      </c>
      <c r="L231" s="38">
        <f>AVERAGE(L192:L205)</f>
        <v>12209.692307692309</v>
      </c>
      <c r="M231" s="38">
        <f>AVERAGE(M189:M201)</f>
        <v>50320.083333333336</v>
      </c>
      <c r="N231" s="38">
        <f t="shared" si="33"/>
        <v>859292.91666666663</v>
      </c>
      <c r="O231" s="38">
        <f>AVERAGE(O180:O192)</f>
        <v>158517</v>
      </c>
      <c r="P231" s="38">
        <f>AVERAGE(P180:P192)</f>
        <v>482524.75</v>
      </c>
      <c r="Q231" s="38">
        <f>AVERAGE(S176:S188)</f>
        <v>1790511.0833333333</v>
      </c>
      <c r="R231" s="38" t="e">
        <f>AVERAGE(#REF!)</f>
        <v>#REF!</v>
      </c>
      <c r="S231" s="38" t="e">
        <f>AVERAGE(#REF!)</f>
        <v>#REF!</v>
      </c>
      <c r="T231" s="38">
        <f>AVERAGE(T192:T205)</f>
        <v>101719.46153846153</v>
      </c>
      <c r="U231" s="38">
        <f>AVERAGE(U192:U205)</f>
        <v>83559.538461538468</v>
      </c>
      <c r="V231" s="38">
        <f>AVERAGE(V175:V186)</f>
        <v>1927.1666666666667</v>
      </c>
      <c r="W231" s="38">
        <f>AVERAGE(W175:W186)</f>
        <v>2452.5</v>
      </c>
      <c r="X231" s="38">
        <f>AVERAGE(X175:X186)</f>
        <v>173754.66666666666</v>
      </c>
      <c r="Y231" s="38">
        <f>AVERAGE(Y175:Y186)</f>
        <v>1949295.6666666667</v>
      </c>
    </row>
    <row r="232" spans="1:26" s="5" customFormat="1" hidden="1" x14ac:dyDescent="0.25">
      <c r="A232" s="37" t="s">
        <v>214</v>
      </c>
      <c r="B232" s="37"/>
      <c r="C232" s="38">
        <f>AVERAGE(C188:C199)</f>
        <v>157659.5</v>
      </c>
      <c r="D232" s="38">
        <f t="shared" ref="D232:N232" si="34">AVERAGE(D188:D199)</f>
        <v>19850.416666666668</v>
      </c>
      <c r="E232" s="38">
        <f t="shared" si="34"/>
        <v>58880.083333333336</v>
      </c>
      <c r="F232" s="38">
        <f t="shared" si="34"/>
        <v>1655.5833333333333</v>
      </c>
      <c r="G232" s="38">
        <f>AVERAGE(G192:G204)</f>
        <v>238045.58333333334</v>
      </c>
      <c r="H232" s="38">
        <f>AVERAGE(H192:H204)</f>
        <v>63807</v>
      </c>
      <c r="I232" s="38">
        <f>AVERAGE(I203:I215)</f>
        <v>147978.58333333334</v>
      </c>
      <c r="J232" s="38">
        <f>AVERAGE(J203:J215)</f>
        <v>29684.916666666668</v>
      </c>
      <c r="K232" s="38">
        <f>AVERAGE(K208:K215)</f>
        <v>602077.14285714284</v>
      </c>
      <c r="L232" s="38">
        <f>AVERAGE(L207:L215)</f>
        <v>22633.875</v>
      </c>
      <c r="M232" s="38">
        <f>AVERAGE(M203:M215)</f>
        <v>54052.166666666664</v>
      </c>
      <c r="N232" s="38">
        <f t="shared" si="34"/>
        <v>916305.41666666663</v>
      </c>
      <c r="O232" s="38">
        <f>AVERAGE(O194:O206)</f>
        <v>162206.08333333334</v>
      </c>
      <c r="P232" s="38">
        <f>AVERAGE(P194:P206)</f>
        <v>544484.25</v>
      </c>
      <c r="Q232" s="38">
        <f>AVERAGE(S190:S201)</f>
        <v>1948448.5454545454</v>
      </c>
      <c r="R232" s="38" t="e">
        <f>AVERAGE(#REF!)</f>
        <v>#REF!</v>
      </c>
      <c r="S232" s="38" t="e">
        <f>AVERAGE(#REF!)</f>
        <v>#REF!</v>
      </c>
      <c r="T232" s="38">
        <f>AVERAGE(T207:T215)</f>
        <v>93744.625</v>
      </c>
      <c r="U232" s="38">
        <f>AVERAGE(U207:U215)</f>
        <v>98240.25</v>
      </c>
      <c r="V232" s="38">
        <f>AVERAGE(V188:V199)</f>
        <v>2810.25</v>
      </c>
      <c r="W232" s="38">
        <f>AVERAGE(W188:W199)</f>
        <v>4562.166666666667</v>
      </c>
      <c r="X232" s="38">
        <f>AVERAGE(X188:X199)</f>
        <v>189713.5</v>
      </c>
      <c r="Y232" s="38">
        <f>AVERAGE(Y188:Y199)</f>
        <v>2124979.1666666665</v>
      </c>
    </row>
    <row r="233" spans="1:26" s="5" customFormat="1" hidden="1" x14ac:dyDescent="0.25">
      <c r="A233" s="37" t="s">
        <v>364</v>
      </c>
      <c r="B233" s="37"/>
      <c r="C233" s="38">
        <f t="shared" ref="C233:F233" si="35">AVERAGE(C201:C212)</f>
        <v>145405.58333333334</v>
      </c>
      <c r="D233" s="38">
        <f t="shared" si="35"/>
        <v>19766.5</v>
      </c>
      <c r="E233" s="38">
        <f t="shared" si="35"/>
        <v>60485.583333333336</v>
      </c>
      <c r="F233" s="38">
        <f t="shared" si="35"/>
        <v>1776.6666666666667</v>
      </c>
      <c r="G233" s="38">
        <f>AVERAGE(G206:G218)</f>
        <v>227942.66666666666</v>
      </c>
      <c r="H233" s="38">
        <f>AVERAGE(H206:H218)</f>
        <v>65646.888888888891</v>
      </c>
      <c r="I233" s="38" t="e">
        <f>AVERAGE(#REF!)</f>
        <v>#REF!</v>
      </c>
      <c r="J233" s="38" t="e">
        <f>AVERAGE(#REF!)</f>
        <v>#REF!</v>
      </c>
      <c r="K233" s="38" t="e">
        <f>AVERAGE(K216:K218)</f>
        <v>#DIV/0!</v>
      </c>
      <c r="L233" s="38" t="e">
        <f>AVERAGE(L216:L227)</f>
        <v>#DIV/0!</v>
      </c>
      <c r="M233" s="38" t="e">
        <f>AVERAGE(#REF!)</f>
        <v>#REF!</v>
      </c>
      <c r="N233" s="38">
        <f>AVERAGE(N201:N211)</f>
        <v>888937.09090909094</v>
      </c>
      <c r="O233" s="38">
        <f>AVERAGE(O208:O215)</f>
        <v>138256.28571428571</v>
      </c>
      <c r="P233" s="38">
        <f>AVERAGE(P208:P215)</f>
        <v>505991.71428571426</v>
      </c>
      <c r="Q233" s="38">
        <f>AVERAGE(Q207:Q219)</f>
        <v>27541.416666666668</v>
      </c>
      <c r="R233" s="38">
        <f>AVERAGE(S201:S212)</f>
        <v>1890916.75</v>
      </c>
      <c r="S233" s="38" t="e">
        <f>AVERAGE(#REF!)</f>
        <v>#REF!</v>
      </c>
      <c r="T233" s="38" t="e">
        <f>AVERAGE(T216:T217)</f>
        <v>#DIV/0!</v>
      </c>
      <c r="U233" s="38" t="e">
        <f>AVERAGE(U216:U218)</f>
        <v>#DIV/0!</v>
      </c>
      <c r="V233" s="38" t="e">
        <f>AVERAGE(#REF!)</f>
        <v>#REF!</v>
      </c>
      <c r="W233" s="38">
        <f>AVERAGE(V201:V211)</f>
        <v>3522.818181818182</v>
      </c>
      <c r="X233" s="38">
        <f>AVERAGE(W201:W212)</f>
        <v>4449</v>
      </c>
      <c r="Y233" s="38">
        <f>AVERAGE(X201:X212)</f>
        <v>197316.08333333334</v>
      </c>
    </row>
    <row r="234" spans="1:26" s="5" customFormat="1" hidden="1" x14ac:dyDescent="0.25">
      <c r="A234" s="37" t="s">
        <v>365</v>
      </c>
      <c r="B234" s="37"/>
      <c r="C234" s="122">
        <f>AVERAGE(C214:C225)</f>
        <v>142594.5</v>
      </c>
      <c r="D234" s="122">
        <f t="shared" ref="D234:Y234" si="36">AVERAGE(D214:D225)</f>
        <v>19248</v>
      </c>
      <c r="E234" s="122">
        <f t="shared" si="36"/>
        <v>61123.5</v>
      </c>
      <c r="F234" s="122">
        <f t="shared" si="36"/>
        <v>1818</v>
      </c>
      <c r="G234" s="122" t="e">
        <f>AVERAGE(G220:G227)</f>
        <v>#DIV/0!</v>
      </c>
      <c r="H234" s="122" t="e">
        <f>AVERAGE(H220:H227)</f>
        <v>#DIV/0!</v>
      </c>
      <c r="I234" s="122" t="e">
        <f>AVERAGE(I216:I226)</f>
        <v>#DIV/0!</v>
      </c>
      <c r="J234" s="122" t="e">
        <f>AVERAGE(J216:J225)</f>
        <v>#DIV/0!</v>
      </c>
      <c r="K234" s="122" t="e">
        <f>AVERAGE(K220:K227)</f>
        <v>#DIV/0!</v>
      </c>
      <c r="L234" s="122" t="e">
        <f>AVERAGE(L216:L225)</f>
        <v>#DIV/0!</v>
      </c>
      <c r="M234" s="122" t="e">
        <f>AVERAGE(M216:M225)</f>
        <v>#DIV/0!</v>
      </c>
      <c r="N234" s="122">
        <f t="shared" si="36"/>
        <v>835025</v>
      </c>
      <c r="O234" s="122" t="e">
        <f>AVERAGE(O216:O217)</f>
        <v>#DIV/0!</v>
      </c>
      <c r="P234" s="122" t="e">
        <f>AVERAGE(P216:P217)</f>
        <v>#DIV/0!</v>
      </c>
      <c r="Q234" s="122">
        <f>AVERAGE(Q221:Q227)</f>
        <v>0</v>
      </c>
      <c r="R234" s="122">
        <f t="shared" si="36"/>
        <v>659399</v>
      </c>
      <c r="S234" s="122">
        <f t="shared" si="36"/>
        <v>1786370.5</v>
      </c>
      <c r="T234" s="122" t="e">
        <f>AVERAGE(T220:T227)</f>
        <v>#DIV/0!</v>
      </c>
      <c r="U234" s="122" t="e">
        <f>AVERAGE(U220:U227)</f>
        <v>#DIV/0!</v>
      </c>
      <c r="V234" s="122">
        <f t="shared" si="36"/>
        <v>3969.5</v>
      </c>
      <c r="W234" s="122">
        <f t="shared" si="36"/>
        <v>4468</v>
      </c>
      <c r="X234" s="122">
        <f t="shared" si="36"/>
        <v>197946</v>
      </c>
      <c r="Y234" s="122">
        <f t="shared" si="36"/>
        <v>1984316.5</v>
      </c>
    </row>
    <row r="235" spans="1:26" s="5" customFormat="1" ht="27.6" customHeight="1" x14ac:dyDescent="0.25">
      <c r="A235" s="118" t="s">
        <v>104</v>
      </c>
      <c r="B235" s="19"/>
      <c r="H235" s="36"/>
      <c r="V235" s="35"/>
      <c r="Y235" s="20"/>
    </row>
    <row r="236" spans="1:26" x14ac:dyDescent="0.25">
      <c r="A236" s="24" t="s">
        <v>376</v>
      </c>
      <c r="B236" s="162"/>
      <c r="C236" s="160"/>
      <c r="D236" s="160"/>
      <c r="E236" s="160"/>
      <c r="F236" s="21"/>
      <c r="G236" s="89">
        <v>52352</v>
      </c>
      <c r="H236" s="65">
        <v>0</v>
      </c>
      <c r="I236" s="34">
        <v>58076</v>
      </c>
      <c r="J236" s="160"/>
      <c r="K236" s="160">
        <v>279330</v>
      </c>
      <c r="L236" s="160">
        <v>0</v>
      </c>
      <c r="M236" s="27">
        <v>0</v>
      </c>
      <c r="N236" s="68">
        <v>337406</v>
      </c>
      <c r="O236" s="63">
        <v>0</v>
      </c>
      <c r="P236" s="160">
        <v>0</v>
      </c>
      <c r="Q236" s="21">
        <v>0</v>
      </c>
      <c r="R236" s="89">
        <v>0</v>
      </c>
      <c r="S236" s="65">
        <v>389758</v>
      </c>
      <c r="T236" s="34">
        <v>28779</v>
      </c>
      <c r="U236" s="164">
        <v>45855</v>
      </c>
      <c r="V236" s="164">
        <v>946</v>
      </c>
      <c r="W236" s="34">
        <v>0</v>
      </c>
      <c r="X236" s="89">
        <v>75580</v>
      </c>
      <c r="Y236" s="65">
        <v>465338</v>
      </c>
      <c r="Z236" s="160">
        <v>366185</v>
      </c>
    </row>
    <row r="237" spans="1:26" s="5" customFormat="1" ht="12.75" customHeight="1" x14ac:dyDescent="0.25">
      <c r="A237" s="24" t="s">
        <v>377</v>
      </c>
      <c r="B237" s="162"/>
      <c r="C237" s="160"/>
      <c r="D237" s="160"/>
      <c r="E237" s="160"/>
      <c r="F237" s="21"/>
      <c r="G237" s="89">
        <v>54497</v>
      </c>
      <c r="H237" s="65">
        <v>0</v>
      </c>
      <c r="I237" s="34">
        <v>62078</v>
      </c>
      <c r="J237" s="160"/>
      <c r="K237" s="160">
        <v>316741</v>
      </c>
      <c r="L237" s="160">
        <v>0</v>
      </c>
      <c r="M237" s="27">
        <v>0</v>
      </c>
      <c r="N237" s="68">
        <v>378819</v>
      </c>
      <c r="O237" s="63">
        <v>0</v>
      </c>
      <c r="P237" s="160">
        <v>0</v>
      </c>
      <c r="Q237" s="21">
        <v>0</v>
      </c>
      <c r="R237" s="89">
        <v>0</v>
      </c>
      <c r="S237" s="65">
        <v>433316</v>
      </c>
      <c r="T237" s="34">
        <v>31305</v>
      </c>
      <c r="U237" s="164">
        <v>49818</v>
      </c>
      <c r="V237" s="164">
        <v>925</v>
      </c>
      <c r="W237" s="34">
        <v>0</v>
      </c>
      <c r="X237" s="89">
        <v>82048</v>
      </c>
      <c r="Y237" s="65">
        <v>515364</v>
      </c>
      <c r="Z237" s="160">
        <v>410124</v>
      </c>
    </row>
    <row r="238" spans="1:26" s="5" customFormat="1" ht="12.75" customHeight="1" x14ac:dyDescent="0.25">
      <c r="A238" s="24" t="s">
        <v>378</v>
      </c>
      <c r="B238" s="162"/>
      <c r="C238" s="160"/>
      <c r="D238" s="160"/>
      <c r="E238" s="160"/>
      <c r="F238" s="21"/>
      <c r="G238" s="89">
        <v>56674</v>
      </c>
      <c r="H238" s="65">
        <v>0</v>
      </c>
      <c r="I238" s="34">
        <v>61060</v>
      </c>
      <c r="J238" s="160">
        <v>10286</v>
      </c>
      <c r="K238" s="160">
        <v>356781</v>
      </c>
      <c r="L238" s="160">
        <v>0</v>
      </c>
      <c r="M238" s="27">
        <v>0</v>
      </c>
      <c r="N238" s="68">
        <v>428127</v>
      </c>
      <c r="O238" s="63">
        <v>0</v>
      </c>
      <c r="P238" s="160">
        <v>0</v>
      </c>
      <c r="Q238" s="21">
        <v>0</v>
      </c>
      <c r="R238" s="89">
        <v>0</v>
      </c>
      <c r="S238" s="65">
        <v>484801</v>
      </c>
      <c r="T238" s="34">
        <v>36467</v>
      </c>
      <c r="U238" s="164">
        <v>46541</v>
      </c>
      <c r="V238" s="164">
        <v>1023</v>
      </c>
      <c r="W238" s="34">
        <v>0</v>
      </c>
      <c r="X238" s="89">
        <v>84031</v>
      </c>
      <c r="Y238" s="65">
        <v>568832</v>
      </c>
      <c r="Z238" s="160">
        <v>464594</v>
      </c>
    </row>
    <row r="239" spans="1:26" s="5" customFormat="1" ht="12.75" customHeight="1" x14ac:dyDescent="0.25">
      <c r="A239" s="24"/>
      <c r="B239" s="162"/>
      <c r="C239" s="160"/>
      <c r="D239" s="160"/>
      <c r="E239" s="160"/>
      <c r="F239" s="21"/>
      <c r="G239" s="89"/>
      <c r="H239" s="65">
        <v>0</v>
      </c>
      <c r="I239" s="34"/>
      <c r="J239" s="160"/>
      <c r="K239" s="160"/>
      <c r="L239" s="160">
        <v>0</v>
      </c>
      <c r="M239" s="27">
        <v>0</v>
      </c>
      <c r="N239" s="68"/>
      <c r="O239" s="63">
        <v>0</v>
      </c>
      <c r="P239" s="160">
        <v>0</v>
      </c>
      <c r="Q239" s="21">
        <v>0</v>
      </c>
      <c r="R239" s="89">
        <v>0</v>
      </c>
      <c r="S239" s="65"/>
      <c r="T239" s="34"/>
      <c r="U239" s="164"/>
      <c r="V239" s="164"/>
      <c r="W239" s="34">
        <v>0</v>
      </c>
      <c r="X239" s="89"/>
      <c r="Y239" s="65"/>
      <c r="Z239" s="160"/>
    </row>
    <row r="240" spans="1:26" s="5" customFormat="1" ht="12.75" customHeight="1" x14ac:dyDescent="0.25">
      <c r="A240" s="161" t="s">
        <v>379</v>
      </c>
      <c r="B240" s="162"/>
      <c r="C240" s="160"/>
      <c r="D240" s="160"/>
      <c r="E240" s="160"/>
      <c r="F240" s="21"/>
      <c r="G240" s="89">
        <v>56752</v>
      </c>
      <c r="H240" s="65">
        <v>0</v>
      </c>
      <c r="I240" s="34">
        <v>71459</v>
      </c>
      <c r="J240" s="160"/>
      <c r="K240" s="160">
        <v>357849</v>
      </c>
      <c r="L240" s="160">
        <v>0</v>
      </c>
      <c r="M240" s="27">
        <v>0</v>
      </c>
      <c r="N240" s="68">
        <v>429308</v>
      </c>
      <c r="O240" s="63">
        <v>0</v>
      </c>
      <c r="P240" s="160">
        <v>0</v>
      </c>
      <c r="Q240" s="21">
        <v>0</v>
      </c>
      <c r="R240" s="89">
        <v>0</v>
      </c>
      <c r="S240" s="65">
        <v>486060</v>
      </c>
      <c r="T240" s="34">
        <v>36776</v>
      </c>
      <c r="U240" s="164">
        <v>46798</v>
      </c>
      <c r="V240" s="164">
        <v>1029</v>
      </c>
      <c r="W240" s="34">
        <v>0</v>
      </c>
      <c r="X240" s="89">
        <v>84603</v>
      </c>
      <c r="Y240" s="65">
        <v>570663</v>
      </c>
      <c r="Z240" s="160">
        <v>466084</v>
      </c>
    </row>
    <row r="241" spans="1:26" s="5" customFormat="1" ht="12.75" customHeight="1" x14ac:dyDescent="0.25">
      <c r="A241" s="161" t="s">
        <v>380</v>
      </c>
      <c r="B241" s="162"/>
      <c r="C241" s="160"/>
      <c r="D241" s="160"/>
      <c r="E241" s="160"/>
      <c r="F241" s="21"/>
      <c r="G241" s="89">
        <v>57366</v>
      </c>
      <c r="H241" s="65">
        <v>0</v>
      </c>
      <c r="I241" s="34">
        <v>72211</v>
      </c>
      <c r="J241" s="160"/>
      <c r="K241" s="160">
        <v>359394</v>
      </c>
      <c r="L241" s="160">
        <v>0</v>
      </c>
      <c r="M241" s="27">
        <v>0</v>
      </c>
      <c r="N241" s="68">
        <v>431605</v>
      </c>
      <c r="O241" s="63">
        <v>0</v>
      </c>
      <c r="P241" s="160">
        <v>0</v>
      </c>
      <c r="Q241" s="21">
        <v>0</v>
      </c>
      <c r="R241" s="89">
        <v>0</v>
      </c>
      <c r="S241" s="65">
        <v>488971</v>
      </c>
      <c r="T241" s="34">
        <v>36826</v>
      </c>
      <c r="U241" s="164">
        <v>46908</v>
      </c>
      <c r="V241" s="164">
        <v>1008</v>
      </c>
      <c r="W241" s="34">
        <v>0</v>
      </c>
      <c r="X241" s="89">
        <v>84742</v>
      </c>
      <c r="Y241" s="65">
        <v>573713</v>
      </c>
      <c r="Z241" s="160">
        <v>468431</v>
      </c>
    </row>
    <row r="242" spans="1:26" s="5" customFormat="1" ht="12.75" customHeight="1" x14ac:dyDescent="0.25">
      <c r="A242" s="161" t="s">
        <v>381</v>
      </c>
      <c r="B242" s="162"/>
      <c r="C242" s="160"/>
      <c r="D242" s="160"/>
      <c r="E242" s="160"/>
      <c r="F242" s="21"/>
      <c r="G242" s="89">
        <v>57341</v>
      </c>
      <c r="H242" s="65">
        <v>0</v>
      </c>
      <c r="I242" s="34">
        <v>71539</v>
      </c>
      <c r="J242" s="160"/>
      <c r="K242" s="160">
        <v>358492</v>
      </c>
      <c r="L242" s="160">
        <v>0</v>
      </c>
      <c r="M242" s="27">
        <v>0</v>
      </c>
      <c r="N242" s="68">
        <v>430031</v>
      </c>
      <c r="O242" s="63">
        <v>0</v>
      </c>
      <c r="P242" s="160">
        <v>0</v>
      </c>
      <c r="Q242" s="21">
        <v>0</v>
      </c>
      <c r="R242" s="89">
        <v>0</v>
      </c>
      <c r="S242" s="65">
        <v>487372</v>
      </c>
      <c r="T242" s="34">
        <v>36915</v>
      </c>
      <c r="U242" s="164">
        <v>47598</v>
      </c>
      <c r="V242" s="164">
        <v>1057</v>
      </c>
      <c r="W242" s="34">
        <v>0</v>
      </c>
      <c r="X242" s="89">
        <v>85570</v>
      </c>
      <c r="Y242" s="65">
        <v>572942</v>
      </c>
      <c r="Z242" s="160">
        <v>466946</v>
      </c>
    </row>
    <row r="243" spans="1:26" s="5" customFormat="1" ht="12.75" customHeight="1" x14ac:dyDescent="0.25">
      <c r="A243" s="161" t="s">
        <v>382</v>
      </c>
      <c r="B243" s="162"/>
      <c r="C243" s="160"/>
      <c r="D243" s="160"/>
      <c r="E243" s="160"/>
      <c r="F243" s="21"/>
      <c r="G243" s="89">
        <v>57827</v>
      </c>
      <c r="H243" s="65">
        <v>0</v>
      </c>
      <c r="I243" s="34">
        <v>72421</v>
      </c>
      <c r="J243" s="160"/>
      <c r="K243" s="160">
        <v>359602</v>
      </c>
      <c r="L243" s="160">
        <v>0</v>
      </c>
      <c r="M243" s="27">
        <v>0</v>
      </c>
      <c r="N243" s="68">
        <v>432023</v>
      </c>
      <c r="O243" s="63">
        <v>0</v>
      </c>
      <c r="P243" s="160">
        <v>0</v>
      </c>
      <c r="Q243" s="21">
        <v>0</v>
      </c>
      <c r="R243" s="89">
        <v>0</v>
      </c>
      <c r="S243" s="65">
        <v>489850</v>
      </c>
      <c r="T243" s="34">
        <v>37510</v>
      </c>
      <c r="U243" s="164">
        <v>47685</v>
      </c>
      <c r="V243" s="164">
        <v>1074</v>
      </c>
      <c r="W243" s="34">
        <v>0</v>
      </c>
      <c r="X243" s="89">
        <v>86269</v>
      </c>
      <c r="Y243" s="65">
        <v>576119</v>
      </c>
      <c r="Z243" s="160">
        <v>469533</v>
      </c>
    </row>
    <row r="244" spans="1:26" s="5" customFormat="1" ht="12.75" customHeight="1" x14ac:dyDescent="0.25">
      <c r="A244" s="161" t="s">
        <v>383</v>
      </c>
      <c r="B244" s="162"/>
      <c r="C244" s="160"/>
      <c r="D244" s="160"/>
      <c r="E244" s="160"/>
      <c r="F244" s="21"/>
      <c r="G244" s="89">
        <v>58148</v>
      </c>
      <c r="H244" s="65">
        <v>0</v>
      </c>
      <c r="I244" s="34">
        <v>63505</v>
      </c>
      <c r="J244" s="160">
        <v>9509</v>
      </c>
      <c r="K244" s="160">
        <v>363528</v>
      </c>
      <c r="L244" s="160">
        <v>0</v>
      </c>
      <c r="M244" s="27">
        <v>0</v>
      </c>
      <c r="N244" s="68">
        <v>436542</v>
      </c>
      <c r="O244" s="63">
        <v>0</v>
      </c>
      <c r="P244" s="160">
        <v>0</v>
      </c>
      <c r="Q244" s="21">
        <v>0</v>
      </c>
      <c r="R244" s="89">
        <v>0</v>
      </c>
      <c r="S244" s="65">
        <v>494690</v>
      </c>
      <c r="T244" s="34">
        <v>38275</v>
      </c>
      <c r="U244" s="164">
        <v>48741</v>
      </c>
      <c r="V244" s="164">
        <v>1060</v>
      </c>
      <c r="W244" s="34">
        <v>0</v>
      </c>
      <c r="X244" s="89">
        <v>88076</v>
      </c>
      <c r="Y244" s="65">
        <v>582766</v>
      </c>
      <c r="Z244" s="160">
        <v>474817</v>
      </c>
    </row>
    <row r="245" spans="1:26" s="5" customFormat="1" ht="12.75" customHeight="1" x14ac:dyDescent="0.25">
      <c r="A245" s="161" t="s">
        <v>384</v>
      </c>
      <c r="B245" s="162"/>
      <c r="C245" s="160"/>
      <c r="D245" s="160"/>
      <c r="E245" s="160"/>
      <c r="F245" s="21"/>
      <c r="G245" s="89">
        <v>58570</v>
      </c>
      <c r="H245" s="65">
        <v>0</v>
      </c>
      <c r="I245" s="34">
        <v>64044</v>
      </c>
      <c r="J245" s="160">
        <v>9292</v>
      </c>
      <c r="K245" s="160">
        <v>366193</v>
      </c>
      <c r="L245" s="160">
        <v>0</v>
      </c>
      <c r="M245" s="27">
        <v>0</v>
      </c>
      <c r="N245" s="68">
        <v>439529</v>
      </c>
      <c r="O245" s="63">
        <v>0</v>
      </c>
      <c r="P245" s="160">
        <v>0</v>
      </c>
      <c r="Q245" s="21">
        <v>0</v>
      </c>
      <c r="R245" s="89">
        <v>0</v>
      </c>
      <c r="S245" s="65">
        <v>498099</v>
      </c>
      <c r="T245" s="34">
        <v>38717</v>
      </c>
      <c r="U245" s="164">
        <v>49888</v>
      </c>
      <c r="V245" s="164">
        <v>1116</v>
      </c>
      <c r="W245" s="34">
        <v>0</v>
      </c>
      <c r="X245" s="89">
        <v>89721</v>
      </c>
      <c r="Y245" s="65">
        <v>587820</v>
      </c>
      <c r="Z245" s="160">
        <v>478246</v>
      </c>
    </row>
    <row r="246" spans="1:26" s="5" customFormat="1" ht="12.75" customHeight="1" x14ac:dyDescent="0.25">
      <c r="A246" s="161" t="s">
        <v>385</v>
      </c>
      <c r="B246" s="162"/>
      <c r="C246" s="160"/>
      <c r="D246" s="160"/>
      <c r="E246" s="160"/>
      <c r="F246" s="21"/>
      <c r="G246" s="89">
        <v>58991</v>
      </c>
      <c r="H246" s="65">
        <v>0</v>
      </c>
      <c r="I246" s="34">
        <v>63904</v>
      </c>
      <c r="J246" s="160">
        <v>9198</v>
      </c>
      <c r="K246" s="160">
        <v>364699</v>
      </c>
      <c r="L246" s="160">
        <v>0</v>
      </c>
      <c r="M246" s="27">
        <v>0</v>
      </c>
      <c r="N246" s="68">
        <v>437801</v>
      </c>
      <c r="O246" s="63">
        <v>0</v>
      </c>
      <c r="P246" s="160">
        <v>0</v>
      </c>
      <c r="Q246" s="21">
        <v>0</v>
      </c>
      <c r="R246" s="89">
        <v>0</v>
      </c>
      <c r="S246" s="65">
        <v>496792</v>
      </c>
      <c r="T246" s="34">
        <v>38847</v>
      </c>
      <c r="U246" s="164">
        <v>50058</v>
      </c>
      <c r="V246" s="164">
        <v>1087</v>
      </c>
      <c r="W246" s="34">
        <v>0</v>
      </c>
      <c r="X246" s="89">
        <v>89992</v>
      </c>
      <c r="Y246" s="65">
        <v>586784</v>
      </c>
      <c r="Z246" s="160">
        <v>476648</v>
      </c>
    </row>
    <row r="247" spans="1:26" s="5" customFormat="1" ht="12.75" customHeight="1" x14ac:dyDescent="0.25">
      <c r="A247" s="161" t="s">
        <v>386</v>
      </c>
      <c r="B247" s="162"/>
      <c r="C247" s="160"/>
      <c r="D247" s="160"/>
      <c r="E247" s="160"/>
      <c r="F247" s="21"/>
      <c r="G247" s="89">
        <v>59143</v>
      </c>
      <c r="H247" s="65">
        <v>0</v>
      </c>
      <c r="I247" s="34">
        <v>63999</v>
      </c>
      <c r="J247" s="160">
        <v>8861</v>
      </c>
      <c r="K247" s="160">
        <v>364863</v>
      </c>
      <c r="L247" s="160">
        <v>0</v>
      </c>
      <c r="M247" s="27">
        <v>0</v>
      </c>
      <c r="N247" s="68">
        <v>437723</v>
      </c>
      <c r="O247" s="63">
        <v>0</v>
      </c>
      <c r="P247" s="160">
        <v>0</v>
      </c>
      <c r="Q247" s="21">
        <v>0</v>
      </c>
      <c r="R247" s="89">
        <v>0</v>
      </c>
      <c r="S247" s="65">
        <v>496866</v>
      </c>
      <c r="T247" s="34">
        <v>38804</v>
      </c>
      <c r="U247" s="164">
        <v>50425</v>
      </c>
      <c r="V247" s="164">
        <v>1044</v>
      </c>
      <c r="W247" s="34">
        <v>0</v>
      </c>
      <c r="X247" s="89">
        <v>90273</v>
      </c>
      <c r="Y247" s="65">
        <v>587139</v>
      </c>
      <c r="Z247" s="160">
        <v>476527</v>
      </c>
    </row>
    <row r="248" spans="1:26" s="5" customFormat="1" ht="12.75" customHeight="1" x14ac:dyDescent="0.25">
      <c r="A248" s="24" t="s">
        <v>387</v>
      </c>
      <c r="B248" s="25"/>
      <c r="C248" s="27"/>
      <c r="D248" s="27"/>
      <c r="E248" s="27"/>
      <c r="F248" s="21"/>
      <c r="G248" s="89">
        <v>59044</v>
      </c>
      <c r="H248" s="65">
        <v>0</v>
      </c>
      <c r="I248" s="34">
        <v>63232</v>
      </c>
      <c r="J248" s="27">
        <v>8544</v>
      </c>
      <c r="K248" s="27">
        <v>362664</v>
      </c>
      <c r="L248" s="27">
        <v>0</v>
      </c>
      <c r="M248" s="27">
        <v>0</v>
      </c>
      <c r="N248" s="68">
        <v>434440</v>
      </c>
      <c r="O248" s="63">
        <v>0</v>
      </c>
      <c r="P248" s="160">
        <v>0</v>
      </c>
      <c r="Q248" s="21">
        <v>0</v>
      </c>
      <c r="R248" s="89">
        <v>0</v>
      </c>
      <c r="S248" s="65">
        <v>493484</v>
      </c>
      <c r="T248" s="34">
        <v>38194</v>
      </c>
      <c r="U248" s="34">
        <v>50733</v>
      </c>
      <c r="V248" s="34">
        <v>1096</v>
      </c>
      <c r="W248" s="34">
        <v>0</v>
      </c>
      <c r="X248" s="89">
        <v>90023</v>
      </c>
      <c r="Y248" s="65">
        <v>583507</v>
      </c>
      <c r="Z248" s="160">
        <v>472634</v>
      </c>
    </row>
    <row r="249" spans="1:26" s="5" customFormat="1" ht="12.75" customHeight="1" x14ac:dyDescent="0.25">
      <c r="A249" s="24" t="s">
        <v>388</v>
      </c>
      <c r="B249" s="25"/>
      <c r="C249" s="27"/>
      <c r="D249" s="27"/>
      <c r="E249" s="27"/>
      <c r="F249" s="21"/>
      <c r="G249" s="89">
        <v>59013</v>
      </c>
      <c r="H249" s="65">
        <v>0</v>
      </c>
      <c r="I249" s="34">
        <v>63269</v>
      </c>
      <c r="J249" s="27">
        <v>8769</v>
      </c>
      <c r="K249" s="27">
        <v>363274</v>
      </c>
      <c r="L249" s="27">
        <v>0</v>
      </c>
      <c r="M249" s="27">
        <v>0</v>
      </c>
      <c r="N249" s="68">
        <v>435312</v>
      </c>
      <c r="O249" s="63">
        <v>0</v>
      </c>
      <c r="P249" s="160">
        <v>0</v>
      </c>
      <c r="Q249" s="21">
        <v>0</v>
      </c>
      <c r="R249" s="89">
        <v>0</v>
      </c>
      <c r="S249" s="65">
        <v>494325</v>
      </c>
      <c r="T249" s="34">
        <v>37751</v>
      </c>
      <c r="U249" s="34">
        <v>51275</v>
      </c>
      <c r="V249" s="34">
        <v>1060</v>
      </c>
      <c r="W249" s="34">
        <v>0</v>
      </c>
      <c r="X249" s="89">
        <v>90086</v>
      </c>
      <c r="Y249" s="65">
        <v>584411</v>
      </c>
      <c r="Z249" s="160">
        <v>532076</v>
      </c>
    </row>
    <row r="250" spans="1:26" s="5" customFormat="1" ht="12.75" customHeight="1" x14ac:dyDescent="0.25">
      <c r="A250" s="24" t="s">
        <v>389</v>
      </c>
      <c r="B250" s="25"/>
      <c r="C250" s="27"/>
      <c r="D250" s="27"/>
      <c r="E250" s="27"/>
      <c r="F250" s="21"/>
      <c r="G250" s="89">
        <v>59016</v>
      </c>
      <c r="H250" s="65">
        <v>0</v>
      </c>
      <c r="I250" s="34">
        <v>63168</v>
      </c>
      <c r="J250" s="27">
        <v>8838</v>
      </c>
      <c r="K250" s="27">
        <v>363387</v>
      </c>
      <c r="L250" s="27">
        <v>0</v>
      </c>
      <c r="M250" s="27">
        <v>0</v>
      </c>
      <c r="N250" s="68">
        <v>435393</v>
      </c>
      <c r="O250" s="63">
        <v>0</v>
      </c>
      <c r="P250" s="160">
        <v>0</v>
      </c>
      <c r="Q250" s="21">
        <v>0</v>
      </c>
      <c r="R250" s="89">
        <v>0</v>
      </c>
      <c r="S250" s="65">
        <v>494409</v>
      </c>
      <c r="T250" s="34">
        <v>37622</v>
      </c>
      <c r="U250" s="34">
        <v>52085</v>
      </c>
      <c r="V250" s="34">
        <v>1045</v>
      </c>
      <c r="W250" s="34">
        <v>0</v>
      </c>
      <c r="X250" s="89">
        <v>90752</v>
      </c>
      <c r="Y250" s="65">
        <v>585161</v>
      </c>
      <c r="Z250" s="160">
        <v>473015</v>
      </c>
    </row>
    <row r="251" spans="1:26" s="5" customFormat="1" ht="12.75" customHeight="1" x14ac:dyDescent="0.25">
      <c r="A251" s="24" t="s">
        <v>390</v>
      </c>
      <c r="B251" s="25"/>
      <c r="C251" s="27"/>
      <c r="D251" s="27"/>
      <c r="E251" s="27"/>
      <c r="F251" s="21"/>
      <c r="G251" s="89">
        <v>59329</v>
      </c>
      <c r="H251" s="65">
        <v>0</v>
      </c>
      <c r="I251" s="34">
        <v>63258</v>
      </c>
      <c r="J251" s="27">
        <v>8889</v>
      </c>
      <c r="K251" s="27">
        <v>363991</v>
      </c>
      <c r="L251" s="27">
        <v>0</v>
      </c>
      <c r="M251" s="27">
        <v>0</v>
      </c>
      <c r="N251" s="68">
        <v>436138</v>
      </c>
      <c r="O251" s="63">
        <v>0</v>
      </c>
      <c r="P251" s="160">
        <v>0</v>
      </c>
      <c r="Q251" s="21">
        <v>0</v>
      </c>
      <c r="R251" s="89">
        <v>0</v>
      </c>
      <c r="S251" s="65">
        <v>495467</v>
      </c>
      <c r="T251" s="34">
        <v>37841</v>
      </c>
      <c r="U251" s="34">
        <v>53100</v>
      </c>
      <c r="V251" s="34">
        <v>1043</v>
      </c>
      <c r="W251" s="34">
        <v>0</v>
      </c>
      <c r="X251" s="89">
        <v>91984</v>
      </c>
      <c r="Y251" s="65">
        <v>587451</v>
      </c>
      <c r="Z251" s="160">
        <v>473979</v>
      </c>
    </row>
    <row r="252" spans="1:26" s="5" customFormat="1" ht="12.75" customHeight="1" x14ac:dyDescent="0.25">
      <c r="A252" s="24"/>
      <c r="B252" s="25"/>
      <c r="C252" s="27"/>
      <c r="D252" s="27"/>
      <c r="E252" s="27"/>
      <c r="F252" s="21"/>
      <c r="G252" s="89"/>
      <c r="H252" s="65"/>
      <c r="I252" s="34"/>
      <c r="J252" s="27"/>
      <c r="K252" s="27"/>
      <c r="L252" s="27"/>
      <c r="M252" s="27">
        <v>0</v>
      </c>
      <c r="N252" s="68"/>
      <c r="O252" s="63">
        <v>0</v>
      </c>
      <c r="P252" s="160">
        <v>0</v>
      </c>
      <c r="Q252" s="21">
        <v>0</v>
      </c>
      <c r="R252" s="89">
        <v>0</v>
      </c>
      <c r="S252" s="65"/>
      <c r="T252" s="34"/>
      <c r="U252" s="34"/>
      <c r="V252" s="34"/>
      <c r="W252" s="34">
        <v>0</v>
      </c>
      <c r="X252" s="89"/>
      <c r="Y252" s="65"/>
      <c r="Z252" s="160"/>
    </row>
    <row r="253" spans="1:26" s="5" customFormat="1" ht="12.75" customHeight="1" x14ac:dyDescent="0.25">
      <c r="A253" s="24" t="s">
        <v>391</v>
      </c>
      <c r="B253" s="25"/>
      <c r="C253" s="27"/>
      <c r="D253" s="27"/>
      <c r="E253" s="27"/>
      <c r="F253" s="21"/>
      <c r="G253" s="89">
        <v>59044</v>
      </c>
      <c r="H253" s="65">
        <v>0</v>
      </c>
      <c r="I253" s="34">
        <v>62685</v>
      </c>
      <c r="J253" s="27">
        <v>8982</v>
      </c>
      <c r="K253" s="27">
        <v>363287</v>
      </c>
      <c r="L253" s="27">
        <v>0</v>
      </c>
      <c r="M253" s="27">
        <v>0</v>
      </c>
      <c r="N253" s="68">
        <v>434954</v>
      </c>
      <c r="O253" s="63">
        <v>0</v>
      </c>
      <c r="P253" s="160">
        <v>0</v>
      </c>
      <c r="Q253" s="21">
        <v>0</v>
      </c>
      <c r="R253" s="89">
        <v>0</v>
      </c>
      <c r="S253" s="65">
        <v>493998</v>
      </c>
      <c r="T253" s="34">
        <v>37681</v>
      </c>
      <c r="U253" s="34">
        <v>53244</v>
      </c>
      <c r="V253" s="34">
        <v>1043</v>
      </c>
      <c r="W253" s="34">
        <v>0</v>
      </c>
      <c r="X253" s="89">
        <v>91968</v>
      </c>
      <c r="Y253" s="65">
        <v>585966</v>
      </c>
      <c r="Z253" s="160">
        <v>472635</v>
      </c>
    </row>
    <row r="254" spans="1:26" s="5" customFormat="1" ht="12.75" customHeight="1" x14ac:dyDescent="0.25">
      <c r="A254" s="24" t="s">
        <v>392</v>
      </c>
      <c r="B254" s="25"/>
      <c r="C254" s="27"/>
      <c r="D254" s="27"/>
      <c r="E254" s="27"/>
      <c r="F254" s="21"/>
      <c r="G254" s="89">
        <v>59267</v>
      </c>
      <c r="H254" s="65">
        <v>0</v>
      </c>
      <c r="I254" s="34">
        <v>62656</v>
      </c>
      <c r="J254" s="27">
        <v>9002</v>
      </c>
      <c r="K254" s="27">
        <v>362648</v>
      </c>
      <c r="L254" s="27">
        <v>0</v>
      </c>
      <c r="M254" s="27">
        <v>0</v>
      </c>
      <c r="N254" s="68">
        <v>434306</v>
      </c>
      <c r="O254" s="63">
        <v>0</v>
      </c>
      <c r="P254" s="160">
        <v>0</v>
      </c>
      <c r="Q254" s="21">
        <v>0</v>
      </c>
      <c r="R254" s="89">
        <v>0</v>
      </c>
      <c r="S254" s="65">
        <v>493573</v>
      </c>
      <c r="T254" s="34">
        <v>37577</v>
      </c>
      <c r="U254" s="34">
        <v>53451</v>
      </c>
      <c r="V254" s="34">
        <v>1039</v>
      </c>
      <c r="W254" s="34">
        <v>0</v>
      </c>
      <c r="X254" s="89">
        <v>92067</v>
      </c>
      <c r="Y254" s="65">
        <v>585640</v>
      </c>
      <c r="Z254" s="160">
        <v>471883</v>
      </c>
    </row>
    <row r="255" spans="1:26" s="5" customFormat="1" ht="12.75" customHeight="1" x14ac:dyDescent="0.25">
      <c r="A255" s="24" t="s">
        <v>393</v>
      </c>
      <c r="B255" s="25"/>
      <c r="C255" s="27"/>
      <c r="D255" s="27"/>
      <c r="E255" s="27"/>
      <c r="F255" s="21"/>
      <c r="G255" s="89">
        <v>59598</v>
      </c>
      <c r="H255" s="65">
        <v>0</v>
      </c>
      <c r="I255" s="34">
        <v>62724</v>
      </c>
      <c r="J255" s="27">
        <v>8799</v>
      </c>
      <c r="K255" s="27">
        <v>362453</v>
      </c>
      <c r="L255" s="27">
        <v>0</v>
      </c>
      <c r="M255" s="27">
        <v>0</v>
      </c>
      <c r="N255" s="68">
        <v>433976</v>
      </c>
      <c r="O255" s="63">
        <v>0</v>
      </c>
      <c r="P255" s="160">
        <v>0</v>
      </c>
      <c r="Q255" s="21">
        <v>0</v>
      </c>
      <c r="R255" s="89">
        <v>0</v>
      </c>
      <c r="S255" s="65">
        <v>493574</v>
      </c>
      <c r="T255" s="34">
        <v>37843</v>
      </c>
      <c r="U255" s="34">
        <v>52864</v>
      </c>
      <c r="V255" s="34">
        <v>1053</v>
      </c>
      <c r="W255" s="34">
        <v>0</v>
      </c>
      <c r="X255" s="89">
        <v>91760</v>
      </c>
      <c r="Y255" s="65">
        <v>585334</v>
      </c>
      <c r="Z255" s="160">
        <v>471819</v>
      </c>
    </row>
    <row r="256" spans="1:26" s="5" customFormat="1" ht="12.75" customHeight="1" x14ac:dyDescent="0.25">
      <c r="A256" s="24" t="s">
        <v>394</v>
      </c>
      <c r="B256" s="25"/>
      <c r="C256" s="27"/>
      <c r="D256" s="27"/>
      <c r="E256" s="27"/>
      <c r="F256" s="21"/>
      <c r="G256" s="89">
        <v>59422</v>
      </c>
      <c r="H256" s="65">
        <v>0</v>
      </c>
      <c r="I256" s="34">
        <v>62594</v>
      </c>
      <c r="J256" s="27">
        <v>8658</v>
      </c>
      <c r="K256" s="27">
        <v>361036</v>
      </c>
      <c r="L256" s="27">
        <v>0</v>
      </c>
      <c r="M256" s="27">
        <v>0</v>
      </c>
      <c r="N256" s="68">
        <v>432288</v>
      </c>
      <c r="O256" s="63">
        <v>0</v>
      </c>
      <c r="P256" s="160">
        <v>0</v>
      </c>
      <c r="Q256" s="21">
        <v>0</v>
      </c>
      <c r="R256" s="89">
        <v>0</v>
      </c>
      <c r="S256" s="65">
        <v>491710</v>
      </c>
      <c r="T256" s="34">
        <v>37825</v>
      </c>
      <c r="U256" s="34">
        <v>52332</v>
      </c>
      <c r="V256" s="34">
        <v>1045</v>
      </c>
      <c r="W256" s="34">
        <v>0</v>
      </c>
      <c r="X256" s="89">
        <v>91202</v>
      </c>
      <c r="Y256" s="65">
        <v>582912</v>
      </c>
      <c r="Z256" s="160">
        <v>470113</v>
      </c>
    </row>
    <row r="257" spans="1:26" s="5" customFormat="1" ht="12.75" customHeight="1" x14ac:dyDescent="0.25">
      <c r="A257" s="24" t="s">
        <v>395</v>
      </c>
      <c r="B257" s="25"/>
      <c r="C257" s="27"/>
      <c r="D257" s="27"/>
      <c r="E257" s="27"/>
      <c r="F257" s="21"/>
      <c r="G257" s="89">
        <v>59726</v>
      </c>
      <c r="H257" s="65">
        <v>0</v>
      </c>
      <c r="I257" s="34">
        <v>62798</v>
      </c>
      <c r="J257" s="27">
        <v>8290</v>
      </c>
      <c r="K257" s="27">
        <v>362641</v>
      </c>
      <c r="L257" s="27">
        <v>0</v>
      </c>
      <c r="M257" s="27">
        <v>0</v>
      </c>
      <c r="N257" s="68">
        <v>433729</v>
      </c>
      <c r="O257" s="63">
        <v>0</v>
      </c>
      <c r="P257" s="160">
        <v>0</v>
      </c>
      <c r="Q257" s="21">
        <v>0</v>
      </c>
      <c r="R257" s="89">
        <v>0</v>
      </c>
      <c r="S257" s="65">
        <v>493455</v>
      </c>
      <c r="T257" s="34">
        <v>38226</v>
      </c>
      <c r="U257" s="34">
        <v>52583</v>
      </c>
      <c r="V257" s="34">
        <v>1036</v>
      </c>
      <c r="W257" s="34">
        <v>0</v>
      </c>
      <c r="X257" s="89">
        <v>91845</v>
      </c>
      <c r="Y257" s="65">
        <v>585300</v>
      </c>
      <c r="Z257" s="160">
        <v>471955</v>
      </c>
    </row>
    <row r="258" spans="1:26" s="5" customFormat="1" ht="12.75" customHeight="1" x14ac:dyDescent="0.25">
      <c r="A258" s="24" t="s">
        <v>396</v>
      </c>
      <c r="B258" s="25"/>
      <c r="C258" s="27"/>
      <c r="D258" s="27"/>
      <c r="E258" s="27"/>
      <c r="F258" s="21"/>
      <c r="G258" s="89">
        <v>60106</v>
      </c>
      <c r="H258" s="65">
        <v>0</v>
      </c>
      <c r="I258" s="34">
        <v>63276</v>
      </c>
      <c r="J258" s="27">
        <v>8100</v>
      </c>
      <c r="K258" s="27">
        <v>364922</v>
      </c>
      <c r="L258" s="27">
        <v>0</v>
      </c>
      <c r="M258" s="27">
        <v>0</v>
      </c>
      <c r="N258" s="68">
        <v>436298</v>
      </c>
      <c r="O258" s="63">
        <v>0</v>
      </c>
      <c r="P258" s="160">
        <v>0</v>
      </c>
      <c r="Q258" s="21">
        <v>0</v>
      </c>
      <c r="R258" s="89">
        <v>0</v>
      </c>
      <c r="S258" s="65">
        <v>496404</v>
      </c>
      <c r="T258" s="34">
        <v>38834</v>
      </c>
      <c r="U258" s="34">
        <v>53713</v>
      </c>
      <c r="V258" s="34">
        <v>1074</v>
      </c>
      <c r="W258" s="34">
        <v>0</v>
      </c>
      <c r="X258" s="89">
        <v>93621</v>
      </c>
      <c r="Y258" s="65">
        <v>590025</v>
      </c>
      <c r="Z258" s="160">
        <v>475132</v>
      </c>
    </row>
    <row r="259" spans="1:26" s="5" customFormat="1" ht="12.75" customHeight="1" x14ac:dyDescent="0.25">
      <c r="A259" s="161" t="s">
        <v>397</v>
      </c>
      <c r="B259" s="25"/>
      <c r="C259" s="27"/>
      <c r="D259" s="27"/>
      <c r="E259" s="27"/>
      <c r="F259" s="21"/>
      <c r="G259" s="89">
        <v>64390</v>
      </c>
      <c r="H259" s="65">
        <v>0</v>
      </c>
      <c r="I259" s="34">
        <v>68315</v>
      </c>
      <c r="J259" s="27">
        <v>9364</v>
      </c>
      <c r="K259" s="27">
        <v>382982</v>
      </c>
      <c r="L259" s="27">
        <v>0</v>
      </c>
      <c r="M259" s="27">
        <v>0</v>
      </c>
      <c r="N259" s="68">
        <v>460661</v>
      </c>
      <c r="O259" s="63">
        <v>0</v>
      </c>
      <c r="P259" s="160">
        <v>0</v>
      </c>
      <c r="Q259" s="21">
        <v>0</v>
      </c>
      <c r="R259" s="89">
        <v>0</v>
      </c>
      <c r="S259" s="65">
        <v>525051</v>
      </c>
      <c r="T259" s="34">
        <v>41102</v>
      </c>
      <c r="U259" s="34">
        <v>55336</v>
      </c>
      <c r="V259" s="34">
        <v>1131</v>
      </c>
      <c r="W259" s="34">
        <v>0</v>
      </c>
      <c r="X259" s="89">
        <v>97569</v>
      </c>
      <c r="Y259" s="65">
        <v>622620</v>
      </c>
      <c r="Z259" s="160">
        <v>501763</v>
      </c>
    </row>
    <row r="260" spans="1:26" s="5" customFormat="1" ht="12.75" customHeight="1" x14ac:dyDescent="0.25">
      <c r="A260" s="161" t="s">
        <v>398</v>
      </c>
      <c r="B260" s="25"/>
      <c r="C260" s="27"/>
      <c r="D260" s="27"/>
      <c r="E260" s="27"/>
      <c r="F260" s="21"/>
      <c r="G260" s="89">
        <v>64511</v>
      </c>
      <c r="H260" s="65">
        <v>0</v>
      </c>
      <c r="I260" s="34">
        <v>69141</v>
      </c>
      <c r="J260" s="27">
        <v>9162</v>
      </c>
      <c r="K260" s="27">
        <v>385041</v>
      </c>
      <c r="L260" s="27">
        <v>0</v>
      </c>
      <c r="M260" s="27">
        <v>0</v>
      </c>
      <c r="N260" s="68">
        <v>463344</v>
      </c>
      <c r="O260" s="63">
        <v>0</v>
      </c>
      <c r="P260" s="160">
        <v>0</v>
      </c>
      <c r="Q260" s="21">
        <v>0</v>
      </c>
      <c r="R260" s="89">
        <v>0</v>
      </c>
      <c r="S260" s="65">
        <v>527855</v>
      </c>
      <c r="T260" s="34">
        <v>41278</v>
      </c>
      <c r="U260" s="34">
        <v>56129</v>
      </c>
      <c r="V260" s="34">
        <v>1167</v>
      </c>
      <c r="W260" s="34">
        <v>0</v>
      </c>
      <c r="X260" s="89">
        <v>98574</v>
      </c>
      <c r="Y260" s="65">
        <v>626429</v>
      </c>
      <c r="Z260" s="160">
        <v>504622</v>
      </c>
    </row>
    <row r="261" spans="1:26" s="5" customFormat="1" ht="12.75" customHeight="1" x14ac:dyDescent="0.25">
      <c r="A261" s="24" t="s">
        <v>399</v>
      </c>
      <c r="B261" s="25"/>
      <c r="C261" s="27"/>
      <c r="D261" s="27"/>
      <c r="E261" s="27"/>
      <c r="F261" s="21"/>
      <c r="G261" s="89">
        <v>64509</v>
      </c>
      <c r="H261" s="65">
        <v>0</v>
      </c>
      <c r="I261" s="34">
        <v>68933</v>
      </c>
      <c r="J261" s="27">
        <v>9084</v>
      </c>
      <c r="K261" s="27">
        <v>384297</v>
      </c>
      <c r="L261" s="27">
        <v>0</v>
      </c>
      <c r="M261" s="27">
        <v>0</v>
      </c>
      <c r="N261" s="68">
        <v>462314</v>
      </c>
      <c r="O261" s="63">
        <v>0</v>
      </c>
      <c r="P261" s="160">
        <v>0</v>
      </c>
      <c r="Q261" s="21">
        <v>0</v>
      </c>
      <c r="R261" s="89">
        <v>0</v>
      </c>
      <c r="S261" s="65">
        <v>526823</v>
      </c>
      <c r="T261" s="34">
        <v>41048</v>
      </c>
      <c r="U261" s="34">
        <v>55655</v>
      </c>
      <c r="V261" s="34">
        <v>1209</v>
      </c>
      <c r="W261" s="34">
        <v>0</v>
      </c>
      <c r="X261" s="89">
        <v>97912</v>
      </c>
      <c r="Y261" s="65">
        <v>624735</v>
      </c>
      <c r="Z261" s="160">
        <v>503362</v>
      </c>
    </row>
    <row r="262" spans="1:26" s="5" customFormat="1" ht="12.75" customHeight="1" x14ac:dyDescent="0.25">
      <c r="A262" s="24" t="s">
        <v>400</v>
      </c>
      <c r="B262" s="25"/>
      <c r="C262" s="27"/>
      <c r="D262" s="27"/>
      <c r="E262" s="27"/>
      <c r="F262" s="21"/>
      <c r="G262" s="89">
        <v>64215</v>
      </c>
      <c r="H262" s="65">
        <v>0</v>
      </c>
      <c r="I262" s="34">
        <v>69497</v>
      </c>
      <c r="J262" s="27">
        <v>9346</v>
      </c>
      <c r="K262" s="27">
        <v>385308</v>
      </c>
      <c r="L262" s="27">
        <v>0</v>
      </c>
      <c r="M262" s="27">
        <v>0</v>
      </c>
      <c r="N262" s="68">
        <v>464151</v>
      </c>
      <c r="O262" s="63">
        <v>0</v>
      </c>
      <c r="P262" s="160">
        <v>0</v>
      </c>
      <c r="Q262" s="21">
        <v>0</v>
      </c>
      <c r="R262" s="89">
        <v>0</v>
      </c>
      <c r="S262" s="65">
        <v>528366</v>
      </c>
      <c r="T262" s="34">
        <v>40935</v>
      </c>
      <c r="U262" s="34">
        <v>56085</v>
      </c>
      <c r="V262" s="34">
        <v>1230</v>
      </c>
      <c r="W262" s="34">
        <v>0</v>
      </c>
      <c r="X262" s="89">
        <v>98250</v>
      </c>
      <c r="Y262" s="65">
        <v>626616</v>
      </c>
      <c r="Z262" s="160">
        <v>505086</v>
      </c>
    </row>
    <row r="263" spans="1:26" s="5" customFormat="1" ht="12.75" customHeight="1" x14ac:dyDescent="0.25">
      <c r="A263" s="24" t="s">
        <v>401</v>
      </c>
      <c r="B263" s="25"/>
      <c r="C263" s="27"/>
      <c r="D263" s="27"/>
      <c r="E263" s="27"/>
      <c r="F263" s="21"/>
      <c r="G263" s="89">
        <v>64352</v>
      </c>
      <c r="H263" s="65">
        <v>0</v>
      </c>
      <c r="I263" s="34">
        <v>69499</v>
      </c>
      <c r="J263" s="27">
        <v>9478</v>
      </c>
      <c r="K263" s="27">
        <v>386732</v>
      </c>
      <c r="L263" s="27">
        <v>0</v>
      </c>
      <c r="M263" s="27">
        <v>0</v>
      </c>
      <c r="N263" s="68">
        <v>465709</v>
      </c>
      <c r="O263" s="63">
        <v>0</v>
      </c>
      <c r="P263" s="160">
        <v>0</v>
      </c>
      <c r="Q263" s="21">
        <v>0</v>
      </c>
      <c r="R263" s="89">
        <v>0</v>
      </c>
      <c r="S263" s="65">
        <v>530061</v>
      </c>
      <c r="T263" s="34">
        <v>41149</v>
      </c>
      <c r="U263" s="34">
        <v>56599</v>
      </c>
      <c r="V263" s="34">
        <v>1269</v>
      </c>
      <c r="W263" s="34">
        <v>0</v>
      </c>
      <c r="X263" s="89">
        <v>99017</v>
      </c>
      <c r="Y263" s="65">
        <v>629078</v>
      </c>
      <c r="Z263" s="160">
        <v>506858</v>
      </c>
    </row>
    <row r="264" spans="1:26" s="5" customFormat="1" ht="12.75" customHeight="1" x14ac:dyDescent="0.25">
      <c r="A264" s="24" t="s">
        <v>402</v>
      </c>
      <c r="B264" s="25"/>
      <c r="C264" s="27"/>
      <c r="D264" s="27"/>
      <c r="E264" s="27"/>
      <c r="F264" s="21"/>
      <c r="G264" s="89">
        <v>64526</v>
      </c>
      <c r="H264" s="65">
        <v>0</v>
      </c>
      <c r="I264" s="34">
        <v>69914</v>
      </c>
      <c r="J264" s="27">
        <v>9812</v>
      </c>
      <c r="K264" s="27">
        <v>388234</v>
      </c>
      <c r="L264" s="27">
        <v>0</v>
      </c>
      <c r="M264" s="27">
        <v>0</v>
      </c>
      <c r="N264" s="68">
        <v>467960</v>
      </c>
      <c r="O264" s="63">
        <v>0</v>
      </c>
      <c r="P264" s="160">
        <v>0</v>
      </c>
      <c r="Q264" s="21">
        <v>0</v>
      </c>
      <c r="R264" s="89">
        <v>0</v>
      </c>
      <c r="S264" s="65">
        <v>532486</v>
      </c>
      <c r="T264" s="34">
        <v>41273</v>
      </c>
      <c r="U264" s="34">
        <v>56952</v>
      </c>
      <c r="V264" s="34">
        <v>1270</v>
      </c>
      <c r="W264" s="34">
        <v>0</v>
      </c>
      <c r="X264" s="89">
        <v>99495</v>
      </c>
      <c r="Y264" s="65">
        <v>631981</v>
      </c>
      <c r="Z264" s="160">
        <v>509233</v>
      </c>
    </row>
    <row r="265" spans="1:26" s="5" customFormat="1" ht="12.75" customHeight="1" x14ac:dyDescent="0.25">
      <c r="A265" s="24"/>
      <c r="B265" s="25"/>
      <c r="C265" s="27"/>
      <c r="D265" s="27"/>
      <c r="E265" s="27"/>
      <c r="F265" s="21"/>
      <c r="G265" s="89"/>
      <c r="H265" s="65"/>
      <c r="I265" s="34"/>
      <c r="J265" s="27"/>
      <c r="K265" s="27"/>
      <c r="L265" s="27"/>
      <c r="M265" s="27">
        <v>0</v>
      </c>
      <c r="N265" s="68"/>
      <c r="O265" s="63">
        <v>0</v>
      </c>
      <c r="P265" s="160">
        <v>0</v>
      </c>
      <c r="Q265" s="21">
        <v>0</v>
      </c>
      <c r="R265" s="89">
        <v>0</v>
      </c>
      <c r="S265" s="65"/>
      <c r="T265" s="34"/>
      <c r="U265" s="34"/>
      <c r="V265" s="34"/>
      <c r="W265" s="34">
        <v>0</v>
      </c>
      <c r="X265" s="89"/>
      <c r="Y265" s="65"/>
      <c r="Z265" s="160"/>
    </row>
    <row r="266" spans="1:26" s="5" customFormat="1" ht="12.75" customHeight="1" x14ac:dyDescent="0.25">
      <c r="A266" s="25" t="s">
        <v>403</v>
      </c>
      <c r="B266" s="25"/>
      <c r="C266" s="27">
        <v>71693</v>
      </c>
      <c r="D266" s="27"/>
      <c r="E266" s="27">
        <v>2775</v>
      </c>
      <c r="F266" s="21">
        <v>0</v>
      </c>
      <c r="G266" s="89">
        <v>74468</v>
      </c>
      <c r="H266" s="65">
        <v>0</v>
      </c>
      <c r="I266" s="34">
        <v>76240</v>
      </c>
      <c r="J266" s="27">
        <v>10936</v>
      </c>
      <c r="K266" s="27">
        <v>415089</v>
      </c>
      <c r="L266" s="27">
        <v>0</v>
      </c>
      <c r="M266" s="27">
        <v>0</v>
      </c>
      <c r="N266" s="68">
        <v>502265</v>
      </c>
      <c r="O266" s="63">
        <v>0</v>
      </c>
      <c r="P266" s="160">
        <v>0</v>
      </c>
      <c r="Q266" s="21">
        <v>0</v>
      </c>
      <c r="R266" s="89">
        <v>0</v>
      </c>
      <c r="S266" s="65">
        <v>576733</v>
      </c>
      <c r="T266" s="34">
        <v>44283</v>
      </c>
      <c r="U266" s="34">
        <v>60174</v>
      </c>
      <c r="V266" s="34">
        <v>1348</v>
      </c>
      <c r="W266" s="34">
        <v>0</v>
      </c>
      <c r="X266" s="89">
        <v>105805</v>
      </c>
      <c r="Y266" s="65">
        <v>682538</v>
      </c>
      <c r="Z266" s="160">
        <v>546548</v>
      </c>
    </row>
    <row r="267" spans="1:26" s="5" customFormat="1" ht="12.75" customHeight="1" x14ac:dyDescent="0.25">
      <c r="A267" s="25" t="s">
        <v>404</v>
      </c>
      <c r="B267" s="25"/>
      <c r="C267" s="27">
        <v>71727</v>
      </c>
      <c r="D267" s="27"/>
      <c r="E267" s="27">
        <v>2867</v>
      </c>
      <c r="F267" s="21">
        <v>0</v>
      </c>
      <c r="G267" s="89">
        <v>74594</v>
      </c>
      <c r="H267" s="65">
        <v>0</v>
      </c>
      <c r="I267" s="34">
        <v>76216</v>
      </c>
      <c r="J267" s="27">
        <v>10815</v>
      </c>
      <c r="K267" s="27">
        <v>414802</v>
      </c>
      <c r="L267" s="27">
        <v>0</v>
      </c>
      <c r="M267" s="27">
        <v>0</v>
      </c>
      <c r="N267" s="68">
        <v>501833</v>
      </c>
      <c r="O267" s="63">
        <v>0</v>
      </c>
      <c r="P267" s="160">
        <v>0</v>
      </c>
      <c r="Q267" s="21">
        <v>0</v>
      </c>
      <c r="R267" s="89">
        <v>0</v>
      </c>
      <c r="S267" s="65">
        <v>576427</v>
      </c>
      <c r="T267" s="34">
        <v>44130</v>
      </c>
      <c r="U267" s="34">
        <v>59845</v>
      </c>
      <c r="V267" s="34">
        <v>1350</v>
      </c>
      <c r="W267" s="34">
        <v>0</v>
      </c>
      <c r="X267" s="89">
        <v>105325</v>
      </c>
      <c r="Y267" s="65">
        <v>681752</v>
      </c>
      <c r="Z267" s="160">
        <v>545963</v>
      </c>
    </row>
    <row r="268" spans="1:26" s="5" customFormat="1" ht="12.75" customHeight="1" x14ac:dyDescent="0.25">
      <c r="A268" s="25" t="s">
        <v>405</v>
      </c>
      <c r="B268" s="25"/>
      <c r="C268" s="27">
        <v>71816</v>
      </c>
      <c r="D268" s="27"/>
      <c r="E268" s="27">
        <v>2892</v>
      </c>
      <c r="F268" s="21">
        <v>0</v>
      </c>
      <c r="G268" s="89">
        <v>74708</v>
      </c>
      <c r="H268" s="65">
        <v>0</v>
      </c>
      <c r="I268" s="34">
        <v>76354</v>
      </c>
      <c r="J268" s="27">
        <v>10838</v>
      </c>
      <c r="K268" s="27">
        <v>414390</v>
      </c>
      <c r="L268" s="27">
        <v>0</v>
      </c>
      <c r="M268" s="27">
        <v>0</v>
      </c>
      <c r="N268" s="68">
        <v>501582</v>
      </c>
      <c r="O268" s="63">
        <v>0</v>
      </c>
      <c r="P268" s="160">
        <v>0</v>
      </c>
      <c r="Q268" s="21">
        <v>0</v>
      </c>
      <c r="R268" s="89">
        <v>0</v>
      </c>
      <c r="S268" s="65">
        <v>576290</v>
      </c>
      <c r="T268" s="34">
        <v>44497</v>
      </c>
      <c r="U268" s="34">
        <v>58505</v>
      </c>
      <c r="V268" s="34">
        <v>1356</v>
      </c>
      <c r="W268" s="34">
        <v>0</v>
      </c>
      <c r="X268" s="89">
        <v>104358</v>
      </c>
      <c r="Y268" s="65">
        <v>680648</v>
      </c>
      <c r="Z268" s="160">
        <v>546079</v>
      </c>
    </row>
    <row r="269" spans="1:26" s="5" customFormat="1" ht="12.75" customHeight="1" x14ac:dyDescent="0.25">
      <c r="A269" s="25" t="s">
        <v>406</v>
      </c>
      <c r="B269" s="25"/>
      <c r="C269" s="27">
        <v>72394</v>
      </c>
      <c r="D269" s="27"/>
      <c r="E269" s="27">
        <v>2892</v>
      </c>
      <c r="F269" s="21">
        <v>0</v>
      </c>
      <c r="G269" s="89">
        <v>75286</v>
      </c>
      <c r="H269" s="65">
        <v>0</v>
      </c>
      <c r="I269" s="34">
        <v>88357</v>
      </c>
      <c r="J269" s="27"/>
      <c r="K269" s="27">
        <v>416177</v>
      </c>
      <c r="L269" s="27">
        <v>0</v>
      </c>
      <c r="M269" s="27">
        <v>0</v>
      </c>
      <c r="N269" s="68">
        <v>504534</v>
      </c>
      <c r="O269" s="63">
        <v>0</v>
      </c>
      <c r="P269" s="160">
        <v>0</v>
      </c>
      <c r="Q269" s="21">
        <v>0</v>
      </c>
      <c r="R269" s="89">
        <v>0</v>
      </c>
      <c r="S269" s="65">
        <v>579820</v>
      </c>
      <c r="T269" s="34">
        <v>44758</v>
      </c>
      <c r="U269" s="34">
        <v>58538</v>
      </c>
      <c r="V269" s="34">
        <v>1343</v>
      </c>
      <c r="W269" s="34">
        <v>0</v>
      </c>
      <c r="X269" s="89">
        <v>104639</v>
      </c>
      <c r="Y269" s="65">
        <v>684459</v>
      </c>
      <c r="Z269" s="160">
        <v>549292</v>
      </c>
    </row>
    <row r="270" spans="1:26" s="5" customFormat="1" ht="12.75" customHeight="1" x14ac:dyDescent="0.25">
      <c r="A270" s="25" t="s">
        <v>407</v>
      </c>
      <c r="B270" s="25"/>
      <c r="C270" s="27">
        <v>72354</v>
      </c>
      <c r="D270" s="27"/>
      <c r="E270" s="27">
        <v>3090</v>
      </c>
      <c r="F270" s="21">
        <v>0</v>
      </c>
      <c r="G270" s="89">
        <v>75444</v>
      </c>
      <c r="H270" s="65">
        <v>0</v>
      </c>
      <c r="I270" s="34">
        <v>77758</v>
      </c>
      <c r="J270" s="27">
        <v>10687</v>
      </c>
      <c r="K270" s="27">
        <v>417421</v>
      </c>
      <c r="L270" s="27">
        <v>0</v>
      </c>
      <c r="M270" s="27">
        <v>0</v>
      </c>
      <c r="N270" s="68">
        <v>505866</v>
      </c>
      <c r="O270" s="63">
        <v>0</v>
      </c>
      <c r="P270" s="160">
        <v>0</v>
      </c>
      <c r="Q270" s="21">
        <v>0</v>
      </c>
      <c r="R270" s="89">
        <v>0</v>
      </c>
      <c r="S270" s="65">
        <v>581310</v>
      </c>
      <c r="T270" s="34">
        <v>45015</v>
      </c>
      <c r="U270" s="34">
        <v>59330</v>
      </c>
      <c r="V270" s="34">
        <v>1365</v>
      </c>
      <c r="W270" s="34">
        <v>0</v>
      </c>
      <c r="X270" s="89">
        <v>105710</v>
      </c>
      <c r="Y270" s="65">
        <v>687020</v>
      </c>
      <c r="Z270" s="160">
        <v>550881</v>
      </c>
    </row>
    <row r="271" spans="1:26" s="5" customFormat="1" ht="12.75" customHeight="1" x14ac:dyDescent="0.25">
      <c r="A271" s="25" t="s">
        <v>408</v>
      </c>
      <c r="B271" s="25"/>
      <c r="C271" s="27">
        <v>72832</v>
      </c>
      <c r="D271" s="27"/>
      <c r="E271" s="27">
        <v>3205</v>
      </c>
      <c r="F271" s="21">
        <v>0</v>
      </c>
      <c r="G271" s="89">
        <v>76037</v>
      </c>
      <c r="H271" s="65">
        <v>0</v>
      </c>
      <c r="I271" s="34">
        <v>78707</v>
      </c>
      <c r="J271" s="27">
        <v>10842</v>
      </c>
      <c r="K271" s="27">
        <v>420936</v>
      </c>
      <c r="L271" s="27">
        <v>0</v>
      </c>
      <c r="M271" s="27">
        <v>0</v>
      </c>
      <c r="N271" s="68">
        <v>510485</v>
      </c>
      <c r="O271" s="63">
        <v>0</v>
      </c>
      <c r="P271" s="160">
        <v>0</v>
      </c>
      <c r="Q271" s="21">
        <v>0</v>
      </c>
      <c r="R271" s="89">
        <v>0</v>
      </c>
      <c r="S271" s="65">
        <v>586522</v>
      </c>
      <c r="T271" s="34">
        <v>45842</v>
      </c>
      <c r="U271" s="34">
        <v>59913</v>
      </c>
      <c r="V271" s="34">
        <v>1337</v>
      </c>
      <c r="W271" s="34">
        <v>0</v>
      </c>
      <c r="X271" s="89">
        <v>107092</v>
      </c>
      <c r="Y271" s="65">
        <v>693614</v>
      </c>
      <c r="Z271" s="160">
        <v>556327</v>
      </c>
    </row>
    <row r="272" spans="1:26" s="5" customFormat="1" ht="12.75" customHeight="1" x14ac:dyDescent="0.25">
      <c r="A272" s="162" t="s">
        <v>409</v>
      </c>
      <c r="B272" s="25"/>
      <c r="C272" s="27">
        <v>73382</v>
      </c>
      <c r="D272" s="27"/>
      <c r="E272" s="27">
        <v>3280</v>
      </c>
      <c r="F272" s="21">
        <v>0</v>
      </c>
      <c r="G272" s="89">
        <v>76662</v>
      </c>
      <c r="H272" s="65">
        <v>0</v>
      </c>
      <c r="I272" s="34">
        <v>79149</v>
      </c>
      <c r="J272" s="27">
        <v>10676</v>
      </c>
      <c r="K272" s="27">
        <v>421707</v>
      </c>
      <c r="L272" s="27">
        <v>0</v>
      </c>
      <c r="M272" s="27">
        <v>0</v>
      </c>
      <c r="N272" s="68">
        <v>511532</v>
      </c>
      <c r="O272" s="63">
        <v>0</v>
      </c>
      <c r="P272" s="160">
        <v>0</v>
      </c>
      <c r="Q272" s="21">
        <v>0</v>
      </c>
      <c r="R272" s="89">
        <v>0</v>
      </c>
      <c r="S272" s="65">
        <v>588194</v>
      </c>
      <c r="T272" s="34">
        <v>46370</v>
      </c>
      <c r="U272" s="34">
        <v>60076</v>
      </c>
      <c r="V272" s="34">
        <v>1345</v>
      </c>
      <c r="W272" s="34">
        <v>0</v>
      </c>
      <c r="X272" s="89">
        <v>107791</v>
      </c>
      <c r="Y272" s="65">
        <v>695985</v>
      </c>
      <c r="Z272" s="160">
        <v>557902</v>
      </c>
    </row>
    <row r="273" spans="1:26" s="5" customFormat="1" ht="12.75" customHeight="1" x14ac:dyDescent="0.25">
      <c r="A273" s="162" t="s">
        <v>410</v>
      </c>
      <c r="B273" s="25"/>
      <c r="C273" s="27">
        <v>73751</v>
      </c>
      <c r="D273" s="27"/>
      <c r="E273" s="27">
        <v>3305</v>
      </c>
      <c r="F273" s="21">
        <v>0</v>
      </c>
      <c r="G273" s="89">
        <v>77056</v>
      </c>
      <c r="H273" s="65">
        <v>0</v>
      </c>
      <c r="I273" s="34">
        <v>79662</v>
      </c>
      <c r="J273" s="27">
        <v>10645</v>
      </c>
      <c r="K273" s="27">
        <v>423212</v>
      </c>
      <c r="L273" s="27">
        <v>0</v>
      </c>
      <c r="M273" s="27">
        <v>0</v>
      </c>
      <c r="N273" s="68">
        <v>513519</v>
      </c>
      <c r="O273" s="63">
        <v>0</v>
      </c>
      <c r="P273" s="160">
        <v>0</v>
      </c>
      <c r="Q273" s="21">
        <v>0</v>
      </c>
      <c r="R273" s="89">
        <v>0</v>
      </c>
      <c r="S273" s="65">
        <v>590575</v>
      </c>
      <c r="T273" s="34">
        <v>46607</v>
      </c>
      <c r="U273" s="34">
        <v>60132</v>
      </c>
      <c r="V273" s="34">
        <v>1321</v>
      </c>
      <c r="W273" s="34">
        <v>0</v>
      </c>
      <c r="X273" s="89">
        <v>108060</v>
      </c>
      <c r="Y273" s="65">
        <v>698635</v>
      </c>
      <c r="Z273" s="160">
        <v>560126</v>
      </c>
    </row>
    <row r="274" spans="1:26" s="5" customFormat="1" ht="12.75" customHeight="1" x14ac:dyDescent="0.25">
      <c r="A274" s="25" t="s">
        <v>411</v>
      </c>
      <c r="B274" s="25"/>
      <c r="C274" s="27">
        <v>73637</v>
      </c>
      <c r="D274" s="27"/>
      <c r="E274" s="27">
        <v>3361</v>
      </c>
      <c r="F274" s="21">
        <v>0</v>
      </c>
      <c r="G274" s="89">
        <v>76998</v>
      </c>
      <c r="H274" s="65">
        <v>0</v>
      </c>
      <c r="I274" s="34">
        <v>79587</v>
      </c>
      <c r="J274" s="27">
        <v>10443</v>
      </c>
      <c r="K274" s="27">
        <v>422544</v>
      </c>
      <c r="L274" s="27">
        <v>0</v>
      </c>
      <c r="M274" s="27">
        <v>0</v>
      </c>
      <c r="N274" s="68">
        <v>512574</v>
      </c>
      <c r="O274" s="63">
        <v>0</v>
      </c>
      <c r="P274" s="160">
        <v>0</v>
      </c>
      <c r="Q274" s="21">
        <v>0</v>
      </c>
      <c r="R274" s="89">
        <v>0</v>
      </c>
      <c r="S274" s="65">
        <v>589572</v>
      </c>
      <c r="T274" s="34">
        <v>46168</v>
      </c>
      <c r="U274" s="34">
        <v>59718</v>
      </c>
      <c r="V274" s="34">
        <v>1373</v>
      </c>
      <c r="W274" s="34">
        <v>0</v>
      </c>
      <c r="X274" s="89">
        <v>107259</v>
      </c>
      <c r="Y274" s="65">
        <v>696831</v>
      </c>
      <c r="Z274" s="160">
        <v>558742</v>
      </c>
    </row>
    <row r="275" spans="1:26" s="5" customFormat="1" ht="12.75" customHeight="1" x14ac:dyDescent="0.25">
      <c r="A275" s="25" t="s">
        <v>412</v>
      </c>
      <c r="B275" s="25"/>
      <c r="C275" s="27">
        <v>73656</v>
      </c>
      <c r="D275" s="27"/>
      <c r="E275" s="27">
        <v>3411</v>
      </c>
      <c r="F275" s="21">
        <v>0</v>
      </c>
      <c r="G275" s="89">
        <v>77067</v>
      </c>
      <c r="H275" s="65">
        <v>0</v>
      </c>
      <c r="I275" s="34">
        <v>79803</v>
      </c>
      <c r="J275" s="27">
        <v>10645</v>
      </c>
      <c r="K275" s="27">
        <v>422197</v>
      </c>
      <c r="L275" s="27">
        <v>0</v>
      </c>
      <c r="M275" s="27">
        <v>0</v>
      </c>
      <c r="N275" s="68">
        <v>512645</v>
      </c>
      <c r="O275" s="63">
        <v>0</v>
      </c>
      <c r="P275" s="160">
        <v>0</v>
      </c>
      <c r="Q275" s="21">
        <v>0</v>
      </c>
      <c r="R275" s="89">
        <v>0</v>
      </c>
      <c r="S275" s="65">
        <v>589712</v>
      </c>
      <c r="T275" s="34">
        <v>45678</v>
      </c>
      <c r="U275" s="34">
        <v>59587</v>
      </c>
      <c r="V275" s="34">
        <v>1408</v>
      </c>
      <c r="W275" s="34">
        <v>0</v>
      </c>
      <c r="X275" s="89">
        <v>106673</v>
      </c>
      <c r="Y275" s="65">
        <v>696385</v>
      </c>
      <c r="Z275" s="160">
        <v>558323</v>
      </c>
    </row>
    <row r="276" spans="1:26" s="5" customFormat="1" ht="12.75" customHeight="1" x14ac:dyDescent="0.25">
      <c r="A276" s="25" t="s">
        <v>413</v>
      </c>
      <c r="B276" s="25"/>
      <c r="C276" s="27">
        <v>73236</v>
      </c>
      <c r="D276" s="27"/>
      <c r="E276" s="27">
        <v>3465</v>
      </c>
      <c r="F276" s="21">
        <v>0</v>
      </c>
      <c r="G276" s="89">
        <v>76701</v>
      </c>
      <c r="H276" s="65">
        <v>0</v>
      </c>
      <c r="I276" s="34">
        <v>90510</v>
      </c>
      <c r="J276" s="27"/>
      <c r="K276" s="27">
        <v>422063</v>
      </c>
      <c r="L276" s="27">
        <v>0</v>
      </c>
      <c r="M276" s="27">
        <v>0</v>
      </c>
      <c r="N276" s="68">
        <v>512573</v>
      </c>
      <c r="O276" s="63">
        <v>0</v>
      </c>
      <c r="P276" s="160">
        <v>0</v>
      </c>
      <c r="Q276" s="21">
        <v>0</v>
      </c>
      <c r="R276" s="89">
        <v>0</v>
      </c>
      <c r="S276" s="65">
        <v>589274</v>
      </c>
      <c r="T276" s="34">
        <v>45439</v>
      </c>
      <c r="U276" s="34">
        <v>59326</v>
      </c>
      <c r="V276" s="34">
        <v>1424</v>
      </c>
      <c r="W276" s="34">
        <v>0</v>
      </c>
      <c r="X276" s="89">
        <v>106189</v>
      </c>
      <c r="Y276" s="65">
        <v>695463</v>
      </c>
      <c r="Z276" s="160">
        <v>558012</v>
      </c>
    </row>
    <row r="277" spans="1:26" s="5" customFormat="1" ht="12.75" customHeight="1" x14ac:dyDescent="0.25">
      <c r="A277" s="25" t="s">
        <v>414</v>
      </c>
      <c r="B277" s="25"/>
      <c r="C277" s="27">
        <v>73451</v>
      </c>
      <c r="D277" s="27"/>
      <c r="E277" s="27">
        <v>3517</v>
      </c>
      <c r="F277" s="21">
        <v>0</v>
      </c>
      <c r="G277" s="89">
        <v>76968</v>
      </c>
      <c r="H277" s="65">
        <v>0</v>
      </c>
      <c r="I277" s="34">
        <v>79742</v>
      </c>
      <c r="J277" s="27">
        <v>11105</v>
      </c>
      <c r="K277" s="27">
        <v>422297</v>
      </c>
      <c r="L277" s="27">
        <v>0</v>
      </c>
      <c r="M277" s="27">
        <v>0</v>
      </c>
      <c r="N277" s="68">
        <v>513144</v>
      </c>
      <c r="O277" s="63">
        <v>0</v>
      </c>
      <c r="P277" s="160">
        <v>0</v>
      </c>
      <c r="Q277" s="21">
        <v>0</v>
      </c>
      <c r="R277" s="89">
        <v>0</v>
      </c>
      <c r="S277" s="65">
        <v>590112</v>
      </c>
      <c r="T277" s="34">
        <v>45355</v>
      </c>
      <c r="U277" s="34">
        <v>60101</v>
      </c>
      <c r="V277" s="34">
        <v>1470</v>
      </c>
      <c r="W277" s="34">
        <v>0</v>
      </c>
      <c r="X277" s="89">
        <v>106926</v>
      </c>
      <c r="Y277" s="65">
        <v>697038</v>
      </c>
      <c r="Z277" s="160">
        <v>558499</v>
      </c>
    </row>
    <row r="278" spans="1:26" s="5" customFormat="1" ht="12.75" customHeight="1" x14ac:dyDescent="0.25">
      <c r="A278" s="25"/>
      <c r="B278" s="25"/>
      <c r="C278" s="27"/>
      <c r="D278" s="27"/>
      <c r="E278" s="27"/>
      <c r="F278" s="21"/>
      <c r="G278" s="89"/>
      <c r="H278" s="65"/>
      <c r="I278" s="34"/>
      <c r="J278" s="27"/>
      <c r="K278" s="27"/>
      <c r="L278" s="27"/>
      <c r="M278" s="27">
        <v>0</v>
      </c>
      <c r="N278" s="68"/>
      <c r="O278" s="63">
        <v>0</v>
      </c>
      <c r="P278" s="160">
        <v>0</v>
      </c>
      <c r="Q278" s="21">
        <v>0</v>
      </c>
      <c r="R278" s="89">
        <v>0</v>
      </c>
      <c r="S278" s="65"/>
      <c r="T278" s="34"/>
      <c r="U278" s="34"/>
      <c r="V278" s="34"/>
      <c r="W278" s="34">
        <v>0</v>
      </c>
      <c r="X278" s="89"/>
      <c r="Y278" s="65"/>
      <c r="Z278" s="160"/>
    </row>
    <row r="279" spans="1:26" s="5" customFormat="1" ht="12.75" customHeight="1" x14ac:dyDescent="0.25">
      <c r="A279" s="25" t="s">
        <v>415</v>
      </c>
      <c r="B279" s="25"/>
      <c r="C279" s="27">
        <v>73037</v>
      </c>
      <c r="D279" s="27"/>
      <c r="E279" s="27">
        <v>3544</v>
      </c>
      <c r="F279" s="21">
        <v>0</v>
      </c>
      <c r="G279" s="89">
        <v>76581</v>
      </c>
      <c r="H279" s="65">
        <v>0</v>
      </c>
      <c r="I279" s="34">
        <v>79601</v>
      </c>
      <c r="J279" s="27">
        <v>11400</v>
      </c>
      <c r="K279" s="27">
        <v>421513</v>
      </c>
      <c r="L279" s="27">
        <v>0</v>
      </c>
      <c r="M279" s="27">
        <v>0</v>
      </c>
      <c r="N279" s="68">
        <v>512514</v>
      </c>
      <c r="O279" s="63">
        <v>0</v>
      </c>
      <c r="P279" s="160">
        <v>0</v>
      </c>
      <c r="Q279" s="21">
        <v>0</v>
      </c>
      <c r="R279" s="89">
        <v>0</v>
      </c>
      <c r="S279" s="65">
        <v>589095</v>
      </c>
      <c r="T279" s="34">
        <v>45340</v>
      </c>
      <c r="U279" s="34">
        <v>60150</v>
      </c>
      <c r="V279" s="34">
        <v>1423</v>
      </c>
      <c r="W279" s="34">
        <v>0</v>
      </c>
      <c r="X279" s="89">
        <v>106913</v>
      </c>
      <c r="Y279" s="65">
        <v>696008</v>
      </c>
      <c r="Z279" s="160">
        <v>557854</v>
      </c>
    </row>
    <row r="280" spans="1:26" s="5" customFormat="1" ht="12.75" customHeight="1" x14ac:dyDescent="0.25">
      <c r="A280" s="24" t="s">
        <v>416</v>
      </c>
      <c r="B280" s="25"/>
      <c r="C280" s="27">
        <v>73304</v>
      </c>
      <c r="D280" s="27"/>
      <c r="E280" s="27">
        <v>3583</v>
      </c>
      <c r="F280" s="21">
        <v>0</v>
      </c>
      <c r="G280" s="89">
        <v>76887</v>
      </c>
      <c r="H280" s="65">
        <v>0</v>
      </c>
      <c r="I280" s="34">
        <v>79241</v>
      </c>
      <c r="J280" s="27">
        <v>11435</v>
      </c>
      <c r="K280" s="27">
        <v>419008</v>
      </c>
      <c r="L280" s="27">
        <v>0</v>
      </c>
      <c r="M280" s="27">
        <v>0</v>
      </c>
      <c r="N280" s="68">
        <v>509684</v>
      </c>
      <c r="O280" s="63">
        <v>0</v>
      </c>
      <c r="P280" s="160">
        <v>0</v>
      </c>
      <c r="Q280" s="21">
        <v>0</v>
      </c>
      <c r="R280" s="89">
        <v>0</v>
      </c>
      <c r="S280" s="65">
        <v>586571</v>
      </c>
      <c r="T280" s="34">
        <v>45055</v>
      </c>
      <c r="U280" s="34">
        <v>59454</v>
      </c>
      <c r="V280" s="34">
        <v>1413</v>
      </c>
      <c r="W280" s="34">
        <v>0</v>
      </c>
      <c r="X280" s="89">
        <v>105922</v>
      </c>
      <c r="Y280" s="65">
        <v>692493</v>
      </c>
      <c r="Z280" s="160">
        <v>554739</v>
      </c>
    </row>
    <row r="281" spans="1:26" s="5" customFormat="1" ht="12.75" customHeight="1" x14ac:dyDescent="0.25">
      <c r="A281" s="25" t="s">
        <v>417</v>
      </c>
      <c r="B281" s="25"/>
      <c r="C281" s="27">
        <v>73332</v>
      </c>
      <c r="D281" s="27"/>
      <c r="E281" s="27">
        <v>3625</v>
      </c>
      <c r="F281" s="21">
        <v>0</v>
      </c>
      <c r="G281" s="89">
        <v>76957</v>
      </c>
      <c r="H281" s="65">
        <v>0</v>
      </c>
      <c r="I281" s="34">
        <v>78927</v>
      </c>
      <c r="J281" s="27">
        <v>11548</v>
      </c>
      <c r="K281" s="27">
        <v>417710</v>
      </c>
      <c r="L281" s="27">
        <v>0</v>
      </c>
      <c r="M281" s="27">
        <v>0</v>
      </c>
      <c r="N281" s="68">
        <v>508185</v>
      </c>
      <c r="O281" s="63">
        <v>0</v>
      </c>
      <c r="P281" s="160">
        <v>0</v>
      </c>
      <c r="Q281" s="21">
        <v>0</v>
      </c>
      <c r="R281" s="89">
        <v>0</v>
      </c>
      <c r="S281" s="65">
        <v>585142</v>
      </c>
      <c r="T281" s="34">
        <v>44861</v>
      </c>
      <c r="U281" s="34">
        <v>59296</v>
      </c>
      <c r="V281" s="34">
        <v>1384</v>
      </c>
      <c r="W281" s="34">
        <v>0</v>
      </c>
      <c r="X281" s="89">
        <v>105541</v>
      </c>
      <c r="Y281" s="65">
        <v>690683</v>
      </c>
      <c r="Z281" s="160">
        <v>553046</v>
      </c>
    </row>
    <row r="282" spans="1:26" s="5" customFormat="1" ht="12.75" customHeight="1" x14ac:dyDescent="0.25">
      <c r="A282" s="24" t="s">
        <v>418</v>
      </c>
      <c r="B282" s="25"/>
      <c r="C282" s="27">
        <v>73501</v>
      </c>
      <c r="D282" s="27"/>
      <c r="E282" s="27">
        <v>3683</v>
      </c>
      <c r="F282" s="21">
        <v>0</v>
      </c>
      <c r="G282" s="89">
        <v>77184</v>
      </c>
      <c r="H282" s="65">
        <v>0</v>
      </c>
      <c r="I282" s="34">
        <v>79180</v>
      </c>
      <c r="J282" s="27">
        <v>11394</v>
      </c>
      <c r="K282" s="27">
        <v>416880</v>
      </c>
      <c r="L282" s="27">
        <v>0</v>
      </c>
      <c r="M282" s="27">
        <v>0</v>
      </c>
      <c r="N282" s="68">
        <v>507454</v>
      </c>
      <c r="O282" s="63">
        <v>0</v>
      </c>
      <c r="P282" s="160">
        <v>0</v>
      </c>
      <c r="Q282" s="21">
        <v>0</v>
      </c>
      <c r="R282" s="89">
        <v>0</v>
      </c>
      <c r="S282" s="65">
        <v>584638</v>
      </c>
      <c r="T282" s="34">
        <v>45009</v>
      </c>
      <c r="U282" s="34">
        <v>59410</v>
      </c>
      <c r="V282" s="34">
        <v>1400</v>
      </c>
      <c r="W282" s="34">
        <v>0</v>
      </c>
      <c r="X282" s="89">
        <v>105819</v>
      </c>
      <c r="Y282" s="65">
        <v>690457</v>
      </c>
      <c r="Z282" s="160">
        <v>552463</v>
      </c>
    </row>
    <row r="283" spans="1:26" s="5" customFormat="1" ht="12.75" customHeight="1" x14ac:dyDescent="0.25">
      <c r="A283" s="24" t="s">
        <v>419</v>
      </c>
      <c r="B283" s="25"/>
      <c r="C283" s="27">
        <v>73748</v>
      </c>
      <c r="D283" s="27"/>
      <c r="E283" s="27">
        <v>3585</v>
      </c>
      <c r="F283" s="21">
        <v>0</v>
      </c>
      <c r="G283" s="89">
        <v>77333</v>
      </c>
      <c r="H283" s="65">
        <v>0</v>
      </c>
      <c r="I283" s="34">
        <v>79756</v>
      </c>
      <c r="J283" s="27">
        <v>11302</v>
      </c>
      <c r="K283" s="27">
        <v>422871</v>
      </c>
      <c r="L283" s="27">
        <v>0</v>
      </c>
      <c r="M283" s="27">
        <v>0</v>
      </c>
      <c r="N283" s="68">
        <v>513929</v>
      </c>
      <c r="O283" s="63">
        <v>0</v>
      </c>
      <c r="P283" s="160">
        <v>0</v>
      </c>
      <c r="Q283" s="21">
        <v>0</v>
      </c>
      <c r="R283" s="89">
        <v>0</v>
      </c>
      <c r="S283" s="65">
        <v>591262</v>
      </c>
      <c r="T283" s="34">
        <v>45819</v>
      </c>
      <c r="U283" s="34">
        <v>59547</v>
      </c>
      <c r="V283" s="34">
        <v>1364</v>
      </c>
      <c r="W283" s="34">
        <v>0</v>
      </c>
      <c r="X283" s="89">
        <v>106730</v>
      </c>
      <c r="Y283" s="65">
        <v>697992</v>
      </c>
      <c r="Z283" s="160">
        <v>559748</v>
      </c>
    </row>
    <row r="284" spans="1:26" s="5" customFormat="1" ht="12.75" customHeight="1" x14ac:dyDescent="0.25">
      <c r="A284" s="163" t="s">
        <v>420</v>
      </c>
      <c r="B284" s="25"/>
      <c r="C284" s="27">
        <v>74185</v>
      </c>
      <c r="D284" s="27"/>
      <c r="E284" s="27">
        <v>3694</v>
      </c>
      <c r="F284" s="21">
        <v>0</v>
      </c>
      <c r="G284" s="89">
        <v>77879</v>
      </c>
      <c r="H284" s="65">
        <v>0</v>
      </c>
      <c r="I284" s="34">
        <v>80351</v>
      </c>
      <c r="J284" s="27">
        <v>11152</v>
      </c>
      <c r="K284" s="27">
        <v>424705</v>
      </c>
      <c r="L284" s="27">
        <v>0</v>
      </c>
      <c r="M284" s="27">
        <v>0</v>
      </c>
      <c r="N284" s="68">
        <v>516208</v>
      </c>
      <c r="O284" s="63">
        <v>0</v>
      </c>
      <c r="P284" s="160">
        <v>0</v>
      </c>
      <c r="Q284" s="21">
        <v>0</v>
      </c>
      <c r="R284" s="89">
        <v>0</v>
      </c>
      <c r="S284" s="65">
        <v>594087</v>
      </c>
      <c r="T284" s="34">
        <v>46448</v>
      </c>
      <c r="U284" s="34">
        <v>59506</v>
      </c>
      <c r="V284" s="34">
        <v>1317</v>
      </c>
      <c r="W284" s="34">
        <v>0</v>
      </c>
      <c r="X284" s="89">
        <v>107271</v>
      </c>
      <c r="Y284" s="65">
        <v>701358</v>
      </c>
      <c r="Z284" s="160">
        <v>562656</v>
      </c>
    </row>
    <row r="285" spans="1:26" s="5" customFormat="1" ht="12.75" customHeight="1" x14ac:dyDescent="0.25">
      <c r="A285" s="24" t="s">
        <v>421</v>
      </c>
      <c r="B285" s="25"/>
      <c r="C285" s="27">
        <v>74475</v>
      </c>
      <c r="D285" s="27"/>
      <c r="E285" s="27">
        <v>3767</v>
      </c>
      <c r="F285" s="21">
        <v>0</v>
      </c>
      <c r="G285" s="89">
        <v>78242</v>
      </c>
      <c r="H285" s="65">
        <v>0</v>
      </c>
      <c r="I285" s="34">
        <v>79502</v>
      </c>
      <c r="J285" s="27">
        <v>10717</v>
      </c>
      <c r="K285" s="27">
        <v>422386</v>
      </c>
      <c r="L285" s="27">
        <v>0</v>
      </c>
      <c r="M285" s="27">
        <v>0</v>
      </c>
      <c r="N285" s="68">
        <v>512605</v>
      </c>
      <c r="O285" s="63">
        <v>0</v>
      </c>
      <c r="P285" s="160">
        <v>0</v>
      </c>
      <c r="Q285" s="21">
        <v>0</v>
      </c>
      <c r="R285" s="89">
        <v>0</v>
      </c>
      <c r="S285" s="65">
        <v>590847</v>
      </c>
      <c r="T285" s="34">
        <v>46777</v>
      </c>
      <c r="U285" s="34">
        <v>61170</v>
      </c>
      <c r="V285" s="34">
        <v>1264</v>
      </c>
      <c r="W285" s="34">
        <v>0</v>
      </c>
      <c r="X285" s="89">
        <v>109211</v>
      </c>
      <c r="Y285" s="65">
        <v>700058</v>
      </c>
      <c r="Z285" s="160">
        <v>559382</v>
      </c>
    </row>
    <row r="286" spans="1:26" s="5" customFormat="1" ht="12.75" customHeight="1" x14ac:dyDescent="0.25">
      <c r="A286" s="24" t="s">
        <v>422</v>
      </c>
      <c r="B286" s="25"/>
      <c r="C286" s="27">
        <v>74228</v>
      </c>
      <c r="D286" s="27"/>
      <c r="E286" s="27">
        <v>3829</v>
      </c>
      <c r="F286" s="21">
        <v>0</v>
      </c>
      <c r="G286" s="89">
        <v>78057</v>
      </c>
      <c r="H286" s="65">
        <v>0</v>
      </c>
      <c r="I286" s="34">
        <v>79053</v>
      </c>
      <c r="J286" s="27">
        <v>10527</v>
      </c>
      <c r="K286" s="27">
        <v>421469</v>
      </c>
      <c r="L286" s="27">
        <v>0</v>
      </c>
      <c r="M286" s="27">
        <v>0</v>
      </c>
      <c r="N286" s="68">
        <v>511049</v>
      </c>
      <c r="O286" s="63">
        <v>0</v>
      </c>
      <c r="P286" s="160">
        <v>0</v>
      </c>
      <c r="Q286" s="21">
        <v>0</v>
      </c>
      <c r="R286" s="89">
        <v>0</v>
      </c>
      <c r="S286" s="65">
        <v>589106</v>
      </c>
      <c r="T286" s="34">
        <v>46819</v>
      </c>
      <c r="U286" s="34">
        <v>61247</v>
      </c>
      <c r="V286" s="34">
        <v>1175</v>
      </c>
      <c r="W286" s="34">
        <v>0</v>
      </c>
      <c r="X286" s="89">
        <v>109241</v>
      </c>
      <c r="Y286" s="65">
        <v>698347</v>
      </c>
      <c r="Z286" s="160">
        <v>557868</v>
      </c>
    </row>
    <row r="287" spans="1:26" s="5" customFormat="1" ht="12.75" customHeight="1" x14ac:dyDescent="0.25">
      <c r="A287" s="24" t="s">
        <v>423</v>
      </c>
      <c r="B287" s="25"/>
      <c r="C287" s="27">
        <v>74148</v>
      </c>
      <c r="D287" s="27"/>
      <c r="E287" s="27">
        <v>3869</v>
      </c>
      <c r="F287" s="21">
        <v>0</v>
      </c>
      <c r="G287" s="89">
        <v>78017</v>
      </c>
      <c r="H287" s="65">
        <v>0</v>
      </c>
      <c r="I287" s="34">
        <v>79025</v>
      </c>
      <c r="J287" s="27">
        <v>10360</v>
      </c>
      <c r="K287" s="27">
        <v>422084</v>
      </c>
      <c r="L287" s="27">
        <v>0</v>
      </c>
      <c r="M287" s="27">
        <v>0</v>
      </c>
      <c r="N287" s="68">
        <v>511469</v>
      </c>
      <c r="O287" s="63">
        <v>0</v>
      </c>
      <c r="P287" s="160">
        <v>0</v>
      </c>
      <c r="Q287" s="21">
        <v>0</v>
      </c>
      <c r="R287" s="89">
        <v>0</v>
      </c>
      <c r="S287" s="65">
        <v>589486</v>
      </c>
      <c r="T287" s="34">
        <v>46675</v>
      </c>
      <c r="U287" s="34">
        <v>58910</v>
      </c>
      <c r="V287" s="34">
        <v>978</v>
      </c>
      <c r="W287" s="34">
        <v>0</v>
      </c>
      <c r="X287" s="89">
        <v>106563</v>
      </c>
      <c r="Y287" s="65">
        <v>696049</v>
      </c>
      <c r="Z287" s="160">
        <v>558144</v>
      </c>
    </row>
    <row r="288" spans="1:26" s="5" customFormat="1" ht="12.75" customHeight="1" x14ac:dyDescent="0.25">
      <c r="A288" s="24" t="s">
        <v>424</v>
      </c>
      <c r="B288" s="25"/>
      <c r="C288" s="27">
        <v>73491</v>
      </c>
      <c r="D288" s="27"/>
      <c r="E288" s="27">
        <v>3919</v>
      </c>
      <c r="F288" s="21">
        <v>0</v>
      </c>
      <c r="G288" s="89">
        <v>77410</v>
      </c>
      <c r="H288" s="65">
        <v>0</v>
      </c>
      <c r="I288" s="34">
        <v>78779</v>
      </c>
      <c r="J288" s="27">
        <v>10485</v>
      </c>
      <c r="K288" s="27">
        <v>419897</v>
      </c>
      <c r="L288" s="27">
        <v>0</v>
      </c>
      <c r="M288" s="27">
        <v>0</v>
      </c>
      <c r="N288" s="68">
        <v>509161</v>
      </c>
      <c r="O288" s="63">
        <v>0</v>
      </c>
      <c r="P288" s="160">
        <v>0</v>
      </c>
      <c r="Q288" s="21">
        <v>0</v>
      </c>
      <c r="R288" s="89">
        <v>0</v>
      </c>
      <c r="S288" s="65">
        <v>586571</v>
      </c>
      <c r="T288" s="34">
        <v>46364</v>
      </c>
      <c r="U288" s="34">
        <v>57749</v>
      </c>
      <c r="V288" s="34">
        <v>781</v>
      </c>
      <c r="W288" s="34">
        <v>0</v>
      </c>
      <c r="X288" s="89">
        <v>104894</v>
      </c>
      <c r="Y288" s="65">
        <v>691465</v>
      </c>
      <c r="Z288" s="160">
        <v>555525</v>
      </c>
    </row>
    <row r="289" spans="1:26" s="5" customFormat="1" ht="12.75" customHeight="1" x14ac:dyDescent="0.25">
      <c r="A289" s="24" t="s">
        <v>425</v>
      </c>
      <c r="B289" s="25"/>
      <c r="C289" s="27">
        <v>73322</v>
      </c>
      <c r="D289" s="27"/>
      <c r="E289" s="27">
        <v>4008</v>
      </c>
      <c r="F289" s="21">
        <v>0</v>
      </c>
      <c r="G289" s="89">
        <v>77330</v>
      </c>
      <c r="H289" s="65">
        <v>0</v>
      </c>
      <c r="I289" s="34">
        <v>79298</v>
      </c>
      <c r="J289" s="27">
        <v>10866</v>
      </c>
      <c r="K289" s="27">
        <v>424396</v>
      </c>
      <c r="L289" s="27">
        <v>0</v>
      </c>
      <c r="M289" s="27">
        <v>0</v>
      </c>
      <c r="N289" s="68">
        <v>514560</v>
      </c>
      <c r="O289" s="63">
        <v>0</v>
      </c>
      <c r="P289" s="160">
        <v>0</v>
      </c>
      <c r="Q289" s="21">
        <v>0</v>
      </c>
      <c r="R289" s="89">
        <v>0</v>
      </c>
      <c r="S289" s="65">
        <v>591890</v>
      </c>
      <c r="T289" s="34">
        <v>46263</v>
      </c>
      <c r="U289" s="34">
        <v>60512</v>
      </c>
      <c r="V289" s="34">
        <v>613</v>
      </c>
      <c r="W289" s="34">
        <v>0</v>
      </c>
      <c r="X289" s="89">
        <v>107388</v>
      </c>
      <c r="Y289" s="65">
        <v>699278</v>
      </c>
      <c r="Z289" s="160">
        <v>560823</v>
      </c>
    </row>
    <row r="290" spans="1:26" s="5" customFormat="1" ht="12.75" customHeight="1" x14ac:dyDescent="0.25">
      <c r="A290" s="24" t="s">
        <v>426</v>
      </c>
      <c r="B290" s="25"/>
      <c r="C290" s="27">
        <v>73087</v>
      </c>
      <c r="D290" s="27"/>
      <c r="E290" s="27">
        <v>4502</v>
      </c>
      <c r="F290" s="21">
        <v>0</v>
      </c>
      <c r="G290" s="89">
        <v>77589</v>
      </c>
      <c r="H290" s="65">
        <v>0</v>
      </c>
      <c r="I290" s="34">
        <v>80463</v>
      </c>
      <c r="J290" s="27">
        <v>11527</v>
      </c>
      <c r="K290" s="27">
        <v>428766</v>
      </c>
      <c r="L290" s="27">
        <v>0</v>
      </c>
      <c r="M290" s="27">
        <v>0</v>
      </c>
      <c r="N290" s="68">
        <v>520756</v>
      </c>
      <c r="O290" s="63">
        <v>0</v>
      </c>
      <c r="P290" s="160">
        <v>0</v>
      </c>
      <c r="Q290" s="21">
        <v>0</v>
      </c>
      <c r="R290" s="89">
        <v>0</v>
      </c>
      <c r="S290" s="65">
        <v>598345</v>
      </c>
      <c r="T290" s="34">
        <v>46672</v>
      </c>
      <c r="U290" s="34">
        <v>61590</v>
      </c>
      <c r="V290" s="34">
        <v>433</v>
      </c>
      <c r="W290" s="34">
        <v>0</v>
      </c>
      <c r="X290" s="89">
        <v>108695</v>
      </c>
      <c r="Y290" s="65">
        <v>707040</v>
      </c>
      <c r="Z290" s="160">
        <v>567428</v>
      </c>
    </row>
    <row r="291" spans="1:26" s="5" customFormat="1" ht="12.75" customHeight="1" x14ac:dyDescent="0.25">
      <c r="A291" s="24"/>
      <c r="B291" s="25"/>
      <c r="C291" s="27"/>
      <c r="D291" s="27"/>
      <c r="E291" s="27"/>
      <c r="F291" s="21"/>
      <c r="G291" s="89"/>
      <c r="H291" s="65"/>
      <c r="I291" s="34"/>
      <c r="J291" s="27"/>
      <c r="K291" s="27"/>
      <c r="L291" s="27"/>
      <c r="M291" s="27">
        <v>0</v>
      </c>
      <c r="N291" s="68"/>
      <c r="O291" s="63">
        <v>0</v>
      </c>
      <c r="P291" s="160">
        <v>0</v>
      </c>
      <c r="Q291" s="21">
        <v>0</v>
      </c>
      <c r="R291" s="89">
        <v>0</v>
      </c>
      <c r="S291" s="65"/>
      <c r="T291" s="34"/>
      <c r="U291" s="34"/>
      <c r="V291" s="34"/>
      <c r="W291" s="34">
        <v>0</v>
      </c>
      <c r="X291" s="89"/>
      <c r="Y291" s="65"/>
      <c r="Z291" s="160"/>
    </row>
    <row r="292" spans="1:26" s="5" customFormat="1" ht="12.75" customHeight="1" x14ac:dyDescent="0.25">
      <c r="A292" s="24" t="s">
        <v>427</v>
      </c>
      <c r="B292" s="25"/>
      <c r="C292" s="27">
        <v>72769</v>
      </c>
      <c r="D292" s="27"/>
      <c r="E292" s="27">
        <v>4569</v>
      </c>
      <c r="F292" s="21">
        <v>0</v>
      </c>
      <c r="G292" s="89">
        <v>77338</v>
      </c>
      <c r="H292" s="65">
        <v>0</v>
      </c>
      <c r="I292" s="34">
        <v>80825</v>
      </c>
      <c r="J292" s="27">
        <v>11747</v>
      </c>
      <c r="K292" s="27">
        <v>428269</v>
      </c>
      <c r="L292" s="27">
        <v>0</v>
      </c>
      <c r="M292" s="27">
        <v>0</v>
      </c>
      <c r="N292" s="68">
        <v>520841</v>
      </c>
      <c r="O292" s="63">
        <v>0</v>
      </c>
      <c r="P292" s="160">
        <v>0</v>
      </c>
      <c r="Q292" s="21">
        <v>0</v>
      </c>
      <c r="R292" s="89">
        <v>0</v>
      </c>
      <c r="S292" s="65">
        <v>598179</v>
      </c>
      <c r="T292" s="34">
        <v>46541</v>
      </c>
      <c r="U292" s="34">
        <v>61800</v>
      </c>
      <c r="V292" s="34">
        <v>271</v>
      </c>
      <c r="W292" s="34">
        <v>0</v>
      </c>
      <c r="X292" s="89">
        <v>108612</v>
      </c>
      <c r="Y292" s="65">
        <v>706791</v>
      </c>
      <c r="Z292" s="160">
        <v>567382</v>
      </c>
    </row>
    <row r="293" spans="1:26" s="5" customFormat="1" ht="12.75" customHeight="1" x14ac:dyDescent="0.25">
      <c r="A293" s="24" t="s">
        <v>428</v>
      </c>
      <c r="B293" s="25"/>
      <c r="C293" s="27">
        <v>72869</v>
      </c>
      <c r="D293" s="27"/>
      <c r="E293" s="27">
        <v>4619</v>
      </c>
      <c r="F293" s="21">
        <v>0</v>
      </c>
      <c r="G293" s="89">
        <v>77488</v>
      </c>
      <c r="H293" s="65">
        <v>0</v>
      </c>
      <c r="I293" s="34">
        <v>81154</v>
      </c>
      <c r="J293" s="27">
        <v>12057</v>
      </c>
      <c r="K293" s="27">
        <v>427519</v>
      </c>
      <c r="L293" s="27">
        <v>0</v>
      </c>
      <c r="M293" s="27">
        <v>0</v>
      </c>
      <c r="N293" s="68">
        <v>520730</v>
      </c>
      <c r="O293" s="63">
        <v>0</v>
      </c>
      <c r="P293" s="160">
        <v>0</v>
      </c>
      <c r="Q293" s="21">
        <v>0</v>
      </c>
      <c r="R293" s="89">
        <v>0</v>
      </c>
      <c r="S293" s="65">
        <v>598218</v>
      </c>
      <c r="T293" s="34">
        <v>46045</v>
      </c>
      <c r="U293" s="34">
        <v>61694</v>
      </c>
      <c r="V293" s="34">
        <v>156</v>
      </c>
      <c r="W293" s="34">
        <v>0</v>
      </c>
      <c r="X293" s="89">
        <v>107895</v>
      </c>
      <c r="Y293" s="65">
        <v>706113</v>
      </c>
      <c r="Z293" s="160">
        <v>566775</v>
      </c>
    </row>
    <row r="294" spans="1:26" s="5" customFormat="1" ht="12.75" customHeight="1" x14ac:dyDescent="0.25">
      <c r="A294" s="24" t="s">
        <v>429</v>
      </c>
      <c r="B294" s="25"/>
      <c r="C294" s="27">
        <v>74273</v>
      </c>
      <c r="D294" s="27"/>
      <c r="E294" s="27">
        <v>4680</v>
      </c>
      <c r="F294" s="21">
        <v>0</v>
      </c>
      <c r="G294" s="89">
        <v>78953</v>
      </c>
      <c r="H294" s="65">
        <v>0</v>
      </c>
      <c r="I294" s="34">
        <v>85030</v>
      </c>
      <c r="J294" s="27">
        <v>14301</v>
      </c>
      <c r="K294" s="27">
        <v>435340</v>
      </c>
      <c r="L294" s="27">
        <v>0</v>
      </c>
      <c r="M294" s="27">
        <v>0</v>
      </c>
      <c r="N294" s="68">
        <v>534671</v>
      </c>
      <c r="O294" s="63">
        <v>0</v>
      </c>
      <c r="P294" s="160">
        <v>0</v>
      </c>
      <c r="Q294" s="21">
        <v>0</v>
      </c>
      <c r="R294" s="89">
        <v>0</v>
      </c>
      <c r="S294" s="65">
        <v>613624</v>
      </c>
      <c r="T294" s="34">
        <v>45761</v>
      </c>
      <c r="U294" s="34">
        <v>61289</v>
      </c>
      <c r="V294" s="34">
        <v>77</v>
      </c>
      <c r="W294" s="34">
        <v>0</v>
      </c>
      <c r="X294" s="89">
        <v>107127</v>
      </c>
      <c r="Y294" s="65">
        <v>720751</v>
      </c>
      <c r="Z294" s="160">
        <v>580432</v>
      </c>
    </row>
    <row r="295" spans="1:26" s="5" customFormat="1" ht="12.75" customHeight="1" x14ac:dyDescent="0.25">
      <c r="A295" s="24" t="s">
        <v>430</v>
      </c>
      <c r="B295" s="25"/>
      <c r="C295" s="27">
        <v>74525</v>
      </c>
      <c r="D295" s="27"/>
      <c r="E295" s="27">
        <v>4818</v>
      </c>
      <c r="F295" s="21">
        <v>0</v>
      </c>
      <c r="G295" s="89">
        <v>79343</v>
      </c>
      <c r="H295" s="65">
        <v>0</v>
      </c>
      <c r="I295" s="34">
        <v>86230</v>
      </c>
      <c r="J295" s="27">
        <v>14180</v>
      </c>
      <c r="K295" s="27">
        <v>439202</v>
      </c>
      <c r="L295" s="27">
        <v>0</v>
      </c>
      <c r="M295" s="27">
        <v>0</v>
      </c>
      <c r="N295" s="68">
        <v>539612</v>
      </c>
      <c r="O295" s="63">
        <v>0</v>
      </c>
      <c r="P295" s="160">
        <v>0</v>
      </c>
      <c r="Q295" s="21">
        <v>0</v>
      </c>
      <c r="R295" s="89">
        <v>0</v>
      </c>
      <c r="S295" s="65">
        <v>618955</v>
      </c>
      <c r="T295" s="34">
        <v>45648</v>
      </c>
      <c r="U295" s="34">
        <v>60882</v>
      </c>
      <c r="V295" s="34">
        <v>22</v>
      </c>
      <c r="W295" s="34">
        <v>0</v>
      </c>
      <c r="X295" s="89">
        <v>106552</v>
      </c>
      <c r="Y295" s="65">
        <v>725507</v>
      </c>
      <c r="Z295" s="160">
        <v>585260</v>
      </c>
    </row>
    <row r="296" spans="1:26" s="5" customFormat="1" ht="12.75" customHeight="1" x14ac:dyDescent="0.25">
      <c r="A296" s="24" t="s">
        <v>431</v>
      </c>
      <c r="B296" s="25"/>
      <c r="C296" s="27">
        <v>74517</v>
      </c>
      <c r="D296" s="27"/>
      <c r="E296" s="27">
        <v>4887</v>
      </c>
      <c r="F296" s="21">
        <v>0</v>
      </c>
      <c r="G296" s="89">
        <v>79404</v>
      </c>
      <c r="H296" s="65">
        <v>0</v>
      </c>
      <c r="I296" s="34">
        <v>87147</v>
      </c>
      <c r="J296" s="27">
        <v>13950</v>
      </c>
      <c r="K296" s="27">
        <v>442955</v>
      </c>
      <c r="L296" s="27">
        <v>0</v>
      </c>
      <c r="M296" s="27">
        <v>0</v>
      </c>
      <c r="N296" s="68">
        <v>544052</v>
      </c>
      <c r="O296" s="63">
        <v>0</v>
      </c>
      <c r="P296" s="160">
        <v>0</v>
      </c>
      <c r="Q296" s="21">
        <v>0</v>
      </c>
      <c r="R296" s="89">
        <v>0</v>
      </c>
      <c r="S296" s="65">
        <v>623456</v>
      </c>
      <c r="T296" s="34">
        <v>45058</v>
      </c>
      <c r="U296" s="34">
        <v>60263</v>
      </c>
      <c r="V296" s="34">
        <v>7</v>
      </c>
      <c r="W296" s="34">
        <v>0</v>
      </c>
      <c r="X296" s="89">
        <v>105328</v>
      </c>
      <c r="Y296" s="65">
        <v>728784</v>
      </c>
      <c r="Z296" s="160">
        <v>589110</v>
      </c>
    </row>
    <row r="297" spans="1:26" s="5" customFormat="1" ht="12.75" customHeight="1" x14ac:dyDescent="0.25">
      <c r="A297" s="24" t="s">
        <v>432</v>
      </c>
      <c r="B297" s="25"/>
      <c r="C297" s="27">
        <v>74692</v>
      </c>
      <c r="D297" s="27"/>
      <c r="E297" s="27">
        <v>7629</v>
      </c>
      <c r="F297" s="21">
        <v>0</v>
      </c>
      <c r="G297" s="89">
        <v>82321</v>
      </c>
      <c r="H297" s="65">
        <v>0</v>
      </c>
      <c r="I297" s="34">
        <v>88272</v>
      </c>
      <c r="J297" s="27">
        <v>13826</v>
      </c>
      <c r="K297" s="27">
        <v>445104</v>
      </c>
      <c r="L297" s="27">
        <v>0</v>
      </c>
      <c r="M297" s="27">
        <v>0</v>
      </c>
      <c r="N297" s="68">
        <v>547202</v>
      </c>
      <c r="O297" s="63">
        <v>0</v>
      </c>
      <c r="P297" s="160">
        <v>0</v>
      </c>
      <c r="Q297" s="21">
        <v>0</v>
      </c>
      <c r="R297" s="89">
        <v>0</v>
      </c>
      <c r="S297" s="65">
        <v>629523</v>
      </c>
      <c r="T297" s="34">
        <v>44497</v>
      </c>
      <c r="U297" s="34">
        <v>59743</v>
      </c>
      <c r="V297" s="34">
        <v>3</v>
      </c>
      <c r="W297" s="34">
        <v>0</v>
      </c>
      <c r="X297" s="89">
        <v>104243</v>
      </c>
      <c r="Y297" s="65">
        <v>733766</v>
      </c>
      <c r="Z297" s="160">
        <v>591699</v>
      </c>
    </row>
    <row r="298" spans="1:26" s="5" customFormat="1" ht="12.75" customHeight="1" x14ac:dyDescent="0.25">
      <c r="A298" s="24" t="s">
        <v>433</v>
      </c>
      <c r="B298" s="25"/>
      <c r="C298" s="27">
        <v>74678</v>
      </c>
      <c r="D298" s="27"/>
      <c r="E298" s="27">
        <v>7682</v>
      </c>
      <c r="F298" s="21">
        <v>0</v>
      </c>
      <c r="G298" s="89">
        <v>82360</v>
      </c>
      <c r="H298" s="65">
        <v>0</v>
      </c>
      <c r="I298" s="34">
        <v>88403</v>
      </c>
      <c r="J298" s="27">
        <v>13710</v>
      </c>
      <c r="K298" s="27">
        <v>444623</v>
      </c>
      <c r="L298" s="27">
        <v>0</v>
      </c>
      <c r="M298" s="27">
        <v>0</v>
      </c>
      <c r="N298" s="68">
        <v>546736</v>
      </c>
      <c r="O298" s="63">
        <v>0</v>
      </c>
      <c r="P298" s="160">
        <v>0</v>
      </c>
      <c r="Q298" s="21">
        <v>0</v>
      </c>
      <c r="R298" s="89">
        <v>0</v>
      </c>
      <c r="S298" s="65">
        <v>629096</v>
      </c>
      <c r="T298" s="34">
        <v>43841</v>
      </c>
      <c r="U298" s="34">
        <v>59410</v>
      </c>
      <c r="V298" s="34">
        <v>113</v>
      </c>
      <c r="W298" s="34">
        <v>0</v>
      </c>
      <c r="X298" s="89">
        <v>103364</v>
      </c>
      <c r="Y298" s="65">
        <v>732460</v>
      </c>
      <c r="Z298" s="160">
        <v>590577</v>
      </c>
    </row>
    <row r="299" spans="1:26" s="5" customFormat="1" ht="12.75" customHeight="1" x14ac:dyDescent="0.25">
      <c r="A299" s="24" t="s">
        <v>434</v>
      </c>
      <c r="B299" s="25"/>
      <c r="C299" s="27">
        <v>74708</v>
      </c>
      <c r="D299" s="27"/>
      <c r="E299" s="27">
        <v>7703</v>
      </c>
      <c r="F299" s="21">
        <v>0</v>
      </c>
      <c r="G299" s="89">
        <v>82411</v>
      </c>
      <c r="H299" s="65">
        <v>0</v>
      </c>
      <c r="I299" s="34">
        <v>88612</v>
      </c>
      <c r="J299" s="27">
        <v>13660</v>
      </c>
      <c r="K299" s="27">
        <v>446159</v>
      </c>
      <c r="L299" s="27">
        <v>0</v>
      </c>
      <c r="M299" s="27">
        <v>0</v>
      </c>
      <c r="N299" s="68">
        <v>548431</v>
      </c>
      <c r="O299" s="63">
        <v>0</v>
      </c>
      <c r="P299" s="160">
        <v>0</v>
      </c>
      <c r="Q299" s="21">
        <v>0</v>
      </c>
      <c r="R299" s="89">
        <v>0</v>
      </c>
      <c r="S299" s="65">
        <v>630842</v>
      </c>
      <c r="T299" s="34">
        <v>43819</v>
      </c>
      <c r="U299" s="34">
        <v>59046</v>
      </c>
      <c r="V299" s="34">
        <v>223</v>
      </c>
      <c r="W299" s="34">
        <v>0</v>
      </c>
      <c r="X299" s="89">
        <v>103088</v>
      </c>
      <c r="Y299" s="65">
        <v>733930</v>
      </c>
      <c r="Z299" s="160">
        <v>592250</v>
      </c>
    </row>
    <row r="300" spans="1:26" s="5" customFormat="1" ht="12.75" customHeight="1" x14ac:dyDescent="0.25">
      <c r="A300" s="24" t="s">
        <v>435</v>
      </c>
      <c r="B300" s="25"/>
      <c r="C300" s="27">
        <v>75041</v>
      </c>
      <c r="D300" s="27"/>
      <c r="E300" s="27">
        <v>7833</v>
      </c>
      <c r="F300" s="21">
        <v>0</v>
      </c>
      <c r="G300" s="89">
        <v>82874</v>
      </c>
      <c r="H300" s="65">
        <v>0</v>
      </c>
      <c r="I300" s="34">
        <v>89893</v>
      </c>
      <c r="J300" s="27">
        <v>13903</v>
      </c>
      <c r="K300" s="27">
        <v>450610</v>
      </c>
      <c r="L300" s="27">
        <v>0</v>
      </c>
      <c r="M300" s="27">
        <v>0</v>
      </c>
      <c r="N300" s="68">
        <v>554406</v>
      </c>
      <c r="O300" s="63">
        <v>0</v>
      </c>
      <c r="P300" s="160">
        <v>0</v>
      </c>
      <c r="Q300" s="21">
        <v>0</v>
      </c>
      <c r="R300" s="89">
        <v>0</v>
      </c>
      <c r="S300" s="65">
        <v>637280</v>
      </c>
      <c r="T300" s="34">
        <v>44176</v>
      </c>
      <c r="U300" s="34">
        <v>58239</v>
      </c>
      <c r="V300" s="34">
        <v>368</v>
      </c>
      <c r="W300" s="34">
        <v>0</v>
      </c>
      <c r="X300" s="89">
        <v>102783</v>
      </c>
      <c r="Y300" s="65">
        <v>740063</v>
      </c>
      <c r="Z300" s="160">
        <v>598582</v>
      </c>
    </row>
    <row r="301" spans="1:26" s="5" customFormat="1" ht="12.75" customHeight="1" x14ac:dyDescent="0.25">
      <c r="A301" s="24" t="s">
        <v>436</v>
      </c>
      <c r="B301" s="25"/>
      <c r="C301" s="27">
        <v>75102</v>
      </c>
      <c r="D301" s="27"/>
      <c r="E301" s="27">
        <v>7907</v>
      </c>
      <c r="F301" s="21">
        <v>0</v>
      </c>
      <c r="G301" s="89">
        <v>83009</v>
      </c>
      <c r="H301" s="65">
        <v>0</v>
      </c>
      <c r="I301" s="34">
        <v>91379</v>
      </c>
      <c r="J301" s="27">
        <v>13923</v>
      </c>
      <c r="K301" s="27">
        <v>454778</v>
      </c>
      <c r="L301" s="27">
        <v>0</v>
      </c>
      <c r="M301" s="27">
        <v>0</v>
      </c>
      <c r="N301" s="68">
        <v>560080</v>
      </c>
      <c r="O301" s="63">
        <v>0</v>
      </c>
      <c r="P301" s="160">
        <v>0</v>
      </c>
      <c r="Q301" s="21">
        <v>0</v>
      </c>
      <c r="R301" s="89">
        <v>0</v>
      </c>
      <c r="S301" s="65">
        <v>643089</v>
      </c>
      <c r="T301" s="34">
        <v>44608</v>
      </c>
      <c r="U301" s="34">
        <v>56976</v>
      </c>
      <c r="V301" s="34">
        <v>515</v>
      </c>
      <c r="W301" s="34">
        <v>0</v>
      </c>
      <c r="X301" s="89">
        <v>102099</v>
      </c>
      <c r="Y301" s="65">
        <v>745188</v>
      </c>
      <c r="Z301" s="160">
        <v>604688</v>
      </c>
    </row>
    <row r="302" spans="1:26" s="5" customFormat="1" ht="12.75" customHeight="1" x14ac:dyDescent="0.25">
      <c r="A302" s="24" t="s">
        <v>437</v>
      </c>
      <c r="B302" s="25"/>
      <c r="C302" s="27">
        <v>75120</v>
      </c>
      <c r="D302" s="27"/>
      <c r="E302" s="27">
        <v>8010</v>
      </c>
      <c r="F302" s="21">
        <v>0</v>
      </c>
      <c r="G302" s="89">
        <v>83130</v>
      </c>
      <c r="H302" s="65">
        <v>0</v>
      </c>
      <c r="I302" s="34">
        <v>91993</v>
      </c>
      <c r="J302" s="27">
        <v>14277</v>
      </c>
      <c r="K302" s="27">
        <v>458287</v>
      </c>
      <c r="L302" s="27">
        <v>0</v>
      </c>
      <c r="M302" s="27">
        <v>0</v>
      </c>
      <c r="N302" s="68">
        <v>564557</v>
      </c>
      <c r="O302" s="63">
        <v>0</v>
      </c>
      <c r="P302" s="160">
        <v>0</v>
      </c>
      <c r="Q302" s="21">
        <v>0</v>
      </c>
      <c r="R302" s="89">
        <v>0</v>
      </c>
      <c r="S302" s="65">
        <v>647687</v>
      </c>
      <c r="T302" s="34">
        <v>45205</v>
      </c>
      <c r="U302" s="34">
        <v>54631</v>
      </c>
      <c r="V302" s="34">
        <v>638</v>
      </c>
      <c r="W302" s="34">
        <v>0</v>
      </c>
      <c r="X302" s="89">
        <v>100474</v>
      </c>
      <c r="Y302" s="65">
        <v>748161</v>
      </c>
      <c r="Z302" s="160">
        <v>609762</v>
      </c>
    </row>
    <row r="303" spans="1:26" s="5" customFormat="1" ht="12.75" customHeight="1" x14ac:dyDescent="0.25">
      <c r="A303" s="24" t="s">
        <v>438</v>
      </c>
      <c r="B303" s="25"/>
      <c r="C303" s="27">
        <v>75064</v>
      </c>
      <c r="D303" s="27"/>
      <c r="E303" s="27">
        <v>8117</v>
      </c>
      <c r="F303" s="21">
        <v>0</v>
      </c>
      <c r="G303" s="89">
        <v>83181</v>
      </c>
      <c r="H303" s="65">
        <v>0</v>
      </c>
      <c r="I303" s="34">
        <v>92645</v>
      </c>
      <c r="J303" s="27">
        <v>14219</v>
      </c>
      <c r="K303" s="27">
        <v>462324</v>
      </c>
      <c r="L303" s="27">
        <v>0</v>
      </c>
      <c r="M303" s="27">
        <v>0</v>
      </c>
      <c r="N303" s="68">
        <v>569188</v>
      </c>
      <c r="O303" s="63">
        <v>0</v>
      </c>
      <c r="P303" s="160">
        <v>0</v>
      </c>
      <c r="Q303" s="21">
        <v>0</v>
      </c>
      <c r="R303" s="89">
        <v>0</v>
      </c>
      <c r="S303" s="65">
        <v>652369</v>
      </c>
      <c r="T303" s="34">
        <v>46036</v>
      </c>
      <c r="U303" s="34">
        <v>54149</v>
      </c>
      <c r="V303" s="34">
        <v>713</v>
      </c>
      <c r="W303" s="34">
        <v>0</v>
      </c>
      <c r="X303" s="89">
        <v>100898</v>
      </c>
      <c r="Y303" s="65">
        <v>753267</v>
      </c>
      <c r="Z303" s="160">
        <v>615224</v>
      </c>
    </row>
    <row r="304" spans="1:26" s="5" customFormat="1" ht="12.75" customHeight="1" x14ac:dyDescent="0.25">
      <c r="A304" s="24"/>
      <c r="B304" s="25"/>
      <c r="C304" s="27"/>
      <c r="D304" s="27"/>
      <c r="E304" s="27"/>
      <c r="F304" s="21"/>
      <c r="G304" s="89"/>
      <c r="H304" s="65"/>
      <c r="I304" s="34"/>
      <c r="J304" s="27"/>
      <c r="K304" s="27"/>
      <c r="L304" s="27"/>
      <c r="M304" s="27">
        <v>0</v>
      </c>
      <c r="N304" s="68"/>
      <c r="O304" s="63">
        <v>0</v>
      </c>
      <c r="P304" s="160">
        <v>0</v>
      </c>
      <c r="Q304" s="21">
        <v>0</v>
      </c>
      <c r="R304" s="89">
        <v>0</v>
      </c>
      <c r="S304" s="65"/>
      <c r="T304" s="34"/>
      <c r="U304" s="34"/>
      <c r="V304" s="34"/>
      <c r="W304" s="34">
        <v>0</v>
      </c>
      <c r="X304" s="89"/>
      <c r="Y304" s="65"/>
      <c r="Z304" s="160"/>
    </row>
    <row r="305" spans="1:26" s="5" customFormat="1" ht="12.75" customHeight="1" x14ac:dyDescent="0.25">
      <c r="A305" s="24" t="s">
        <v>439</v>
      </c>
      <c r="B305" s="25"/>
      <c r="C305" s="27">
        <v>74905</v>
      </c>
      <c r="D305" s="27"/>
      <c r="E305" s="27">
        <v>8216</v>
      </c>
      <c r="F305" s="21">
        <v>0</v>
      </c>
      <c r="G305" s="89">
        <v>83121</v>
      </c>
      <c r="H305" s="65">
        <v>0</v>
      </c>
      <c r="I305" s="34">
        <v>92767</v>
      </c>
      <c r="J305" s="27">
        <v>14302</v>
      </c>
      <c r="K305" s="27">
        <v>461570</v>
      </c>
      <c r="L305" s="27">
        <v>0</v>
      </c>
      <c r="M305" s="27">
        <v>0</v>
      </c>
      <c r="N305" s="68">
        <v>568639</v>
      </c>
      <c r="O305" s="63">
        <v>0</v>
      </c>
      <c r="P305" s="160">
        <v>0</v>
      </c>
      <c r="Q305" s="21">
        <v>0</v>
      </c>
      <c r="R305" s="89">
        <v>0</v>
      </c>
      <c r="S305" s="65">
        <v>651760</v>
      </c>
      <c r="T305" s="34">
        <v>46386</v>
      </c>
      <c r="U305" s="34">
        <v>54490</v>
      </c>
      <c r="V305" s="34">
        <v>780</v>
      </c>
      <c r="W305" s="34">
        <v>0</v>
      </c>
      <c r="X305" s="89">
        <v>101656</v>
      </c>
      <c r="Y305" s="65">
        <v>753416</v>
      </c>
      <c r="Z305" s="160">
        <v>615025</v>
      </c>
    </row>
    <row r="306" spans="1:26" s="5" customFormat="1" ht="12.75" customHeight="1" x14ac:dyDescent="0.25">
      <c r="A306" s="24" t="s">
        <v>440</v>
      </c>
      <c r="B306" s="25"/>
      <c r="C306" s="27">
        <v>74346</v>
      </c>
      <c r="D306" s="27"/>
      <c r="E306" s="27">
        <v>8301</v>
      </c>
      <c r="F306" s="21">
        <v>0</v>
      </c>
      <c r="G306" s="89">
        <v>82647</v>
      </c>
      <c r="H306" s="65">
        <v>0</v>
      </c>
      <c r="I306" s="34">
        <v>91773</v>
      </c>
      <c r="J306" s="27">
        <v>14275</v>
      </c>
      <c r="K306" s="27">
        <v>457087</v>
      </c>
      <c r="L306" s="27">
        <v>0</v>
      </c>
      <c r="M306" s="27">
        <v>0</v>
      </c>
      <c r="N306" s="68">
        <v>563135</v>
      </c>
      <c r="O306" s="63">
        <v>0</v>
      </c>
      <c r="P306" s="160">
        <v>0</v>
      </c>
      <c r="Q306" s="21">
        <v>0</v>
      </c>
      <c r="R306" s="89">
        <v>0</v>
      </c>
      <c r="S306" s="65">
        <v>645782</v>
      </c>
      <c r="T306" s="34">
        <v>46285</v>
      </c>
      <c r="U306" s="34">
        <v>54649</v>
      </c>
      <c r="V306" s="34">
        <v>836</v>
      </c>
      <c r="W306" s="34">
        <v>0</v>
      </c>
      <c r="X306" s="89">
        <v>101770</v>
      </c>
      <c r="Y306" s="65">
        <v>747552</v>
      </c>
      <c r="Z306" s="160">
        <v>609420</v>
      </c>
    </row>
    <row r="307" spans="1:26" s="5" customFormat="1" ht="12.75" customHeight="1" x14ac:dyDescent="0.25">
      <c r="A307" s="24" t="s">
        <v>441</v>
      </c>
      <c r="B307" s="25"/>
      <c r="C307" s="27">
        <v>96713</v>
      </c>
      <c r="D307" s="27"/>
      <c r="E307" s="27">
        <v>10937</v>
      </c>
      <c r="F307" s="21">
        <v>0</v>
      </c>
      <c r="G307" s="89">
        <v>107650</v>
      </c>
      <c r="H307" s="65">
        <v>0</v>
      </c>
      <c r="I307" s="34">
        <v>92288</v>
      </c>
      <c r="J307" s="27">
        <v>14477</v>
      </c>
      <c r="K307" s="27">
        <v>457149</v>
      </c>
      <c r="L307" s="27">
        <v>0</v>
      </c>
      <c r="M307" s="27">
        <v>0</v>
      </c>
      <c r="N307" s="68">
        <v>563914</v>
      </c>
      <c r="O307" s="63">
        <v>0</v>
      </c>
      <c r="P307" s="160">
        <v>0</v>
      </c>
      <c r="Q307" s="21">
        <v>0</v>
      </c>
      <c r="R307" s="89">
        <v>0</v>
      </c>
      <c r="S307" s="65">
        <v>671564</v>
      </c>
      <c r="T307" s="34">
        <v>46519</v>
      </c>
      <c r="U307" s="34">
        <v>54821</v>
      </c>
      <c r="V307" s="34">
        <v>917</v>
      </c>
      <c r="W307" s="34">
        <v>0</v>
      </c>
      <c r="X307" s="89">
        <v>102257</v>
      </c>
      <c r="Y307" s="65">
        <v>773821</v>
      </c>
      <c r="Z307" s="160">
        <v>610433</v>
      </c>
    </row>
    <row r="308" spans="1:26" s="5" customFormat="1" ht="12.75" customHeight="1" x14ac:dyDescent="0.25">
      <c r="A308" s="24" t="s">
        <v>442</v>
      </c>
      <c r="B308" s="25"/>
      <c r="C308" s="27">
        <v>96420</v>
      </c>
      <c r="D308" s="27"/>
      <c r="E308" s="27">
        <v>11062</v>
      </c>
      <c r="F308" s="21">
        <v>0</v>
      </c>
      <c r="G308" s="89">
        <v>107482</v>
      </c>
      <c r="H308" s="65">
        <v>0</v>
      </c>
      <c r="I308" s="34">
        <v>92487</v>
      </c>
      <c r="J308" s="27">
        <v>14250</v>
      </c>
      <c r="K308" s="27">
        <v>456560</v>
      </c>
      <c r="L308" s="27">
        <v>0</v>
      </c>
      <c r="M308" s="27">
        <v>0</v>
      </c>
      <c r="N308" s="68">
        <v>563297</v>
      </c>
      <c r="O308" s="63">
        <v>0</v>
      </c>
      <c r="P308" s="160">
        <v>0</v>
      </c>
      <c r="Q308" s="21">
        <v>0</v>
      </c>
      <c r="R308" s="89">
        <v>0</v>
      </c>
      <c r="S308" s="65">
        <v>670779</v>
      </c>
      <c r="T308" s="34">
        <v>46619</v>
      </c>
      <c r="U308" s="34">
        <v>54754</v>
      </c>
      <c r="V308" s="34">
        <v>934</v>
      </c>
      <c r="W308" s="34">
        <v>0</v>
      </c>
      <c r="X308" s="89">
        <v>102307</v>
      </c>
      <c r="Y308" s="65">
        <v>773086</v>
      </c>
      <c r="Z308" s="160">
        <v>609916</v>
      </c>
    </row>
    <row r="309" spans="1:26" s="5" customFormat="1" ht="12.75" customHeight="1" x14ac:dyDescent="0.25">
      <c r="A309" s="24" t="s">
        <v>443</v>
      </c>
      <c r="B309" s="25"/>
      <c r="C309" s="27">
        <v>96306</v>
      </c>
      <c r="D309" s="27"/>
      <c r="E309" s="27">
        <v>11178</v>
      </c>
      <c r="F309" s="21">
        <v>0</v>
      </c>
      <c r="G309" s="89">
        <v>107484</v>
      </c>
      <c r="H309" s="65">
        <v>0</v>
      </c>
      <c r="I309" s="34">
        <v>93007</v>
      </c>
      <c r="J309" s="27">
        <v>13851</v>
      </c>
      <c r="K309" s="27">
        <v>455585</v>
      </c>
      <c r="L309" s="27">
        <v>0</v>
      </c>
      <c r="M309" s="27">
        <v>0</v>
      </c>
      <c r="N309" s="68">
        <v>562443</v>
      </c>
      <c r="O309" s="63">
        <v>0</v>
      </c>
      <c r="P309" s="160">
        <v>0</v>
      </c>
      <c r="Q309" s="21">
        <v>0</v>
      </c>
      <c r="R309" s="89">
        <v>0</v>
      </c>
      <c r="S309" s="65">
        <v>669927</v>
      </c>
      <c r="T309" s="34">
        <v>46693</v>
      </c>
      <c r="U309" s="34">
        <v>54514</v>
      </c>
      <c r="V309" s="34">
        <v>910</v>
      </c>
      <c r="W309" s="34">
        <v>0</v>
      </c>
      <c r="X309" s="89">
        <v>102117</v>
      </c>
      <c r="Y309" s="65">
        <v>772044</v>
      </c>
      <c r="Z309" s="160">
        <v>609136</v>
      </c>
    </row>
    <row r="310" spans="1:26" s="5" customFormat="1" ht="12.75" customHeight="1" x14ac:dyDescent="0.25">
      <c r="A310" s="24" t="s">
        <v>444</v>
      </c>
      <c r="B310" s="25"/>
      <c r="C310" s="27">
        <v>97109</v>
      </c>
      <c r="D310" s="27"/>
      <c r="E310" s="27">
        <v>11326</v>
      </c>
      <c r="F310" s="21">
        <v>0</v>
      </c>
      <c r="G310" s="89">
        <v>108435</v>
      </c>
      <c r="H310" s="65">
        <v>0</v>
      </c>
      <c r="I310" s="34">
        <v>93891</v>
      </c>
      <c r="J310" s="27">
        <v>13978</v>
      </c>
      <c r="K310" s="27">
        <v>455075</v>
      </c>
      <c r="L310" s="27">
        <v>0</v>
      </c>
      <c r="M310" s="27">
        <v>0</v>
      </c>
      <c r="N310" s="68">
        <v>562944</v>
      </c>
      <c r="O310" s="63">
        <v>0</v>
      </c>
      <c r="P310" s="160">
        <v>0</v>
      </c>
      <c r="Q310" s="21">
        <v>0</v>
      </c>
      <c r="R310" s="89">
        <v>0</v>
      </c>
      <c r="S310" s="65">
        <v>671379</v>
      </c>
      <c r="T310" s="34">
        <v>46861</v>
      </c>
      <c r="U310" s="34">
        <v>54378</v>
      </c>
      <c r="V310" s="34">
        <v>921</v>
      </c>
      <c r="W310" s="34">
        <v>0</v>
      </c>
      <c r="X310" s="89">
        <v>102160</v>
      </c>
      <c r="Y310" s="65">
        <v>773539</v>
      </c>
      <c r="Z310" s="160">
        <v>609805</v>
      </c>
    </row>
    <row r="311" spans="1:26" s="5" customFormat="1" ht="12.75" customHeight="1" x14ac:dyDescent="0.25">
      <c r="A311" s="24" t="s">
        <v>445</v>
      </c>
      <c r="B311" s="25"/>
      <c r="C311" s="27">
        <v>97129</v>
      </c>
      <c r="D311" s="27"/>
      <c r="E311" s="27">
        <v>11560</v>
      </c>
      <c r="F311" s="21">
        <v>0</v>
      </c>
      <c r="G311" s="89">
        <v>108689</v>
      </c>
      <c r="H311" s="65">
        <v>0</v>
      </c>
      <c r="I311" s="34">
        <v>94465</v>
      </c>
      <c r="J311" s="27">
        <v>14002</v>
      </c>
      <c r="K311" s="27">
        <v>454387</v>
      </c>
      <c r="L311" s="27">
        <v>0</v>
      </c>
      <c r="M311" s="27">
        <v>0</v>
      </c>
      <c r="N311" s="68">
        <v>562854</v>
      </c>
      <c r="O311" s="63">
        <v>0</v>
      </c>
      <c r="P311" s="160">
        <v>0</v>
      </c>
      <c r="Q311" s="21">
        <v>0</v>
      </c>
      <c r="R311" s="89">
        <v>0</v>
      </c>
      <c r="S311" s="65">
        <v>671543</v>
      </c>
      <c r="T311" s="34">
        <v>47164</v>
      </c>
      <c r="U311" s="34">
        <v>54374</v>
      </c>
      <c r="V311" s="34">
        <v>925</v>
      </c>
      <c r="W311" s="34">
        <v>0</v>
      </c>
      <c r="X311" s="89">
        <v>102463</v>
      </c>
      <c r="Y311" s="65">
        <v>774006</v>
      </c>
      <c r="Z311" s="160">
        <v>610018</v>
      </c>
    </row>
    <row r="312" spans="1:26" s="5" customFormat="1" ht="12.75" customHeight="1" x14ac:dyDescent="0.25">
      <c r="A312" s="24" t="s">
        <v>446</v>
      </c>
      <c r="B312" s="25"/>
      <c r="C312" s="27">
        <v>97554</v>
      </c>
      <c r="D312" s="27"/>
      <c r="E312" s="27">
        <v>11685</v>
      </c>
      <c r="F312" s="21">
        <v>0</v>
      </c>
      <c r="G312" s="89">
        <v>109239</v>
      </c>
      <c r="H312" s="65">
        <v>0</v>
      </c>
      <c r="I312" s="34">
        <v>93955</v>
      </c>
      <c r="J312" s="27">
        <v>13634</v>
      </c>
      <c r="K312" s="27">
        <v>452152</v>
      </c>
      <c r="L312" s="27">
        <v>0</v>
      </c>
      <c r="M312" s="27">
        <v>0</v>
      </c>
      <c r="N312" s="68">
        <v>559741</v>
      </c>
      <c r="O312" s="63">
        <v>0</v>
      </c>
      <c r="P312" s="160">
        <v>0</v>
      </c>
      <c r="Q312" s="21">
        <v>0</v>
      </c>
      <c r="R312" s="89">
        <v>0</v>
      </c>
      <c r="S312" s="65">
        <v>668980</v>
      </c>
      <c r="T312" s="34">
        <v>47237</v>
      </c>
      <c r="U312" s="34">
        <v>54260</v>
      </c>
      <c r="V312" s="34">
        <v>886</v>
      </c>
      <c r="W312" s="34">
        <v>0</v>
      </c>
      <c r="X312" s="89">
        <v>102383</v>
      </c>
      <c r="Y312" s="65">
        <v>771363</v>
      </c>
      <c r="Z312" s="160">
        <v>606978</v>
      </c>
    </row>
    <row r="313" spans="1:26" s="5" customFormat="1" ht="12.75" customHeight="1" x14ac:dyDescent="0.25">
      <c r="A313" s="24" t="s">
        <v>447</v>
      </c>
      <c r="B313" s="25"/>
      <c r="C313" s="27">
        <v>97628</v>
      </c>
      <c r="D313" s="27"/>
      <c r="E313" s="27">
        <v>11935</v>
      </c>
      <c r="F313" s="21">
        <v>0</v>
      </c>
      <c r="G313" s="89">
        <v>109563</v>
      </c>
      <c r="H313" s="65">
        <v>0</v>
      </c>
      <c r="I313" s="34">
        <v>94473</v>
      </c>
      <c r="J313" s="27">
        <v>13670</v>
      </c>
      <c r="K313" s="27">
        <v>454915</v>
      </c>
      <c r="L313" s="27">
        <v>0</v>
      </c>
      <c r="M313" s="27">
        <v>0</v>
      </c>
      <c r="N313" s="68">
        <v>563058</v>
      </c>
      <c r="O313" s="63">
        <v>0</v>
      </c>
      <c r="P313" s="160">
        <v>0</v>
      </c>
      <c r="Q313" s="21">
        <v>0</v>
      </c>
      <c r="R313" s="89">
        <v>0</v>
      </c>
      <c r="S313" s="65">
        <v>672621</v>
      </c>
      <c r="T313" s="34">
        <v>47608</v>
      </c>
      <c r="U313" s="34">
        <v>54836</v>
      </c>
      <c r="V313" s="34">
        <v>912</v>
      </c>
      <c r="W313" s="34">
        <v>0</v>
      </c>
      <c r="X313" s="89">
        <v>103356</v>
      </c>
      <c r="Y313" s="65">
        <v>775977</v>
      </c>
      <c r="Z313" s="160">
        <v>610666</v>
      </c>
    </row>
    <row r="314" spans="1:26" s="5" customFormat="1" ht="12.75" customHeight="1" x14ac:dyDescent="0.25">
      <c r="A314" s="24" t="s">
        <v>448</v>
      </c>
      <c r="B314" s="25"/>
      <c r="C314" s="27">
        <v>97511</v>
      </c>
      <c r="D314" s="27"/>
      <c r="E314" s="27">
        <v>12052</v>
      </c>
      <c r="F314" s="21">
        <v>0</v>
      </c>
      <c r="G314" s="89">
        <v>109563</v>
      </c>
      <c r="H314" s="65">
        <v>0</v>
      </c>
      <c r="I314" s="34">
        <v>94255</v>
      </c>
      <c r="J314" s="27">
        <v>14005</v>
      </c>
      <c r="K314" s="27">
        <v>456358</v>
      </c>
      <c r="L314" s="27">
        <v>0</v>
      </c>
      <c r="M314" s="27">
        <v>0</v>
      </c>
      <c r="N314" s="68">
        <v>564618</v>
      </c>
      <c r="O314" s="63">
        <v>0</v>
      </c>
      <c r="P314" s="160">
        <v>0</v>
      </c>
      <c r="Q314" s="21">
        <v>0</v>
      </c>
      <c r="R314" s="89">
        <v>0</v>
      </c>
      <c r="S314" s="65">
        <v>674181</v>
      </c>
      <c r="T314" s="34">
        <v>48044</v>
      </c>
      <c r="U314" s="34">
        <v>55459</v>
      </c>
      <c r="V314" s="34">
        <v>946</v>
      </c>
      <c r="W314" s="34">
        <v>0</v>
      </c>
      <c r="X314" s="89">
        <v>104449</v>
      </c>
      <c r="Y314" s="65">
        <v>778630</v>
      </c>
      <c r="Z314" s="160">
        <v>612662</v>
      </c>
    </row>
    <row r="315" spans="1:26" s="5" customFormat="1" ht="12.75" customHeight="1" x14ac:dyDescent="0.25">
      <c r="A315" s="24" t="s">
        <v>449</v>
      </c>
      <c r="B315" s="25"/>
      <c r="C315" s="27">
        <v>97026</v>
      </c>
      <c r="D315" s="27"/>
      <c r="E315" s="27">
        <v>12151</v>
      </c>
      <c r="F315" s="21">
        <v>0</v>
      </c>
      <c r="G315" s="89">
        <v>109177</v>
      </c>
      <c r="H315" s="65">
        <v>0</v>
      </c>
      <c r="I315" s="34">
        <v>94161</v>
      </c>
      <c r="J315" s="27">
        <v>14171</v>
      </c>
      <c r="K315" s="27">
        <v>458304</v>
      </c>
      <c r="L315" s="27">
        <v>0</v>
      </c>
      <c r="M315" s="27">
        <v>0</v>
      </c>
      <c r="N315" s="68">
        <v>566636</v>
      </c>
      <c r="O315" s="63">
        <v>0</v>
      </c>
      <c r="P315" s="160">
        <v>0</v>
      </c>
      <c r="Q315" s="21">
        <v>0</v>
      </c>
      <c r="R315" s="89">
        <v>0</v>
      </c>
      <c r="S315" s="65">
        <v>675813</v>
      </c>
      <c r="T315" s="34">
        <v>48490</v>
      </c>
      <c r="U315" s="34">
        <v>56189</v>
      </c>
      <c r="V315" s="34">
        <v>930</v>
      </c>
      <c r="W315" s="34">
        <v>0</v>
      </c>
      <c r="X315" s="89">
        <v>105609</v>
      </c>
      <c r="Y315" s="65">
        <v>781422</v>
      </c>
      <c r="Z315" s="160">
        <v>615126</v>
      </c>
    </row>
    <row r="316" spans="1:26" s="5" customFormat="1" ht="12.75" customHeight="1" x14ac:dyDescent="0.25">
      <c r="A316" s="24" t="s">
        <v>450</v>
      </c>
      <c r="B316" s="25"/>
      <c r="C316" s="27">
        <v>97229</v>
      </c>
      <c r="D316" s="27"/>
      <c r="E316" s="27">
        <v>12269</v>
      </c>
      <c r="F316" s="21">
        <v>0</v>
      </c>
      <c r="G316" s="89">
        <v>109498</v>
      </c>
      <c r="H316" s="65">
        <v>0</v>
      </c>
      <c r="I316" s="34">
        <v>93915</v>
      </c>
      <c r="J316" s="27">
        <v>14138</v>
      </c>
      <c r="K316" s="27">
        <v>460434</v>
      </c>
      <c r="L316" s="27">
        <v>0</v>
      </c>
      <c r="M316" s="27">
        <v>0</v>
      </c>
      <c r="N316" s="68">
        <v>568487</v>
      </c>
      <c r="O316" s="63">
        <v>0</v>
      </c>
      <c r="P316" s="160">
        <v>0</v>
      </c>
      <c r="Q316" s="21">
        <v>0</v>
      </c>
      <c r="R316" s="89">
        <v>0</v>
      </c>
      <c r="S316" s="65">
        <v>677985</v>
      </c>
      <c r="T316" s="34">
        <v>48976</v>
      </c>
      <c r="U316" s="34">
        <v>56976</v>
      </c>
      <c r="V316" s="34">
        <v>964</v>
      </c>
      <c r="W316" s="34">
        <v>0</v>
      </c>
      <c r="X316" s="89">
        <v>106916</v>
      </c>
      <c r="Y316" s="65">
        <v>784901</v>
      </c>
      <c r="Z316" s="160">
        <v>617463</v>
      </c>
    </row>
    <row r="317" spans="1:26" s="5" customFormat="1" ht="12.75" customHeight="1" x14ac:dyDescent="0.25">
      <c r="A317" s="24"/>
      <c r="B317" s="25"/>
      <c r="C317" s="27"/>
      <c r="D317" s="27"/>
      <c r="E317" s="27"/>
      <c r="F317" s="21"/>
      <c r="G317" s="89"/>
      <c r="H317" s="65"/>
      <c r="I317" s="34"/>
      <c r="J317" s="27"/>
      <c r="K317" s="27"/>
      <c r="L317" s="27"/>
      <c r="M317" s="27">
        <v>0</v>
      </c>
      <c r="N317" s="68"/>
      <c r="O317" s="63">
        <v>0</v>
      </c>
      <c r="P317" s="160">
        <v>0</v>
      </c>
      <c r="Q317" s="21">
        <v>0</v>
      </c>
      <c r="R317" s="89">
        <v>0</v>
      </c>
      <c r="S317" s="65"/>
      <c r="T317" s="34"/>
      <c r="U317" s="34"/>
      <c r="V317" s="34"/>
      <c r="W317" s="34">
        <v>0</v>
      </c>
      <c r="X317" s="89"/>
      <c r="Y317" s="65"/>
      <c r="Z317" s="160"/>
    </row>
    <row r="318" spans="1:26" s="5" customFormat="1" ht="12.75" customHeight="1" x14ac:dyDescent="0.25">
      <c r="A318" s="24" t="s">
        <v>451</v>
      </c>
      <c r="B318" s="25"/>
      <c r="C318" s="27">
        <v>97587</v>
      </c>
      <c r="D318" s="27"/>
      <c r="E318" s="27">
        <v>12428</v>
      </c>
      <c r="F318" s="21">
        <v>0</v>
      </c>
      <c r="G318" s="89">
        <v>110015</v>
      </c>
      <c r="H318" s="65">
        <v>0</v>
      </c>
      <c r="I318" s="34">
        <v>93775</v>
      </c>
      <c r="J318" s="27">
        <v>14047</v>
      </c>
      <c r="K318" s="27">
        <v>459862</v>
      </c>
      <c r="L318" s="27">
        <v>0</v>
      </c>
      <c r="M318" s="27">
        <v>0</v>
      </c>
      <c r="N318" s="68">
        <v>567684</v>
      </c>
      <c r="O318" s="63">
        <v>0</v>
      </c>
      <c r="P318" s="160">
        <v>0</v>
      </c>
      <c r="Q318" s="21">
        <v>0</v>
      </c>
      <c r="R318" s="89">
        <v>0</v>
      </c>
      <c r="S318" s="65">
        <v>677699</v>
      </c>
      <c r="T318" s="34">
        <v>48819</v>
      </c>
      <c r="U318" s="34">
        <v>56849</v>
      </c>
      <c r="V318" s="34">
        <v>913</v>
      </c>
      <c r="W318" s="34">
        <v>0</v>
      </c>
      <c r="X318" s="89">
        <v>106581</v>
      </c>
      <c r="Y318" s="65">
        <v>784280</v>
      </c>
      <c r="Z318" s="160">
        <v>616503</v>
      </c>
    </row>
    <row r="319" spans="1:26" s="5" customFormat="1" ht="12.75" customHeight="1" x14ac:dyDescent="0.25">
      <c r="A319" s="24" t="s">
        <v>452</v>
      </c>
      <c r="B319" s="25"/>
      <c r="C319" s="27">
        <v>96858</v>
      </c>
      <c r="D319" s="27"/>
      <c r="E319" s="27">
        <v>12583</v>
      </c>
      <c r="F319" s="21">
        <v>0</v>
      </c>
      <c r="G319" s="89">
        <v>109441</v>
      </c>
      <c r="H319" s="65">
        <v>0</v>
      </c>
      <c r="I319" s="34">
        <v>93723</v>
      </c>
      <c r="J319" s="27">
        <v>13412</v>
      </c>
      <c r="K319" s="27">
        <v>455825</v>
      </c>
      <c r="L319" s="27">
        <v>0</v>
      </c>
      <c r="M319" s="27">
        <v>0</v>
      </c>
      <c r="N319" s="68">
        <v>562960</v>
      </c>
      <c r="O319" s="63">
        <v>0</v>
      </c>
      <c r="P319" s="160">
        <v>0</v>
      </c>
      <c r="Q319" s="21">
        <v>0</v>
      </c>
      <c r="R319" s="89">
        <v>0</v>
      </c>
      <c r="S319" s="65">
        <v>672401</v>
      </c>
      <c r="T319" s="34">
        <v>48525</v>
      </c>
      <c r="U319" s="34">
        <v>56507</v>
      </c>
      <c r="V319" s="34">
        <v>878</v>
      </c>
      <c r="W319" s="34">
        <v>0</v>
      </c>
      <c r="X319" s="89">
        <v>105910</v>
      </c>
      <c r="Y319" s="65">
        <v>778311</v>
      </c>
      <c r="Z319" s="160">
        <v>611485</v>
      </c>
    </row>
    <row r="320" spans="1:26" s="5" customFormat="1" ht="12.75" customHeight="1" x14ac:dyDescent="0.25">
      <c r="A320" s="24" t="s">
        <v>453</v>
      </c>
      <c r="B320" s="25"/>
      <c r="C320" s="27">
        <v>96266</v>
      </c>
      <c r="D320" s="27"/>
      <c r="E320" s="27">
        <v>12657</v>
      </c>
      <c r="F320" s="21">
        <v>0</v>
      </c>
      <c r="G320" s="89">
        <v>108923</v>
      </c>
      <c r="H320" s="65">
        <v>0</v>
      </c>
      <c r="I320" s="34">
        <v>94827</v>
      </c>
      <c r="J320" s="27">
        <v>13298</v>
      </c>
      <c r="K320" s="27">
        <v>456188</v>
      </c>
      <c r="L320" s="27">
        <v>0</v>
      </c>
      <c r="M320" s="27">
        <v>0</v>
      </c>
      <c r="N320" s="68">
        <v>564313</v>
      </c>
      <c r="O320" s="63">
        <v>0</v>
      </c>
      <c r="P320" s="160">
        <v>0</v>
      </c>
      <c r="Q320" s="21">
        <v>0</v>
      </c>
      <c r="R320" s="89">
        <v>0</v>
      </c>
      <c r="S320" s="65">
        <v>673236</v>
      </c>
      <c r="T320" s="34">
        <v>48624</v>
      </c>
      <c r="U320" s="34">
        <v>56856</v>
      </c>
      <c r="V320" s="34">
        <v>879</v>
      </c>
      <c r="W320" s="34">
        <v>0</v>
      </c>
      <c r="X320" s="89">
        <v>106359</v>
      </c>
      <c r="Y320" s="65">
        <v>779595</v>
      </c>
      <c r="Z320" s="160">
        <v>612937</v>
      </c>
    </row>
    <row r="321" spans="1:26" s="5" customFormat="1" ht="12.75" customHeight="1" x14ac:dyDescent="0.25">
      <c r="A321" s="24" t="s">
        <v>454</v>
      </c>
      <c r="B321" s="25"/>
      <c r="C321" s="27">
        <v>97735</v>
      </c>
      <c r="D321" s="27"/>
      <c r="E321" s="27">
        <v>12803</v>
      </c>
      <c r="F321" s="21">
        <v>0</v>
      </c>
      <c r="G321" s="89">
        <v>110538</v>
      </c>
      <c r="H321" s="65">
        <v>0</v>
      </c>
      <c r="I321" s="34">
        <v>95245</v>
      </c>
      <c r="J321" s="27">
        <v>13019</v>
      </c>
      <c r="K321" s="27">
        <v>456364</v>
      </c>
      <c r="L321" s="27">
        <v>0</v>
      </c>
      <c r="M321" s="27">
        <v>0</v>
      </c>
      <c r="N321" s="68">
        <v>564628</v>
      </c>
      <c r="O321" s="63">
        <v>0</v>
      </c>
      <c r="P321" s="160">
        <v>0</v>
      </c>
      <c r="Q321" s="21">
        <v>0</v>
      </c>
      <c r="R321" s="89">
        <v>0</v>
      </c>
      <c r="S321" s="65">
        <v>675166</v>
      </c>
      <c r="T321" s="34">
        <v>48566</v>
      </c>
      <c r="U321" s="34">
        <v>56846</v>
      </c>
      <c r="V321" s="34">
        <v>842</v>
      </c>
      <c r="W321" s="34">
        <v>0</v>
      </c>
      <c r="X321" s="89">
        <v>106254</v>
      </c>
      <c r="Y321" s="65">
        <v>781420</v>
      </c>
      <c r="Z321" s="160">
        <v>613194</v>
      </c>
    </row>
    <row r="322" spans="1:26" s="5" customFormat="1" ht="12.75" customHeight="1" x14ac:dyDescent="0.25">
      <c r="A322" s="24" t="s">
        <v>455</v>
      </c>
      <c r="B322" s="25"/>
      <c r="C322" s="27">
        <v>97137</v>
      </c>
      <c r="D322" s="27"/>
      <c r="E322" s="27">
        <v>13364</v>
      </c>
      <c r="F322" s="21">
        <v>0</v>
      </c>
      <c r="G322" s="89">
        <v>110501</v>
      </c>
      <c r="H322" s="65">
        <v>0</v>
      </c>
      <c r="I322" s="34">
        <v>96606</v>
      </c>
      <c r="J322" s="27">
        <v>12785</v>
      </c>
      <c r="K322" s="27">
        <v>459325</v>
      </c>
      <c r="L322" s="27">
        <v>0</v>
      </c>
      <c r="M322" s="27">
        <v>0</v>
      </c>
      <c r="N322" s="68">
        <v>568716</v>
      </c>
      <c r="O322" s="63">
        <v>0</v>
      </c>
      <c r="P322" s="160">
        <v>0</v>
      </c>
      <c r="Q322" s="21">
        <v>0</v>
      </c>
      <c r="R322" s="89">
        <v>0</v>
      </c>
      <c r="S322" s="65">
        <v>679217</v>
      </c>
      <c r="T322" s="34">
        <v>49118</v>
      </c>
      <c r="U322" s="34">
        <v>57462</v>
      </c>
      <c r="V322" s="34">
        <v>828</v>
      </c>
      <c r="W322" s="34">
        <v>0</v>
      </c>
      <c r="X322" s="89">
        <v>107408</v>
      </c>
      <c r="Y322" s="65">
        <v>786625</v>
      </c>
      <c r="Z322" s="160">
        <v>617834</v>
      </c>
    </row>
    <row r="323" spans="1:26" s="5" customFormat="1" ht="12.75" customHeight="1" x14ac:dyDescent="0.25">
      <c r="A323" s="24" t="s">
        <v>456</v>
      </c>
      <c r="B323" s="25"/>
      <c r="C323" s="27">
        <v>97829</v>
      </c>
      <c r="D323" s="27"/>
      <c r="E323" s="27">
        <v>13444</v>
      </c>
      <c r="F323" s="21">
        <v>0</v>
      </c>
      <c r="G323" s="89">
        <v>111273</v>
      </c>
      <c r="H323" s="65">
        <v>0</v>
      </c>
      <c r="I323" s="34">
        <v>98021</v>
      </c>
      <c r="J323" s="27">
        <v>12739</v>
      </c>
      <c r="K323" s="27">
        <v>462138</v>
      </c>
      <c r="L323" s="27">
        <v>0</v>
      </c>
      <c r="M323" s="27">
        <v>0</v>
      </c>
      <c r="N323" s="68">
        <v>572898</v>
      </c>
      <c r="O323" s="63">
        <v>0</v>
      </c>
      <c r="P323" s="160">
        <v>0</v>
      </c>
      <c r="Q323" s="21">
        <v>0</v>
      </c>
      <c r="R323" s="89">
        <v>0</v>
      </c>
      <c r="S323" s="65">
        <v>684171</v>
      </c>
      <c r="T323" s="34">
        <v>49600</v>
      </c>
      <c r="U323" s="34">
        <v>57877</v>
      </c>
      <c r="V323" s="34">
        <v>818</v>
      </c>
      <c r="W323" s="34">
        <v>0</v>
      </c>
      <c r="X323" s="89">
        <v>108295</v>
      </c>
      <c r="Y323" s="65">
        <v>792466</v>
      </c>
      <c r="Z323" s="160">
        <v>622498</v>
      </c>
    </row>
    <row r="324" spans="1:26" s="5" customFormat="1" ht="12.75" customHeight="1" x14ac:dyDescent="0.25">
      <c r="A324" s="24" t="s">
        <v>457</v>
      </c>
      <c r="B324" s="25"/>
      <c r="C324" s="27">
        <v>97722</v>
      </c>
      <c r="D324" s="27"/>
      <c r="E324" s="27">
        <v>13424</v>
      </c>
      <c r="F324" s="21">
        <v>0</v>
      </c>
      <c r="G324" s="89">
        <v>111146</v>
      </c>
      <c r="H324" s="65">
        <v>0</v>
      </c>
      <c r="I324" s="34">
        <v>98740</v>
      </c>
      <c r="J324" s="27">
        <v>12715</v>
      </c>
      <c r="K324" s="27">
        <v>462851</v>
      </c>
      <c r="L324" s="27">
        <v>0</v>
      </c>
      <c r="M324" s="27">
        <v>0</v>
      </c>
      <c r="N324" s="68">
        <v>574306</v>
      </c>
      <c r="O324" s="63">
        <v>0</v>
      </c>
      <c r="P324" s="160">
        <v>0</v>
      </c>
      <c r="Q324" s="21">
        <v>0</v>
      </c>
      <c r="R324" s="89">
        <v>0</v>
      </c>
      <c r="S324" s="65">
        <v>685452</v>
      </c>
      <c r="T324" s="34">
        <v>49523</v>
      </c>
      <c r="U324" s="34">
        <v>57709</v>
      </c>
      <c r="V324" s="34">
        <v>887</v>
      </c>
      <c r="W324" s="34">
        <v>0</v>
      </c>
      <c r="X324" s="89">
        <v>108119</v>
      </c>
      <c r="Y324" s="65">
        <v>793571</v>
      </c>
      <c r="Z324" s="160">
        <v>623829</v>
      </c>
    </row>
    <row r="325" spans="1:26" s="5" customFormat="1" ht="12.75" customHeight="1" x14ac:dyDescent="0.25">
      <c r="A325" s="24" t="s">
        <v>458</v>
      </c>
      <c r="B325" s="25"/>
      <c r="C325" s="27">
        <v>98431</v>
      </c>
      <c r="D325" s="27"/>
      <c r="E325" s="27">
        <v>13568</v>
      </c>
      <c r="F325" s="21">
        <v>0</v>
      </c>
      <c r="G325" s="89">
        <v>111999</v>
      </c>
      <c r="H325" s="65">
        <v>0</v>
      </c>
      <c r="I325" s="34">
        <v>100211</v>
      </c>
      <c r="J325" s="27">
        <v>12718</v>
      </c>
      <c r="K325" s="27">
        <v>464435</v>
      </c>
      <c r="L325" s="27">
        <v>0</v>
      </c>
      <c r="M325" s="27">
        <v>0</v>
      </c>
      <c r="N325" s="68">
        <v>577364</v>
      </c>
      <c r="O325" s="63">
        <v>0</v>
      </c>
      <c r="P325" s="160">
        <v>0</v>
      </c>
      <c r="Q325" s="21">
        <v>0</v>
      </c>
      <c r="R325" s="89">
        <v>0</v>
      </c>
      <c r="S325" s="65">
        <v>689363</v>
      </c>
      <c r="T325" s="34">
        <v>49667</v>
      </c>
      <c r="U325" s="34">
        <v>57620</v>
      </c>
      <c r="V325" s="34">
        <v>926</v>
      </c>
      <c r="W325" s="34">
        <v>0</v>
      </c>
      <c r="X325" s="89">
        <v>108213</v>
      </c>
      <c r="Y325" s="65">
        <v>797576</v>
      </c>
      <c r="Z325" s="160">
        <v>627031</v>
      </c>
    </row>
    <row r="326" spans="1:26" s="5" customFormat="1" ht="12.75" customHeight="1" x14ac:dyDescent="0.25">
      <c r="A326" s="24" t="s">
        <v>459</v>
      </c>
      <c r="B326" s="25"/>
      <c r="C326" s="27">
        <v>97686</v>
      </c>
      <c r="D326" s="27"/>
      <c r="E326" s="27">
        <v>13811</v>
      </c>
      <c r="F326" s="21">
        <v>0</v>
      </c>
      <c r="G326" s="89">
        <v>111497</v>
      </c>
      <c r="H326" s="65">
        <v>0</v>
      </c>
      <c r="I326" s="34">
        <v>102183</v>
      </c>
      <c r="J326" s="27">
        <v>12888</v>
      </c>
      <c r="K326" s="27">
        <v>465820</v>
      </c>
      <c r="L326" s="27">
        <v>0</v>
      </c>
      <c r="M326" s="27">
        <v>0</v>
      </c>
      <c r="N326" s="68">
        <v>580891</v>
      </c>
      <c r="O326" s="63">
        <v>0</v>
      </c>
      <c r="P326" s="160">
        <v>0</v>
      </c>
      <c r="Q326" s="21">
        <v>0</v>
      </c>
      <c r="R326" s="89">
        <v>0</v>
      </c>
      <c r="S326" s="65">
        <v>692388</v>
      </c>
      <c r="T326" s="34">
        <v>50104</v>
      </c>
      <c r="U326" s="34">
        <v>57827</v>
      </c>
      <c r="V326" s="34">
        <v>966</v>
      </c>
      <c r="W326" s="34">
        <v>0</v>
      </c>
      <c r="X326" s="89">
        <v>108897</v>
      </c>
      <c r="Y326" s="65">
        <v>801285</v>
      </c>
      <c r="Z326" s="160">
        <v>630995</v>
      </c>
    </row>
    <row r="327" spans="1:26" s="5" customFormat="1" ht="12.75" customHeight="1" x14ac:dyDescent="0.25">
      <c r="A327" s="24" t="s">
        <v>460</v>
      </c>
      <c r="B327" s="25"/>
      <c r="C327" s="27">
        <v>97513</v>
      </c>
      <c r="D327" s="27"/>
      <c r="E327" s="27">
        <v>13841</v>
      </c>
      <c r="F327" s="21">
        <v>0</v>
      </c>
      <c r="G327" s="89">
        <v>111354</v>
      </c>
      <c r="H327" s="65">
        <v>0</v>
      </c>
      <c r="I327" s="34">
        <v>103221</v>
      </c>
      <c r="J327" s="27">
        <v>12835</v>
      </c>
      <c r="K327" s="27">
        <v>466883</v>
      </c>
      <c r="L327" s="27">
        <v>0</v>
      </c>
      <c r="M327" s="27">
        <v>0</v>
      </c>
      <c r="N327" s="68">
        <v>582939</v>
      </c>
      <c r="O327" s="63">
        <v>0</v>
      </c>
      <c r="P327" s="160">
        <v>0</v>
      </c>
      <c r="Q327" s="21">
        <v>0</v>
      </c>
      <c r="R327" s="89">
        <v>0</v>
      </c>
      <c r="S327" s="65">
        <v>694293</v>
      </c>
      <c r="T327" s="34">
        <v>50646</v>
      </c>
      <c r="U327" s="34">
        <v>58497</v>
      </c>
      <c r="V327" s="34">
        <v>969</v>
      </c>
      <c r="W327" s="34">
        <v>0</v>
      </c>
      <c r="X327" s="89">
        <v>110112</v>
      </c>
      <c r="Y327" s="65">
        <v>804405</v>
      </c>
      <c r="Z327" s="160">
        <v>633585</v>
      </c>
    </row>
    <row r="328" spans="1:26" s="5" customFormat="1" ht="12.75" customHeight="1" x14ac:dyDescent="0.25">
      <c r="A328" s="24" t="s">
        <v>461</v>
      </c>
      <c r="B328" s="25"/>
      <c r="C328" s="27">
        <v>97655</v>
      </c>
      <c r="D328" s="27"/>
      <c r="E328" s="27">
        <v>13840</v>
      </c>
      <c r="F328" s="21">
        <v>0</v>
      </c>
      <c r="G328" s="89">
        <v>111495</v>
      </c>
      <c r="H328" s="65">
        <v>0</v>
      </c>
      <c r="I328" s="34">
        <v>104126</v>
      </c>
      <c r="J328" s="27">
        <v>13246</v>
      </c>
      <c r="K328" s="27">
        <v>466393</v>
      </c>
      <c r="L328" s="27">
        <v>0</v>
      </c>
      <c r="M328" s="27">
        <v>0</v>
      </c>
      <c r="N328" s="68">
        <v>583765</v>
      </c>
      <c r="O328" s="63">
        <v>0</v>
      </c>
      <c r="P328" s="160">
        <v>0</v>
      </c>
      <c r="Q328" s="21">
        <v>0</v>
      </c>
      <c r="R328" s="89">
        <v>0</v>
      </c>
      <c r="S328" s="65">
        <v>695260</v>
      </c>
      <c r="T328" s="34">
        <v>51332</v>
      </c>
      <c r="U328" s="34">
        <v>59307</v>
      </c>
      <c r="V328" s="34">
        <v>986</v>
      </c>
      <c r="W328" s="34">
        <v>0</v>
      </c>
      <c r="X328" s="89">
        <v>111625</v>
      </c>
      <c r="Y328" s="65">
        <v>806885</v>
      </c>
      <c r="Z328" s="160">
        <v>635097</v>
      </c>
    </row>
    <row r="329" spans="1:26" s="5" customFormat="1" ht="12.75" customHeight="1" x14ac:dyDescent="0.25">
      <c r="A329" s="24" t="s">
        <v>462</v>
      </c>
      <c r="B329" s="25"/>
      <c r="C329" s="27">
        <v>96645</v>
      </c>
      <c r="D329" s="27"/>
      <c r="E329" s="27">
        <v>13991</v>
      </c>
      <c r="F329" s="21">
        <v>0</v>
      </c>
      <c r="G329" s="89">
        <v>110636</v>
      </c>
      <c r="H329" s="65">
        <v>0</v>
      </c>
      <c r="I329" s="34">
        <v>105376</v>
      </c>
      <c r="J329" s="27">
        <v>13434</v>
      </c>
      <c r="K329" s="27">
        <v>465754</v>
      </c>
      <c r="L329" s="27">
        <v>0</v>
      </c>
      <c r="M329" s="27">
        <v>0</v>
      </c>
      <c r="N329" s="68">
        <v>584564</v>
      </c>
      <c r="O329" s="63">
        <v>0</v>
      </c>
      <c r="P329" s="160">
        <v>0</v>
      </c>
      <c r="Q329" s="21">
        <v>0</v>
      </c>
      <c r="R329" s="89">
        <v>0</v>
      </c>
      <c r="S329" s="65">
        <v>695200</v>
      </c>
      <c r="T329" s="34">
        <v>52060</v>
      </c>
      <c r="U329" s="34">
        <v>59621</v>
      </c>
      <c r="V329" s="34">
        <v>983</v>
      </c>
      <c r="W329" s="34">
        <v>0</v>
      </c>
      <c r="X329" s="89">
        <v>112664</v>
      </c>
      <c r="Y329" s="65">
        <v>807864</v>
      </c>
      <c r="Z329" s="160">
        <v>636624</v>
      </c>
    </row>
    <row r="330" spans="1:26" s="5" customFormat="1" ht="12.75" customHeight="1" x14ac:dyDescent="0.25">
      <c r="A330" s="24"/>
      <c r="B330" s="25"/>
      <c r="C330" s="27"/>
      <c r="D330" s="27"/>
      <c r="E330" s="27"/>
      <c r="F330" s="21"/>
      <c r="G330" s="89"/>
      <c r="H330" s="65"/>
      <c r="I330" s="34"/>
      <c r="J330" s="27"/>
      <c r="K330" s="27"/>
      <c r="L330" s="27"/>
      <c r="M330" s="27">
        <v>0</v>
      </c>
      <c r="N330" s="68"/>
      <c r="O330" s="63">
        <v>0</v>
      </c>
      <c r="P330" s="160">
        <v>0</v>
      </c>
      <c r="Q330" s="21">
        <v>0</v>
      </c>
      <c r="R330" s="89">
        <v>0</v>
      </c>
      <c r="S330" s="65"/>
      <c r="T330" s="34"/>
      <c r="U330" s="34"/>
      <c r="V330" s="34"/>
      <c r="W330" s="34">
        <v>0</v>
      </c>
      <c r="X330" s="89"/>
      <c r="Y330" s="65"/>
      <c r="Z330" s="160"/>
    </row>
    <row r="331" spans="1:26" s="5" customFormat="1" ht="12.75" customHeight="1" x14ac:dyDescent="0.25">
      <c r="A331" s="24" t="s">
        <v>463</v>
      </c>
      <c r="B331" s="25"/>
      <c r="C331" s="27">
        <v>96169</v>
      </c>
      <c r="D331" s="27"/>
      <c r="E331" s="27">
        <v>11654</v>
      </c>
      <c r="F331" s="21">
        <v>0</v>
      </c>
      <c r="G331" s="89">
        <v>107823</v>
      </c>
      <c r="H331" s="65">
        <v>0</v>
      </c>
      <c r="I331" s="34">
        <v>106028</v>
      </c>
      <c r="J331" s="27">
        <v>13496</v>
      </c>
      <c r="K331" s="27">
        <v>464981</v>
      </c>
      <c r="L331" s="27">
        <v>0</v>
      </c>
      <c r="M331" s="27">
        <v>0</v>
      </c>
      <c r="N331" s="68">
        <v>584505</v>
      </c>
      <c r="O331" s="63">
        <v>0</v>
      </c>
      <c r="P331" s="160">
        <v>0</v>
      </c>
      <c r="Q331" s="21">
        <v>0</v>
      </c>
      <c r="R331" s="89">
        <v>0</v>
      </c>
      <c r="S331" s="65">
        <v>692328</v>
      </c>
      <c r="T331" s="34">
        <v>53174</v>
      </c>
      <c r="U331" s="34">
        <v>60463</v>
      </c>
      <c r="V331" s="34">
        <v>990</v>
      </c>
      <c r="W331" s="34">
        <v>0</v>
      </c>
      <c r="X331" s="89">
        <v>114627</v>
      </c>
      <c r="Y331" s="65">
        <v>806955</v>
      </c>
      <c r="Z331" s="160">
        <v>637679</v>
      </c>
    </row>
    <row r="332" spans="1:26" s="5" customFormat="1" ht="12.75" customHeight="1" x14ac:dyDescent="0.25">
      <c r="A332" s="24" t="s">
        <v>464</v>
      </c>
      <c r="B332" s="25"/>
      <c r="C332" s="27">
        <v>103766</v>
      </c>
      <c r="D332" s="27">
        <v>2284</v>
      </c>
      <c r="E332" s="27">
        <v>19418</v>
      </c>
      <c r="F332" s="21">
        <v>0</v>
      </c>
      <c r="G332" s="89">
        <v>125468</v>
      </c>
      <c r="H332" s="65">
        <v>0</v>
      </c>
      <c r="I332" s="34">
        <v>107441</v>
      </c>
      <c r="J332" s="27">
        <v>13573</v>
      </c>
      <c r="K332" s="27">
        <v>466160</v>
      </c>
      <c r="L332" s="27">
        <v>0</v>
      </c>
      <c r="M332" s="27">
        <v>0</v>
      </c>
      <c r="N332" s="68">
        <v>587174</v>
      </c>
      <c r="O332" s="63">
        <v>0</v>
      </c>
      <c r="P332" s="160">
        <v>0</v>
      </c>
      <c r="Q332" s="21">
        <v>0</v>
      </c>
      <c r="R332" s="89">
        <v>0</v>
      </c>
      <c r="S332" s="65">
        <v>712642</v>
      </c>
      <c r="T332" s="34">
        <v>54351</v>
      </c>
      <c r="U332" s="34">
        <v>61498</v>
      </c>
      <c r="V332" s="34">
        <v>1001</v>
      </c>
      <c r="W332" s="34">
        <v>0</v>
      </c>
      <c r="X332" s="89">
        <v>116850</v>
      </c>
      <c r="Y332" s="65">
        <v>829492</v>
      </c>
      <c r="Z332" s="160">
        <v>641525</v>
      </c>
    </row>
    <row r="333" spans="1:26" s="5" customFormat="1" ht="12.75" customHeight="1" x14ac:dyDescent="0.25">
      <c r="A333" s="24" t="s">
        <v>465</v>
      </c>
      <c r="B333" s="25"/>
      <c r="C333" s="27">
        <v>113131</v>
      </c>
      <c r="D333" s="27">
        <v>5081</v>
      </c>
      <c r="E333" s="27">
        <v>26305</v>
      </c>
      <c r="F333" s="21">
        <v>0</v>
      </c>
      <c r="G333" s="89">
        <v>144517</v>
      </c>
      <c r="H333" s="65">
        <v>0</v>
      </c>
      <c r="I333" s="34">
        <v>108381</v>
      </c>
      <c r="J333" s="27">
        <v>13902</v>
      </c>
      <c r="K333" s="27">
        <v>468166</v>
      </c>
      <c r="L333" s="27">
        <v>0</v>
      </c>
      <c r="M333" s="27">
        <v>0</v>
      </c>
      <c r="N333" s="68">
        <v>590449</v>
      </c>
      <c r="O333" s="63">
        <v>0</v>
      </c>
      <c r="P333" s="160">
        <v>0</v>
      </c>
      <c r="Q333" s="21">
        <v>0</v>
      </c>
      <c r="R333" s="89">
        <v>0</v>
      </c>
      <c r="S333" s="65">
        <v>734966</v>
      </c>
      <c r="T333" s="34">
        <v>55581</v>
      </c>
      <c r="U333" s="34">
        <v>62526</v>
      </c>
      <c r="V333" s="34">
        <v>994</v>
      </c>
      <c r="W333" s="34">
        <v>0</v>
      </c>
      <c r="X333" s="89">
        <v>119101</v>
      </c>
      <c r="Y333" s="65">
        <v>854067</v>
      </c>
      <c r="Z333" s="160">
        <v>646030</v>
      </c>
    </row>
    <row r="334" spans="1:26" s="5" customFormat="1" ht="12.75" customHeight="1" x14ac:dyDescent="0.25">
      <c r="A334" s="24" t="s">
        <v>466</v>
      </c>
      <c r="B334" s="25"/>
      <c r="C334" s="27">
        <v>123548</v>
      </c>
      <c r="D334" s="27">
        <v>5026</v>
      </c>
      <c r="E334" s="27">
        <v>30997</v>
      </c>
      <c r="F334" s="21">
        <v>0</v>
      </c>
      <c r="G334" s="89">
        <v>159571</v>
      </c>
      <c r="H334" s="65">
        <v>0</v>
      </c>
      <c r="I334" s="34">
        <v>109105</v>
      </c>
      <c r="J334" s="27">
        <v>13802</v>
      </c>
      <c r="K334" s="27">
        <v>470163</v>
      </c>
      <c r="L334" s="27">
        <v>0</v>
      </c>
      <c r="M334" s="27">
        <v>0</v>
      </c>
      <c r="N334" s="68">
        <v>593070</v>
      </c>
      <c r="O334" s="63">
        <v>0</v>
      </c>
      <c r="P334" s="160">
        <v>0</v>
      </c>
      <c r="Q334" s="21">
        <v>0</v>
      </c>
      <c r="R334" s="89">
        <v>0</v>
      </c>
      <c r="S334" s="65">
        <v>752641</v>
      </c>
      <c r="T334" s="34">
        <v>56336</v>
      </c>
      <c r="U334" s="34">
        <v>63474</v>
      </c>
      <c r="V334" s="34">
        <v>958</v>
      </c>
      <c r="W334" s="34">
        <v>0</v>
      </c>
      <c r="X334" s="89">
        <v>120768</v>
      </c>
      <c r="Y334" s="65">
        <v>873409</v>
      </c>
      <c r="Z334" s="160">
        <v>649406</v>
      </c>
    </row>
    <row r="335" spans="1:26" s="5" customFormat="1" ht="12.75" customHeight="1" x14ac:dyDescent="0.25">
      <c r="A335" s="24" t="s">
        <v>467</v>
      </c>
      <c r="B335" s="25"/>
      <c r="C335" s="27">
        <v>148907</v>
      </c>
      <c r="D335" s="27">
        <v>7604</v>
      </c>
      <c r="E335" s="27">
        <v>24519</v>
      </c>
      <c r="F335" s="21">
        <v>0</v>
      </c>
      <c r="G335" s="89">
        <v>181030</v>
      </c>
      <c r="H335" s="65">
        <v>0</v>
      </c>
      <c r="I335" s="34">
        <v>105149</v>
      </c>
      <c r="J335" s="27">
        <v>13356</v>
      </c>
      <c r="K335" s="27">
        <v>472341</v>
      </c>
      <c r="L335" s="27">
        <v>0</v>
      </c>
      <c r="M335" s="27">
        <v>0</v>
      </c>
      <c r="N335" s="68">
        <v>590846</v>
      </c>
      <c r="O335" s="63">
        <v>0</v>
      </c>
      <c r="P335" s="160">
        <v>0</v>
      </c>
      <c r="Q335" s="21">
        <v>0</v>
      </c>
      <c r="R335" s="89">
        <v>0</v>
      </c>
      <c r="S335" s="65">
        <v>771876</v>
      </c>
      <c r="T335" s="34">
        <v>57439</v>
      </c>
      <c r="U335" s="34">
        <v>65243</v>
      </c>
      <c r="V335" s="34">
        <v>931</v>
      </c>
      <c r="W335" s="34">
        <v>0</v>
      </c>
      <c r="X335" s="89">
        <v>123613</v>
      </c>
      <c r="Y335" s="65">
        <v>895489</v>
      </c>
      <c r="Z335" s="160">
        <v>648285</v>
      </c>
    </row>
    <row r="336" spans="1:26" s="5" customFormat="1" ht="12.75" customHeight="1" x14ac:dyDescent="0.25">
      <c r="A336" s="24" t="s">
        <v>468</v>
      </c>
      <c r="B336" s="25"/>
      <c r="C336" s="27">
        <v>163062</v>
      </c>
      <c r="D336" s="27">
        <v>11509</v>
      </c>
      <c r="E336" s="27">
        <v>31032</v>
      </c>
      <c r="F336" s="21">
        <v>0</v>
      </c>
      <c r="G336" s="89">
        <v>205603</v>
      </c>
      <c r="H336" s="65">
        <v>0</v>
      </c>
      <c r="I336" s="34">
        <v>105800</v>
      </c>
      <c r="J336" s="27">
        <v>13260</v>
      </c>
      <c r="K336" s="27">
        <v>474487</v>
      </c>
      <c r="L336" s="27">
        <v>0</v>
      </c>
      <c r="M336" s="27">
        <v>0</v>
      </c>
      <c r="N336" s="68">
        <v>593547</v>
      </c>
      <c r="O336" s="63">
        <v>0</v>
      </c>
      <c r="P336" s="160">
        <v>0</v>
      </c>
      <c r="Q336" s="21">
        <v>0</v>
      </c>
      <c r="R336" s="89">
        <v>0</v>
      </c>
      <c r="S336" s="65">
        <v>799150</v>
      </c>
      <c r="T336" s="34">
        <v>58519</v>
      </c>
      <c r="U336" s="34">
        <v>66138</v>
      </c>
      <c r="V336" s="34">
        <v>963</v>
      </c>
      <c r="W336" s="34">
        <v>0</v>
      </c>
      <c r="X336" s="89">
        <v>125620</v>
      </c>
      <c r="Y336" s="65">
        <v>924770</v>
      </c>
      <c r="Z336" s="160">
        <v>652066</v>
      </c>
    </row>
    <row r="337" spans="1:26" s="5" customFormat="1" ht="12.75" customHeight="1" x14ac:dyDescent="0.25">
      <c r="A337" s="24" t="s">
        <v>469</v>
      </c>
      <c r="B337" s="25"/>
      <c r="C337" s="27">
        <v>151774</v>
      </c>
      <c r="D337" s="27">
        <v>14150</v>
      </c>
      <c r="E337" s="27">
        <v>41865</v>
      </c>
      <c r="F337" s="21">
        <v>0</v>
      </c>
      <c r="G337" s="89">
        <v>207789</v>
      </c>
      <c r="H337" s="65">
        <v>0</v>
      </c>
      <c r="I337" s="34">
        <v>105910</v>
      </c>
      <c r="J337" s="27">
        <v>13122</v>
      </c>
      <c r="K337" s="27">
        <v>473425</v>
      </c>
      <c r="L337" s="27">
        <v>0</v>
      </c>
      <c r="M337" s="27">
        <v>0</v>
      </c>
      <c r="N337" s="68">
        <v>592457</v>
      </c>
      <c r="O337" s="63">
        <v>0</v>
      </c>
      <c r="P337" s="160">
        <v>0</v>
      </c>
      <c r="Q337" s="21">
        <v>0</v>
      </c>
      <c r="R337" s="89">
        <v>0</v>
      </c>
      <c r="S337" s="65">
        <v>800246</v>
      </c>
      <c r="T337" s="34">
        <v>59091</v>
      </c>
      <c r="U337" s="34">
        <v>66734</v>
      </c>
      <c r="V337" s="34">
        <v>989</v>
      </c>
      <c r="W337" s="34">
        <v>0</v>
      </c>
      <c r="X337" s="89">
        <v>126814</v>
      </c>
      <c r="Y337" s="65">
        <v>927060</v>
      </c>
      <c r="Z337" s="160">
        <v>651548</v>
      </c>
    </row>
    <row r="338" spans="1:26" s="5" customFormat="1" ht="12.75" customHeight="1" x14ac:dyDescent="0.25">
      <c r="A338" s="24" t="s">
        <v>470</v>
      </c>
      <c r="B338" s="25"/>
      <c r="C338" s="27">
        <v>145537</v>
      </c>
      <c r="D338" s="27">
        <v>15979</v>
      </c>
      <c r="E338" s="27">
        <v>44983</v>
      </c>
      <c r="F338" s="21">
        <v>0</v>
      </c>
      <c r="G338" s="89">
        <v>206499</v>
      </c>
      <c r="H338" s="65">
        <v>0</v>
      </c>
      <c r="I338" s="34">
        <v>106022</v>
      </c>
      <c r="J338" s="27">
        <v>12949</v>
      </c>
      <c r="K338" s="27">
        <v>473497</v>
      </c>
      <c r="L338" s="27">
        <v>0</v>
      </c>
      <c r="M338" s="27">
        <v>0</v>
      </c>
      <c r="N338" s="68">
        <v>592468</v>
      </c>
      <c r="O338" s="63">
        <v>0</v>
      </c>
      <c r="P338" s="160">
        <v>0</v>
      </c>
      <c r="Q338" s="21">
        <v>0</v>
      </c>
      <c r="R338" s="89">
        <v>0</v>
      </c>
      <c r="S338" s="65">
        <v>798967</v>
      </c>
      <c r="T338" s="34">
        <v>59716</v>
      </c>
      <c r="U338" s="34">
        <v>67231</v>
      </c>
      <c r="V338" s="34">
        <v>1033</v>
      </c>
      <c r="W338" s="34">
        <v>0</v>
      </c>
      <c r="X338" s="89">
        <v>127980</v>
      </c>
      <c r="Y338" s="65">
        <v>926947</v>
      </c>
      <c r="Z338" s="160">
        <v>652184</v>
      </c>
    </row>
    <row r="339" spans="1:26" s="5" customFormat="1" ht="12.75" customHeight="1" x14ac:dyDescent="0.25">
      <c r="A339" s="24" t="s">
        <v>471</v>
      </c>
      <c r="B339" s="25"/>
      <c r="C339" s="27">
        <v>146163</v>
      </c>
      <c r="D339" s="27">
        <v>16005</v>
      </c>
      <c r="E339" s="27">
        <v>45102</v>
      </c>
      <c r="F339" s="21">
        <v>0</v>
      </c>
      <c r="G339" s="89">
        <v>207270</v>
      </c>
      <c r="H339" s="65">
        <v>0</v>
      </c>
      <c r="I339" s="34">
        <v>106345</v>
      </c>
      <c r="J339" s="27">
        <v>13190</v>
      </c>
      <c r="K339" s="27">
        <v>475242</v>
      </c>
      <c r="L339" s="27">
        <v>0</v>
      </c>
      <c r="M339" s="27">
        <v>0</v>
      </c>
      <c r="N339" s="68">
        <v>594777</v>
      </c>
      <c r="O339" s="63">
        <v>0</v>
      </c>
      <c r="P339" s="160">
        <v>0</v>
      </c>
      <c r="Q339" s="21">
        <v>0</v>
      </c>
      <c r="R339" s="89">
        <v>0</v>
      </c>
      <c r="S339" s="65">
        <v>802047</v>
      </c>
      <c r="T339" s="34">
        <v>60010</v>
      </c>
      <c r="U339" s="34">
        <v>67583</v>
      </c>
      <c r="V339" s="34">
        <v>1050</v>
      </c>
      <c r="W339" s="34">
        <v>0</v>
      </c>
      <c r="X339" s="89">
        <v>128643</v>
      </c>
      <c r="Y339" s="65">
        <v>930690</v>
      </c>
      <c r="Z339" s="160">
        <v>654787</v>
      </c>
    </row>
    <row r="340" spans="1:26" s="5" customFormat="1" ht="12.75" customHeight="1" x14ac:dyDescent="0.25">
      <c r="A340" s="24" t="s">
        <v>472</v>
      </c>
      <c r="B340" s="25"/>
      <c r="C340" s="27">
        <v>147192</v>
      </c>
      <c r="D340" s="27">
        <v>15848</v>
      </c>
      <c r="E340" s="27">
        <v>45122</v>
      </c>
      <c r="F340" s="21">
        <v>0</v>
      </c>
      <c r="G340" s="89">
        <v>208162</v>
      </c>
      <c r="H340" s="65">
        <v>0</v>
      </c>
      <c r="I340" s="34">
        <v>106404</v>
      </c>
      <c r="J340" s="27">
        <v>13074</v>
      </c>
      <c r="K340" s="27">
        <v>477172</v>
      </c>
      <c r="L340" s="27">
        <v>0</v>
      </c>
      <c r="M340" s="27">
        <v>0</v>
      </c>
      <c r="N340" s="68">
        <v>596650</v>
      </c>
      <c r="O340" s="63">
        <v>0</v>
      </c>
      <c r="P340" s="160">
        <v>0</v>
      </c>
      <c r="Q340" s="21">
        <v>0</v>
      </c>
      <c r="R340" s="89">
        <v>0</v>
      </c>
      <c r="S340" s="65">
        <v>804812</v>
      </c>
      <c r="T340" s="34">
        <v>60425</v>
      </c>
      <c r="U340" s="34">
        <v>67712</v>
      </c>
      <c r="V340" s="34">
        <v>1025</v>
      </c>
      <c r="W340" s="34">
        <v>0</v>
      </c>
      <c r="X340" s="89">
        <v>129162</v>
      </c>
      <c r="Y340" s="65">
        <v>933974</v>
      </c>
      <c r="Z340" s="160">
        <v>657075</v>
      </c>
    </row>
    <row r="341" spans="1:26" s="5" customFormat="1" ht="12.75" customHeight="1" x14ac:dyDescent="0.25">
      <c r="A341" s="24" t="s">
        <v>473</v>
      </c>
      <c r="B341" s="25"/>
      <c r="C341" s="27">
        <v>147548</v>
      </c>
      <c r="D341" s="27">
        <v>15904</v>
      </c>
      <c r="E341" s="27">
        <v>45623</v>
      </c>
      <c r="F341" s="21">
        <v>0</v>
      </c>
      <c r="G341" s="89">
        <v>209075</v>
      </c>
      <c r="H341" s="65">
        <v>0</v>
      </c>
      <c r="I341" s="34">
        <v>106721</v>
      </c>
      <c r="J341" s="27">
        <v>13204</v>
      </c>
      <c r="K341" s="27">
        <v>480395</v>
      </c>
      <c r="L341" s="27">
        <v>0</v>
      </c>
      <c r="M341" s="27">
        <v>0</v>
      </c>
      <c r="N341" s="68">
        <v>600320</v>
      </c>
      <c r="O341" s="63">
        <v>0</v>
      </c>
      <c r="P341" s="160">
        <v>0</v>
      </c>
      <c r="Q341" s="21">
        <v>0</v>
      </c>
      <c r="R341" s="89">
        <v>0</v>
      </c>
      <c r="S341" s="65">
        <v>809395</v>
      </c>
      <c r="T341" s="34">
        <v>60790</v>
      </c>
      <c r="U341" s="34">
        <v>67901</v>
      </c>
      <c r="V341" s="34">
        <v>1016</v>
      </c>
      <c r="W341" s="34">
        <v>0</v>
      </c>
      <c r="X341" s="89">
        <v>129707</v>
      </c>
      <c r="Y341" s="65">
        <v>939102</v>
      </c>
      <c r="Z341" s="160">
        <v>661110</v>
      </c>
    </row>
    <row r="342" spans="1:26" s="5" customFormat="1" ht="12.75" customHeight="1" x14ac:dyDescent="0.25">
      <c r="A342" s="24" t="s">
        <v>474</v>
      </c>
      <c r="B342" s="25"/>
      <c r="C342" s="27">
        <v>147817</v>
      </c>
      <c r="D342" s="27">
        <v>16019</v>
      </c>
      <c r="E342" s="27">
        <v>45971</v>
      </c>
      <c r="F342" s="21">
        <v>0</v>
      </c>
      <c r="G342" s="89">
        <v>209807</v>
      </c>
      <c r="H342" s="65">
        <v>0</v>
      </c>
      <c r="I342" s="34">
        <v>106734</v>
      </c>
      <c r="J342" s="27">
        <v>13445</v>
      </c>
      <c r="K342" s="27">
        <v>482541</v>
      </c>
      <c r="L342" s="27">
        <v>0</v>
      </c>
      <c r="M342" s="27">
        <v>0</v>
      </c>
      <c r="N342" s="68">
        <v>602720</v>
      </c>
      <c r="O342" s="63">
        <v>0</v>
      </c>
      <c r="P342" s="160">
        <v>0</v>
      </c>
      <c r="Q342" s="21">
        <v>0</v>
      </c>
      <c r="R342" s="89">
        <v>0</v>
      </c>
      <c r="S342" s="65">
        <v>812527</v>
      </c>
      <c r="T342" s="34">
        <v>61145</v>
      </c>
      <c r="U342" s="34">
        <v>68384</v>
      </c>
      <c r="V342" s="34">
        <v>1016</v>
      </c>
      <c r="W342" s="34">
        <v>0</v>
      </c>
      <c r="X342" s="89">
        <v>130545</v>
      </c>
      <c r="Y342" s="65">
        <v>943072</v>
      </c>
      <c r="Z342" s="160">
        <v>663865</v>
      </c>
    </row>
    <row r="343" spans="1:26" s="5" customFormat="1" ht="12.75" customHeight="1" x14ac:dyDescent="0.25">
      <c r="A343" s="24"/>
      <c r="B343" s="25"/>
      <c r="C343" s="27"/>
      <c r="D343" s="21"/>
      <c r="E343" s="21"/>
      <c r="F343" s="21"/>
      <c r="G343" s="89"/>
      <c r="H343" s="65"/>
      <c r="I343" s="34"/>
      <c r="J343" s="21"/>
      <c r="K343" s="21"/>
      <c r="L343" s="21"/>
      <c r="M343" s="21"/>
      <c r="N343" s="68"/>
      <c r="O343" s="63">
        <v>0</v>
      </c>
      <c r="P343" s="160">
        <v>0</v>
      </c>
      <c r="Q343" s="21">
        <v>0</v>
      </c>
      <c r="R343" s="89">
        <v>0</v>
      </c>
      <c r="S343" s="65"/>
      <c r="T343" s="34"/>
      <c r="U343" s="34"/>
      <c r="V343" s="34"/>
      <c r="W343" s="34"/>
      <c r="X343" s="89"/>
      <c r="Y343" s="65"/>
    </row>
    <row r="344" spans="1:26" s="5" customFormat="1" ht="12.75" customHeight="1" x14ac:dyDescent="0.25">
      <c r="A344" s="24" t="s">
        <v>327</v>
      </c>
      <c r="B344" s="25"/>
      <c r="C344" s="27">
        <f t="shared" ref="C344:C355" si="37">IF((G344-D344-E344)&gt;C136,C136,G344-D344-E344)</f>
        <v>153727</v>
      </c>
      <c r="D344" s="21">
        <v>12581</v>
      </c>
      <c r="E344" s="21">
        <v>39226</v>
      </c>
      <c r="F344" s="21">
        <v>0</v>
      </c>
      <c r="G344" s="89">
        <f>212460-(1958+873+33)</f>
        <v>209596</v>
      </c>
      <c r="H344" s="65">
        <v>0</v>
      </c>
      <c r="I344" s="34">
        <f>117604+1958-J344</f>
        <v>106120</v>
      </c>
      <c r="J344" s="21">
        <v>13442</v>
      </c>
      <c r="K344" s="21">
        <f>481394+876</f>
        <v>482270</v>
      </c>
      <c r="L344" s="21">
        <v>0</v>
      </c>
      <c r="M344" s="21">
        <v>0</v>
      </c>
      <c r="N344" s="68">
        <f>SUM(H344:M344)</f>
        <v>601832</v>
      </c>
      <c r="O344" s="63">
        <v>0</v>
      </c>
      <c r="P344" s="160">
        <v>0</v>
      </c>
      <c r="Q344" s="21">
        <v>0</v>
      </c>
      <c r="R344" s="89">
        <v>0</v>
      </c>
      <c r="S344" s="65">
        <f>G344+H344+N344+R344</f>
        <v>811428</v>
      </c>
      <c r="T344" s="34">
        <f>60969+33</f>
        <v>61002</v>
      </c>
      <c r="U344" s="34">
        <v>68061</v>
      </c>
      <c r="V344" s="34">
        <v>992</v>
      </c>
      <c r="W344" s="34">
        <v>0</v>
      </c>
      <c r="X344" s="89">
        <f>SUM(T344:V344)</f>
        <v>130055</v>
      </c>
      <c r="Y344" s="65">
        <f>X344+S344</f>
        <v>941483</v>
      </c>
    </row>
    <row r="345" spans="1:26" s="5" customFormat="1" ht="12.75" customHeight="1" x14ac:dyDescent="0.25">
      <c r="A345" s="24" t="s">
        <v>328</v>
      </c>
      <c r="B345" s="25"/>
      <c r="C345" s="27">
        <f t="shared" si="37"/>
        <v>150069</v>
      </c>
      <c r="D345" s="21">
        <v>19577</v>
      </c>
      <c r="E345" s="21">
        <v>40097</v>
      </c>
      <c r="F345" s="21">
        <v>0</v>
      </c>
      <c r="G345" s="89">
        <f>212601-(1958+868+32)</f>
        <v>209743</v>
      </c>
      <c r="H345" s="65">
        <v>0</v>
      </c>
      <c r="I345" s="34">
        <f>85246+34407+1958-J345</f>
        <v>107847</v>
      </c>
      <c r="J345" s="21">
        <v>13764</v>
      </c>
      <c r="K345" s="21">
        <f>369645+114856+868</f>
        <v>485369</v>
      </c>
      <c r="L345" s="21">
        <v>0</v>
      </c>
      <c r="M345" s="21">
        <v>0</v>
      </c>
      <c r="N345" s="68">
        <f t="shared" ref="N345:N357" si="38">SUM(H345:M345)</f>
        <v>606980</v>
      </c>
      <c r="O345" s="63">
        <v>0</v>
      </c>
      <c r="P345" s="160">
        <v>0</v>
      </c>
      <c r="Q345" s="21">
        <v>0</v>
      </c>
      <c r="R345" s="89">
        <v>0</v>
      </c>
      <c r="S345" s="65">
        <f t="shared" ref="S345:S408" si="39">G345+H345+N345+R345</f>
        <v>816723</v>
      </c>
      <c r="T345" s="34">
        <f>48947+12140+32</f>
        <v>61119</v>
      </c>
      <c r="U345" s="34">
        <f>55546+12263</f>
        <v>67809</v>
      </c>
      <c r="V345" s="34">
        <f>757+236</f>
        <v>993</v>
      </c>
      <c r="W345" s="34">
        <v>0</v>
      </c>
      <c r="X345" s="89">
        <f t="shared" ref="X345:X355" si="40">SUM(T345:V345)</f>
        <v>129921</v>
      </c>
      <c r="Y345" s="65">
        <f t="shared" ref="Y345:Y355" si="41">X345+S345</f>
        <v>946644</v>
      </c>
    </row>
    <row r="346" spans="1:26" s="5" customFormat="1" ht="12.75" customHeight="1" x14ac:dyDescent="0.25">
      <c r="A346" s="24" t="s">
        <v>329</v>
      </c>
      <c r="B346" s="25"/>
      <c r="C346" s="27">
        <f t="shared" si="37"/>
        <v>149378</v>
      </c>
      <c r="D346" s="21">
        <v>19789</v>
      </c>
      <c r="E346" s="21">
        <v>40410</v>
      </c>
      <c r="F346" s="21">
        <v>0</v>
      </c>
      <c r="G346" s="89">
        <f>212433-(1948+875+33)</f>
        <v>209577</v>
      </c>
      <c r="H346" s="65">
        <v>0</v>
      </c>
      <c r="I346" s="34">
        <f>53558+68627+1948-J346</f>
        <v>109917</v>
      </c>
      <c r="J346" s="21">
        <v>14216</v>
      </c>
      <c r="K346" s="21">
        <f>248664+240064+875</f>
        <v>489603</v>
      </c>
      <c r="L346" s="21">
        <v>0</v>
      </c>
      <c r="M346" s="21">
        <v>0</v>
      </c>
      <c r="N346" s="68">
        <f t="shared" si="38"/>
        <v>613736</v>
      </c>
      <c r="O346" s="63">
        <v>0</v>
      </c>
      <c r="P346" s="160">
        <v>0</v>
      </c>
      <c r="Q346" s="21">
        <v>0</v>
      </c>
      <c r="R346" s="89">
        <v>0</v>
      </c>
      <c r="S346" s="65">
        <f t="shared" si="39"/>
        <v>823313</v>
      </c>
      <c r="T346" s="34">
        <f>35358+26064+33</f>
        <v>61455</v>
      </c>
      <c r="U346" s="34">
        <f>40774+27606</f>
        <v>68380</v>
      </c>
      <c r="V346" s="34">
        <f>552+469</f>
        <v>1021</v>
      </c>
      <c r="W346" s="34">
        <v>0</v>
      </c>
      <c r="X346" s="89">
        <f t="shared" si="40"/>
        <v>130856</v>
      </c>
      <c r="Y346" s="65">
        <f t="shared" si="41"/>
        <v>954169</v>
      </c>
    </row>
    <row r="347" spans="1:26" s="5" customFormat="1" ht="12.75" customHeight="1" x14ac:dyDescent="0.25">
      <c r="A347" s="24" t="s">
        <v>330</v>
      </c>
      <c r="B347" s="25"/>
      <c r="C347" s="27">
        <f t="shared" si="37"/>
        <v>149606</v>
      </c>
      <c r="D347" s="21">
        <v>19957</v>
      </c>
      <c r="E347" s="21">
        <v>40141</v>
      </c>
      <c r="F347" s="21">
        <v>0</v>
      </c>
      <c r="G347" s="89">
        <f>212513-(1962+808+39)</f>
        <v>209704</v>
      </c>
      <c r="H347" s="65">
        <v>0</v>
      </c>
      <c r="I347" s="34">
        <f>(34225+89322+1962)-J347</f>
        <v>111397</v>
      </c>
      <c r="J347" s="21">
        <f>3788+10324</f>
        <v>14112</v>
      </c>
      <c r="K347" s="21">
        <f>132076+360915+808</f>
        <v>493799</v>
      </c>
      <c r="L347" s="21">
        <v>0</v>
      </c>
      <c r="M347" s="21">
        <v>0</v>
      </c>
      <c r="N347" s="68">
        <f t="shared" si="38"/>
        <v>619308</v>
      </c>
      <c r="O347" s="63">
        <v>0</v>
      </c>
      <c r="P347" s="160">
        <v>0</v>
      </c>
      <c r="Q347" s="21">
        <v>0</v>
      </c>
      <c r="R347" s="89">
        <v>0</v>
      </c>
      <c r="S347" s="65">
        <f t="shared" si="39"/>
        <v>829012</v>
      </c>
      <c r="T347" s="34">
        <f>15305+46709+39</f>
        <v>62053</v>
      </c>
      <c r="U347" s="34">
        <f>16259+52619</f>
        <v>68878</v>
      </c>
      <c r="V347" s="34">
        <f>226+814</f>
        <v>1040</v>
      </c>
      <c r="W347" s="34">
        <v>0</v>
      </c>
      <c r="X347" s="89">
        <f t="shared" si="40"/>
        <v>131971</v>
      </c>
      <c r="Y347" s="65">
        <f t="shared" si="41"/>
        <v>960983</v>
      </c>
    </row>
    <row r="348" spans="1:26" s="5" customFormat="1" ht="12.75" customHeight="1" x14ac:dyDescent="0.25">
      <c r="A348" s="24" t="s">
        <v>331</v>
      </c>
      <c r="B348" s="25"/>
      <c r="C348" s="27">
        <f t="shared" si="37"/>
        <v>149253</v>
      </c>
      <c r="D348" s="21">
        <v>20206</v>
      </c>
      <c r="E348" s="21">
        <v>40480</v>
      </c>
      <c r="F348" s="21">
        <v>0</v>
      </c>
      <c r="G348" s="89">
        <f>212737-(1933+821+44)</f>
        <v>209939</v>
      </c>
      <c r="H348" s="65">
        <v>0</v>
      </c>
      <c r="I348" s="34">
        <f>(20316+104734+1933)-J348</f>
        <v>112788</v>
      </c>
      <c r="J348" s="21">
        <f>2104+11998+93</f>
        <v>14195</v>
      </c>
      <c r="K348" s="21">
        <f>76673+420655+821</f>
        <v>498149</v>
      </c>
      <c r="L348" s="21">
        <v>0</v>
      </c>
      <c r="M348" s="21">
        <v>0</v>
      </c>
      <c r="N348" s="68">
        <f t="shared" si="38"/>
        <v>625132</v>
      </c>
      <c r="O348" s="63">
        <v>0</v>
      </c>
      <c r="P348" s="160">
        <v>0</v>
      </c>
      <c r="Q348" s="21">
        <v>0</v>
      </c>
      <c r="R348" s="89">
        <v>0</v>
      </c>
      <c r="S348" s="65">
        <f t="shared" si="39"/>
        <v>835071</v>
      </c>
      <c r="T348" s="34">
        <f>8056+54673+44</f>
        <v>62773</v>
      </c>
      <c r="U348" s="34">
        <f>8511+60887</f>
        <v>69398</v>
      </c>
      <c r="V348" s="34">
        <f>104+938</f>
        <v>1042</v>
      </c>
      <c r="W348" s="34">
        <v>0</v>
      </c>
      <c r="X348" s="89">
        <f t="shared" si="40"/>
        <v>133213</v>
      </c>
      <c r="Y348" s="65">
        <f t="shared" si="41"/>
        <v>968284</v>
      </c>
    </row>
    <row r="349" spans="1:26" s="5" customFormat="1" ht="12.75" customHeight="1" x14ac:dyDescent="0.25">
      <c r="A349" s="24" t="s">
        <v>332</v>
      </c>
      <c r="B349" s="25"/>
      <c r="C349" s="27">
        <f t="shared" si="37"/>
        <v>144416</v>
      </c>
      <c r="D349" s="21">
        <v>20594</v>
      </c>
      <c r="E349" s="21">
        <v>40883</v>
      </c>
      <c r="F349" s="21">
        <v>0</v>
      </c>
      <c r="G349" s="89">
        <f>208726-(2003+46+784)</f>
        <v>205893</v>
      </c>
      <c r="H349" s="65">
        <v>0</v>
      </c>
      <c r="I349" s="34">
        <f>(126579+2003)-J349</f>
        <v>114253</v>
      </c>
      <c r="J349" s="21">
        <f>105+14224</f>
        <v>14329</v>
      </c>
      <c r="K349" s="21">
        <f>500403+784</f>
        <v>501187</v>
      </c>
      <c r="L349" s="21">
        <v>0</v>
      </c>
      <c r="M349" s="21">
        <v>0</v>
      </c>
      <c r="N349" s="68">
        <f t="shared" si="38"/>
        <v>629769</v>
      </c>
      <c r="O349" s="63">
        <v>0</v>
      </c>
      <c r="P349" s="160">
        <v>0</v>
      </c>
      <c r="Q349" s="21">
        <v>0</v>
      </c>
      <c r="R349" s="89">
        <v>0</v>
      </c>
      <c r="S349" s="65">
        <f t="shared" si="39"/>
        <v>835662</v>
      </c>
      <c r="T349" s="34">
        <f>46+63172</f>
        <v>63218</v>
      </c>
      <c r="U349" s="34">
        <f>69525</f>
        <v>69525</v>
      </c>
      <c r="V349" s="34">
        <v>1053</v>
      </c>
      <c r="W349" s="34">
        <v>0</v>
      </c>
      <c r="X349" s="89">
        <f t="shared" si="40"/>
        <v>133796</v>
      </c>
      <c r="Y349" s="65">
        <f t="shared" si="41"/>
        <v>969458</v>
      </c>
    </row>
    <row r="350" spans="1:26" s="5" customFormat="1" ht="12.75" customHeight="1" x14ac:dyDescent="0.25">
      <c r="A350" s="24" t="s">
        <v>333</v>
      </c>
      <c r="B350" s="25"/>
      <c r="C350" s="27">
        <f t="shared" si="37"/>
        <v>151377</v>
      </c>
      <c r="D350" s="21">
        <v>20825</v>
      </c>
      <c r="E350" s="21">
        <v>41730</v>
      </c>
      <c r="F350" s="21">
        <v>0</v>
      </c>
      <c r="G350" s="89">
        <f>239147-(2173+51+831+22160)</f>
        <v>213932</v>
      </c>
      <c r="H350" s="65">
        <v>0</v>
      </c>
      <c r="I350" s="34">
        <f>(121478+2173)-J350</f>
        <v>109443</v>
      </c>
      <c r="J350" s="21">
        <f>14087+121</f>
        <v>14208</v>
      </c>
      <c r="K350" s="21">
        <f>501381+831</f>
        <v>502212</v>
      </c>
      <c r="L350" s="21">
        <v>0</v>
      </c>
      <c r="M350" s="21">
        <v>0</v>
      </c>
      <c r="N350" s="68">
        <f t="shared" si="38"/>
        <v>625863</v>
      </c>
      <c r="O350" s="63">
        <f>932+41231+444+28110</f>
        <v>70717</v>
      </c>
      <c r="P350" s="21">
        <f>20220+64792+564+20904</f>
        <v>106480</v>
      </c>
      <c r="Q350" s="21">
        <v>0</v>
      </c>
      <c r="R350" s="89">
        <f t="shared" ref="R350:R355" si="42">SUM(O350:P350)</f>
        <v>177197</v>
      </c>
      <c r="S350" s="65">
        <f t="shared" si="39"/>
        <v>1016992</v>
      </c>
      <c r="T350" s="34">
        <f>64010+51</f>
        <v>64061</v>
      </c>
      <c r="U350" s="34">
        <f>70990</f>
        <v>70990</v>
      </c>
      <c r="V350" s="34">
        <v>1164</v>
      </c>
      <c r="W350" s="34">
        <v>0</v>
      </c>
      <c r="X350" s="89">
        <f t="shared" si="40"/>
        <v>136215</v>
      </c>
      <c r="Y350" s="65">
        <f t="shared" si="41"/>
        <v>1153207</v>
      </c>
    </row>
    <row r="351" spans="1:26" s="5" customFormat="1" ht="12.75" customHeight="1" x14ac:dyDescent="0.25">
      <c r="A351" s="24" t="s">
        <v>334</v>
      </c>
      <c r="B351" s="25"/>
      <c r="C351" s="27">
        <f t="shared" si="37"/>
        <v>150247</v>
      </c>
      <c r="D351" s="21">
        <v>21268</v>
      </c>
      <c r="E351" s="21">
        <v>41991</v>
      </c>
      <c r="F351" s="21">
        <v>0</v>
      </c>
      <c r="G351" s="89">
        <f>240415-(23860+2188+50+811)</f>
        <v>213506</v>
      </c>
      <c r="H351" s="65">
        <v>0</v>
      </c>
      <c r="I351" s="34">
        <f>119763+2188-J351</f>
        <v>107880</v>
      </c>
      <c r="J351" s="21">
        <f>13960+111</f>
        <v>14071</v>
      </c>
      <c r="K351" s="21">
        <f>503302+811</f>
        <v>504113</v>
      </c>
      <c r="L351" s="21">
        <v>0</v>
      </c>
      <c r="M351" s="21">
        <v>0</v>
      </c>
      <c r="N351" s="68">
        <f t="shared" si="38"/>
        <v>626064</v>
      </c>
      <c r="O351" s="63">
        <f>1112+46782+504+32428</f>
        <v>80826</v>
      </c>
      <c r="P351" s="21">
        <f>21408+81636+836+25874</f>
        <v>129754</v>
      </c>
      <c r="Q351" s="21">
        <v>0</v>
      </c>
      <c r="R351" s="89">
        <f t="shared" si="42"/>
        <v>210580</v>
      </c>
      <c r="S351" s="65">
        <f t="shared" si="39"/>
        <v>1050150</v>
      </c>
      <c r="T351" s="34">
        <f>64733+50</f>
        <v>64783</v>
      </c>
      <c r="U351" s="34">
        <f>71450</f>
        <v>71450</v>
      </c>
      <c r="V351" s="34">
        <v>1189</v>
      </c>
      <c r="W351" s="34">
        <v>0</v>
      </c>
      <c r="X351" s="89">
        <f t="shared" si="40"/>
        <v>137422</v>
      </c>
      <c r="Y351" s="65">
        <f t="shared" si="41"/>
        <v>1187572</v>
      </c>
    </row>
    <row r="352" spans="1:26" s="5" customFormat="1" ht="12.75" customHeight="1" x14ac:dyDescent="0.25">
      <c r="A352" s="24" t="s">
        <v>335</v>
      </c>
      <c r="B352" s="25"/>
      <c r="C352" s="27">
        <f t="shared" si="37"/>
        <v>149303</v>
      </c>
      <c r="D352" s="21">
        <v>21575</v>
      </c>
      <c r="E352" s="21">
        <v>42256</v>
      </c>
      <c r="F352" s="21">
        <v>0</v>
      </c>
      <c r="G352" s="89">
        <f>240896-(24730+2186+49+797)</f>
        <v>213134</v>
      </c>
      <c r="H352" s="65">
        <v>0</v>
      </c>
      <c r="I352" s="34">
        <f>117744+2186-J352</f>
        <v>106117</v>
      </c>
      <c r="J352" s="21">
        <f>13688+125</f>
        <v>13813</v>
      </c>
      <c r="K352" s="21">
        <f>503377+797</f>
        <v>504174</v>
      </c>
      <c r="L352" s="21">
        <v>0</v>
      </c>
      <c r="M352" s="21">
        <v>0</v>
      </c>
      <c r="N352" s="68">
        <f t="shared" si="38"/>
        <v>624104</v>
      </c>
      <c r="O352" s="63">
        <f>1168+49861+540+34253</f>
        <v>85822</v>
      </c>
      <c r="P352" s="21">
        <f>21949+90926+1073+27367</f>
        <v>141315</v>
      </c>
      <c r="Q352" s="21">
        <v>0</v>
      </c>
      <c r="R352" s="89">
        <f t="shared" si="42"/>
        <v>227137</v>
      </c>
      <c r="S352" s="65">
        <f t="shared" si="39"/>
        <v>1064375</v>
      </c>
      <c r="T352" s="34">
        <f>49+64672</f>
        <v>64721</v>
      </c>
      <c r="U352" s="34">
        <f>71131</f>
        <v>71131</v>
      </c>
      <c r="V352" s="34">
        <v>1195</v>
      </c>
      <c r="W352" s="34">
        <v>0</v>
      </c>
      <c r="X352" s="89">
        <f t="shared" si="40"/>
        <v>137047</v>
      </c>
      <c r="Y352" s="65">
        <f t="shared" si="41"/>
        <v>1201422</v>
      </c>
    </row>
    <row r="353" spans="1:25" s="5" customFormat="1" ht="12.75" customHeight="1" x14ac:dyDescent="0.25">
      <c r="A353" s="24" t="s">
        <v>336</v>
      </c>
      <c r="B353" s="25"/>
      <c r="C353" s="27">
        <f t="shared" si="37"/>
        <v>148833</v>
      </c>
      <c r="D353" s="21">
        <v>21925</v>
      </c>
      <c r="E353" s="21">
        <v>42615</v>
      </c>
      <c r="F353" s="21">
        <v>0</v>
      </c>
      <c r="G353" s="89">
        <f>241565-(25157+2187+49+799)</f>
        <v>213373</v>
      </c>
      <c r="H353" s="65">
        <v>0</v>
      </c>
      <c r="I353" s="34">
        <f>116514+2187-J353</f>
        <v>105141</v>
      </c>
      <c r="J353" s="21">
        <f>13438+122</f>
        <v>13560</v>
      </c>
      <c r="K353" s="21">
        <f>504498+799</f>
        <v>505297</v>
      </c>
      <c r="L353" s="21">
        <v>0</v>
      </c>
      <c r="M353" s="21">
        <v>0</v>
      </c>
      <c r="N353" s="68">
        <f t="shared" si="38"/>
        <v>623998</v>
      </c>
      <c r="O353" s="63">
        <f>1163+52484+516+35815</f>
        <v>89978</v>
      </c>
      <c r="P353" s="21">
        <f>22251+102161+1227+28898</f>
        <v>154537</v>
      </c>
      <c r="Q353" s="21">
        <v>0</v>
      </c>
      <c r="R353" s="89">
        <f t="shared" si="42"/>
        <v>244515</v>
      </c>
      <c r="S353" s="65">
        <f t="shared" si="39"/>
        <v>1081886</v>
      </c>
      <c r="T353" s="34">
        <f>64852+49</f>
        <v>64901</v>
      </c>
      <c r="U353" s="34">
        <v>70593</v>
      </c>
      <c r="V353" s="34">
        <v>1181</v>
      </c>
      <c r="W353" s="34">
        <v>0</v>
      </c>
      <c r="X353" s="89">
        <f t="shared" si="40"/>
        <v>136675</v>
      </c>
      <c r="Y353" s="65">
        <f t="shared" si="41"/>
        <v>1218561</v>
      </c>
    </row>
    <row r="354" spans="1:25" s="5" customFormat="1" ht="12.75" customHeight="1" x14ac:dyDescent="0.25">
      <c r="A354" s="24" t="s">
        <v>337</v>
      </c>
      <c r="B354" s="25"/>
      <c r="C354" s="27">
        <f t="shared" si="37"/>
        <v>148355</v>
      </c>
      <c r="D354" s="21">
        <v>22233</v>
      </c>
      <c r="E354" s="21">
        <v>42955</v>
      </c>
      <c r="F354" s="21">
        <v>0</v>
      </c>
      <c r="G354" s="89">
        <f>242423-(25866+2181+45+788)</f>
        <v>213543</v>
      </c>
      <c r="H354" s="65">
        <v>0</v>
      </c>
      <c r="I354" s="34">
        <f>115684+2181-J354</f>
        <v>104170</v>
      </c>
      <c r="J354" s="21">
        <v>13695</v>
      </c>
      <c r="K354" s="27">
        <f>507039+788</f>
        <v>507827</v>
      </c>
      <c r="L354" s="21">
        <v>0</v>
      </c>
      <c r="M354" s="21">
        <v>0</v>
      </c>
      <c r="N354" s="68">
        <f t="shared" si="38"/>
        <v>625692</v>
      </c>
      <c r="O354" s="63">
        <f>1186+55287+541+37539</f>
        <v>94553</v>
      </c>
      <c r="P354" s="21">
        <f>22713+112427+1426+30362</f>
        <v>166928</v>
      </c>
      <c r="Q354" s="21">
        <v>0</v>
      </c>
      <c r="R354" s="89">
        <f t="shared" si="42"/>
        <v>261481</v>
      </c>
      <c r="S354" s="65">
        <f t="shared" si="39"/>
        <v>1100716</v>
      </c>
      <c r="T354" s="34">
        <f>65185+45</f>
        <v>65230</v>
      </c>
      <c r="U354" s="34">
        <f>70939</f>
        <v>70939</v>
      </c>
      <c r="V354" s="34">
        <v>1202</v>
      </c>
      <c r="W354" s="34">
        <v>0</v>
      </c>
      <c r="X354" s="89">
        <f t="shared" si="40"/>
        <v>137371</v>
      </c>
      <c r="Y354" s="65">
        <f t="shared" si="41"/>
        <v>1238087</v>
      </c>
    </row>
    <row r="355" spans="1:25" s="5" customFormat="1" ht="12.75" customHeight="1" x14ac:dyDescent="0.25">
      <c r="A355" s="24" t="s">
        <v>338</v>
      </c>
      <c r="B355" s="25"/>
      <c r="C355" s="27">
        <f t="shared" si="37"/>
        <v>147887</v>
      </c>
      <c r="D355" s="21">
        <v>22516</v>
      </c>
      <c r="E355" s="21">
        <v>43330</v>
      </c>
      <c r="F355" s="21">
        <v>0</v>
      </c>
      <c r="G355" s="89">
        <f>243429-(26681+2193+48+774)</f>
        <v>213733</v>
      </c>
      <c r="H355" s="65">
        <v>0</v>
      </c>
      <c r="I355" s="34">
        <f>114823+2193-J355</f>
        <v>103219</v>
      </c>
      <c r="J355" s="21">
        <f>13667+130</f>
        <v>13797</v>
      </c>
      <c r="K355" s="27">
        <f>508828+774</f>
        <v>509602</v>
      </c>
      <c r="L355" s="21">
        <v>0</v>
      </c>
      <c r="M355" s="21">
        <v>0</v>
      </c>
      <c r="N355" s="68">
        <f t="shared" si="38"/>
        <v>626618</v>
      </c>
      <c r="O355" s="63">
        <f>1259+57468+563+38692</f>
        <v>97982</v>
      </c>
      <c r="P355" s="21">
        <f>23249+119881+1610+31413</f>
        <v>176153</v>
      </c>
      <c r="Q355" s="21">
        <v>0</v>
      </c>
      <c r="R355" s="89">
        <f t="shared" si="42"/>
        <v>274135</v>
      </c>
      <c r="S355" s="65">
        <f t="shared" si="39"/>
        <v>1114486</v>
      </c>
      <c r="T355" s="34">
        <f>65543+48</f>
        <v>65591</v>
      </c>
      <c r="U355" s="34">
        <f>71019</f>
        <v>71019</v>
      </c>
      <c r="V355" s="34">
        <v>1256</v>
      </c>
      <c r="W355" s="34">
        <v>0</v>
      </c>
      <c r="X355" s="89">
        <f t="shared" si="40"/>
        <v>137866</v>
      </c>
      <c r="Y355" s="65">
        <f t="shared" si="41"/>
        <v>1252352</v>
      </c>
    </row>
    <row r="356" spans="1:25" s="5" customFormat="1" ht="12.75" customHeight="1" x14ac:dyDescent="0.25">
      <c r="A356" s="24"/>
      <c r="B356" s="25"/>
      <c r="C356" s="21"/>
      <c r="D356" s="21"/>
      <c r="E356" s="21"/>
      <c r="F356" s="21"/>
      <c r="G356" s="89"/>
      <c r="H356" s="65"/>
      <c r="I356" s="34"/>
      <c r="J356" s="27"/>
      <c r="K356" s="21"/>
      <c r="L356" s="21"/>
      <c r="M356" s="21">
        <v>0</v>
      </c>
      <c r="N356" s="68"/>
      <c r="O356" s="63"/>
      <c r="P356" s="21"/>
      <c r="Q356" s="21">
        <v>0</v>
      </c>
      <c r="R356" s="89"/>
      <c r="S356" s="65">
        <f t="shared" si="39"/>
        <v>0</v>
      </c>
      <c r="T356" s="34"/>
      <c r="U356" s="34"/>
      <c r="V356" s="34"/>
      <c r="W356" s="34"/>
      <c r="X356" s="89"/>
      <c r="Y356" s="65"/>
    </row>
    <row r="357" spans="1:25" s="21" customFormat="1" ht="12.75" customHeight="1" x14ac:dyDescent="0.25">
      <c r="A357" s="24" t="s">
        <v>156</v>
      </c>
      <c r="B357" s="25"/>
      <c r="C357" s="27">
        <f t="shared" ref="C357:C367" si="43">IF((G357-D357-E357)&gt;C149,C149,G357-D357-E357)</f>
        <v>147214</v>
      </c>
      <c r="D357" s="21">
        <v>22801</v>
      </c>
      <c r="E357" s="21">
        <v>43623</v>
      </c>
      <c r="F357" s="21">
        <v>0</v>
      </c>
      <c r="G357" s="89">
        <f>244548-(27919+2176+52+763)</f>
        <v>213638</v>
      </c>
      <c r="H357" s="65">
        <v>0</v>
      </c>
      <c r="I357" s="34">
        <f>114294+2176-J357</f>
        <v>102779</v>
      </c>
      <c r="J357" s="21">
        <f>13565+126</f>
        <v>13691</v>
      </c>
      <c r="K357" s="27">
        <f>509258+763</f>
        <v>510021</v>
      </c>
      <c r="L357" s="21">
        <v>0</v>
      </c>
      <c r="M357" s="21">
        <v>0</v>
      </c>
      <c r="N357" s="68">
        <f t="shared" si="38"/>
        <v>626491</v>
      </c>
      <c r="O357" s="63">
        <f>1396+58367+693+39507</f>
        <v>99963</v>
      </c>
      <c r="P357" s="21">
        <f>23944+125462+1886+32314</f>
        <v>183606</v>
      </c>
      <c r="Q357" s="21">
        <v>0</v>
      </c>
      <c r="R357" s="89">
        <f>SUM(O357:P357)</f>
        <v>283569</v>
      </c>
      <c r="S357" s="65">
        <f t="shared" si="39"/>
        <v>1123698</v>
      </c>
      <c r="T357" s="34">
        <f>65816+52</f>
        <v>65868</v>
      </c>
      <c r="U357" s="34">
        <v>71366</v>
      </c>
      <c r="V357" s="34">
        <v>1314</v>
      </c>
      <c r="W357" s="34">
        <v>0</v>
      </c>
      <c r="X357" s="89">
        <f>SUM(T357:V357)</f>
        <v>138548</v>
      </c>
      <c r="Y357" s="65">
        <f>X357+S357</f>
        <v>1262246</v>
      </c>
    </row>
    <row r="358" spans="1:25" s="21" customFormat="1" ht="12.75" customHeight="1" x14ac:dyDescent="0.25">
      <c r="A358" s="24" t="s">
        <v>157</v>
      </c>
      <c r="B358" s="25"/>
      <c r="C358" s="27">
        <f t="shared" si="43"/>
        <v>148197</v>
      </c>
      <c r="D358" s="21">
        <v>16871</v>
      </c>
      <c r="E358" s="21">
        <v>48104</v>
      </c>
      <c r="F358" s="21">
        <v>0</v>
      </c>
      <c r="G358" s="89">
        <f>244862-(28734+2156+52+748)</f>
        <v>213172</v>
      </c>
      <c r="H358" s="65">
        <v>0</v>
      </c>
      <c r="I358" s="34">
        <f>114027+2156-J358</f>
        <v>102700</v>
      </c>
      <c r="J358" s="21">
        <f>13370+113</f>
        <v>13483</v>
      </c>
      <c r="K358" s="27">
        <f>508438+748</f>
        <v>509186</v>
      </c>
      <c r="L358" s="21">
        <v>0</v>
      </c>
      <c r="M358" s="21">
        <v>0</v>
      </c>
      <c r="N358" s="68">
        <f t="shared" ref="N358:N368" si="44">SUM(I358:M358)</f>
        <v>625369</v>
      </c>
      <c r="O358" s="63">
        <f>1566+59081+753+40194</f>
        <v>101594</v>
      </c>
      <c r="P358" s="21">
        <f>24300+130932+2115+33173</f>
        <v>190520</v>
      </c>
      <c r="Q358" s="21">
        <v>0</v>
      </c>
      <c r="R358" s="89">
        <f t="shared" ref="R358:R368" si="45">SUM(O357:Q357)</f>
        <v>283569</v>
      </c>
      <c r="S358" s="65">
        <f t="shared" si="39"/>
        <v>1122110</v>
      </c>
      <c r="T358" s="34">
        <f>65854+52+0</f>
        <v>65906</v>
      </c>
      <c r="U358" s="34">
        <v>71794</v>
      </c>
      <c r="V358" s="34">
        <v>1317</v>
      </c>
      <c r="W358" s="34">
        <v>0</v>
      </c>
      <c r="X358" s="89">
        <f t="shared" ref="X358:X420" si="46">SUM(T358:W358)</f>
        <v>139017</v>
      </c>
      <c r="Y358" s="65">
        <f t="shared" ref="Y358:Y368" si="47">X358+S358</f>
        <v>1261127</v>
      </c>
    </row>
    <row r="359" spans="1:25" s="21" customFormat="1" ht="12.75" customHeight="1" x14ac:dyDescent="0.25">
      <c r="A359" s="24" t="s">
        <v>158</v>
      </c>
      <c r="B359" s="25"/>
      <c r="C359" s="27">
        <f t="shared" si="43"/>
        <v>148208</v>
      </c>
      <c r="D359" s="21">
        <v>16760</v>
      </c>
      <c r="E359" s="21">
        <v>48340</v>
      </c>
      <c r="F359" s="21">
        <v>0</v>
      </c>
      <c r="G359" s="89">
        <f>242995-(26748+2141+49+749)</f>
        <v>213308</v>
      </c>
      <c r="H359" s="65">
        <v>0</v>
      </c>
      <c r="I359" s="34">
        <f>114260+2141-J359</f>
        <v>102808</v>
      </c>
      <c r="J359" s="21">
        <f>13479+114</f>
        <v>13593</v>
      </c>
      <c r="K359" s="27">
        <f>507575+749</f>
        <v>508324</v>
      </c>
      <c r="L359" s="21">
        <v>0</v>
      </c>
      <c r="M359" s="21">
        <v>0</v>
      </c>
      <c r="N359" s="68">
        <f t="shared" si="44"/>
        <v>624725</v>
      </c>
      <c r="O359" s="63">
        <f>1534+59690+713+40985</f>
        <v>102922</v>
      </c>
      <c r="P359" s="21">
        <f>22445+138825+2056+34348</f>
        <v>197674</v>
      </c>
      <c r="Q359" s="21">
        <v>0</v>
      </c>
      <c r="R359" s="89">
        <f t="shared" si="45"/>
        <v>292114</v>
      </c>
      <c r="S359" s="65">
        <f t="shared" si="39"/>
        <v>1130147</v>
      </c>
      <c r="T359" s="34">
        <f>65825+49+0</f>
        <v>65874</v>
      </c>
      <c r="U359" s="34">
        <v>72626</v>
      </c>
      <c r="V359" s="34">
        <v>1335</v>
      </c>
      <c r="W359" s="34">
        <v>0</v>
      </c>
      <c r="X359" s="89">
        <f t="shared" si="46"/>
        <v>139835</v>
      </c>
      <c r="Y359" s="65">
        <f t="shared" si="47"/>
        <v>1269982</v>
      </c>
    </row>
    <row r="360" spans="1:25" s="21" customFormat="1" ht="12.75" customHeight="1" x14ac:dyDescent="0.25">
      <c r="A360" s="24" t="s">
        <v>159</v>
      </c>
      <c r="B360" s="25"/>
      <c r="C360" s="27">
        <f t="shared" si="43"/>
        <v>148333</v>
      </c>
      <c r="D360" s="21">
        <v>16735</v>
      </c>
      <c r="E360" s="21">
        <v>48690</v>
      </c>
      <c r="F360" s="21">
        <v>0</v>
      </c>
      <c r="G360" s="89">
        <f>243395-(26672+2171+51+743)</f>
        <v>213758</v>
      </c>
      <c r="H360" s="65">
        <v>0</v>
      </c>
      <c r="I360" s="34">
        <f>115265+2171-J360</f>
        <v>104084</v>
      </c>
      <c r="J360" s="21">
        <f>13240+112</f>
        <v>13352</v>
      </c>
      <c r="K360" s="27">
        <f>509549+743</f>
        <v>510292</v>
      </c>
      <c r="L360" s="21">
        <v>0</v>
      </c>
      <c r="M360" s="21">
        <v>0</v>
      </c>
      <c r="N360" s="68">
        <f t="shared" si="44"/>
        <v>627728</v>
      </c>
      <c r="O360" s="63">
        <f>1601+61103+729+41960</f>
        <v>105393</v>
      </c>
      <c r="P360" s="21">
        <f>22241+145299+2101+35029</f>
        <v>204670</v>
      </c>
      <c r="Q360" s="21">
        <v>0</v>
      </c>
      <c r="R360" s="89">
        <f t="shared" si="45"/>
        <v>300596</v>
      </c>
      <c r="S360" s="65">
        <f t="shared" si="39"/>
        <v>1142082</v>
      </c>
      <c r="T360" s="34">
        <f>66379+51+0</f>
        <v>66430</v>
      </c>
      <c r="U360" s="34">
        <v>73483</v>
      </c>
      <c r="V360" s="34">
        <v>1375</v>
      </c>
      <c r="W360" s="34">
        <v>0</v>
      </c>
      <c r="X360" s="89">
        <f t="shared" si="46"/>
        <v>141288</v>
      </c>
      <c r="Y360" s="65">
        <f t="shared" si="47"/>
        <v>1283370</v>
      </c>
    </row>
    <row r="361" spans="1:25" s="21" customFormat="1" ht="12.75" customHeight="1" x14ac:dyDescent="0.25">
      <c r="A361" s="24" t="s">
        <v>160</v>
      </c>
      <c r="B361" s="25"/>
      <c r="C361" s="27">
        <f t="shared" si="43"/>
        <v>147699</v>
      </c>
      <c r="D361" s="21">
        <v>16854</v>
      </c>
      <c r="E361" s="21">
        <v>48885</v>
      </c>
      <c r="F361" s="21">
        <v>0</v>
      </c>
      <c r="G361" s="89">
        <f>243505-(27087+2182+49+749)</f>
        <v>213438</v>
      </c>
      <c r="H361" s="65">
        <v>0</v>
      </c>
      <c r="I361" s="34">
        <f>115349+2182-J361</f>
        <v>104543</v>
      </c>
      <c r="J361" s="21">
        <f>12886+102</f>
        <v>12988</v>
      </c>
      <c r="K361" s="27">
        <f>510167+749</f>
        <v>510916</v>
      </c>
      <c r="L361" s="21">
        <v>0</v>
      </c>
      <c r="M361" s="21">
        <v>0</v>
      </c>
      <c r="N361" s="68">
        <f t="shared" si="44"/>
        <v>628447</v>
      </c>
      <c r="O361" s="63">
        <f>1684+61498+730+42048</f>
        <v>105960</v>
      </c>
      <c r="P361" s="21">
        <f>22525+147312+2148+32616</f>
        <v>204601</v>
      </c>
      <c r="Q361" s="21">
        <v>0</v>
      </c>
      <c r="R361" s="89">
        <f t="shared" si="45"/>
        <v>310063</v>
      </c>
      <c r="S361" s="65">
        <f t="shared" si="39"/>
        <v>1151948</v>
      </c>
      <c r="T361" s="34">
        <f>66522+49+0</f>
        <v>66571</v>
      </c>
      <c r="U361" s="34">
        <v>73578</v>
      </c>
      <c r="V361" s="34">
        <v>1362</v>
      </c>
      <c r="W361" s="34">
        <v>0</v>
      </c>
      <c r="X361" s="89">
        <f t="shared" si="46"/>
        <v>141511</v>
      </c>
      <c r="Y361" s="65">
        <f t="shared" si="47"/>
        <v>1293459</v>
      </c>
    </row>
    <row r="362" spans="1:25" s="21" customFormat="1" ht="12.75" customHeight="1" x14ac:dyDescent="0.25">
      <c r="A362" s="24" t="s">
        <v>161</v>
      </c>
      <c r="B362" s="25"/>
      <c r="C362" s="27">
        <f t="shared" si="43"/>
        <v>147398</v>
      </c>
      <c r="D362" s="21">
        <v>16963</v>
      </c>
      <c r="E362" s="21">
        <v>49228</v>
      </c>
      <c r="F362" s="21">
        <v>0</v>
      </c>
      <c r="G362" s="89">
        <f>243987-(27406+2185+49+758)</f>
        <v>213589</v>
      </c>
      <c r="H362" s="65">
        <v>0</v>
      </c>
      <c r="I362" s="34">
        <f>115485+2185-J362</f>
        <v>104843</v>
      </c>
      <c r="J362" s="21">
        <f>12722+105</f>
        <v>12827</v>
      </c>
      <c r="K362" s="27">
        <f>512194+758</f>
        <v>512952</v>
      </c>
      <c r="L362" s="21">
        <v>0</v>
      </c>
      <c r="M362" s="21">
        <v>0</v>
      </c>
      <c r="N362" s="68">
        <f t="shared" si="44"/>
        <v>630622</v>
      </c>
      <c r="O362" s="63">
        <f>1692+62763+747+43581</f>
        <v>108783</v>
      </c>
      <c r="P362" s="21">
        <f>22710+152116+2257+34784</f>
        <v>211867</v>
      </c>
      <c r="Q362" s="21">
        <v>0</v>
      </c>
      <c r="R362" s="89">
        <f t="shared" si="45"/>
        <v>310561</v>
      </c>
      <c r="S362" s="65">
        <f t="shared" si="39"/>
        <v>1154772</v>
      </c>
      <c r="T362" s="34">
        <f>69030+49+0</f>
        <v>69079</v>
      </c>
      <c r="U362" s="34">
        <v>73411</v>
      </c>
      <c r="V362" s="34">
        <v>1453</v>
      </c>
      <c r="W362" s="34">
        <v>0</v>
      </c>
      <c r="X362" s="89">
        <f t="shared" si="46"/>
        <v>143943</v>
      </c>
      <c r="Y362" s="65">
        <f t="shared" si="47"/>
        <v>1298715</v>
      </c>
    </row>
    <row r="363" spans="1:25" s="21" customFormat="1" ht="12.75" customHeight="1" x14ac:dyDescent="0.25">
      <c r="A363" s="24" t="s">
        <v>162</v>
      </c>
      <c r="B363" s="25"/>
      <c r="C363" s="27">
        <f t="shared" si="43"/>
        <v>147415</v>
      </c>
      <c r="D363" s="21">
        <v>16969</v>
      </c>
      <c r="E363" s="21">
        <v>49300</v>
      </c>
      <c r="F363" s="21">
        <v>0</v>
      </c>
      <c r="G363" s="89">
        <f>245452-(28804+2163+50+751)</f>
        <v>213684</v>
      </c>
      <c r="H363" s="65">
        <v>0</v>
      </c>
      <c r="I363" s="34">
        <f>116103+2163-J363</f>
        <v>105631</v>
      </c>
      <c r="J363" s="21">
        <f>12532+103</f>
        <v>12635</v>
      </c>
      <c r="K363" s="27">
        <f>516914+751</f>
        <v>517665</v>
      </c>
      <c r="L363" s="21">
        <v>0</v>
      </c>
      <c r="M363" s="21">
        <v>0</v>
      </c>
      <c r="N363" s="68">
        <f t="shared" si="44"/>
        <v>635931</v>
      </c>
      <c r="O363" s="63">
        <f>1789+64936+824+46886</f>
        <v>114435</v>
      </c>
      <c r="P363" s="21">
        <f>23632+164869+2559+42381</f>
        <v>233441</v>
      </c>
      <c r="Q363" s="21">
        <v>0</v>
      </c>
      <c r="R363" s="89">
        <f t="shared" si="45"/>
        <v>320650</v>
      </c>
      <c r="S363" s="65">
        <f t="shared" si="39"/>
        <v>1170265</v>
      </c>
      <c r="T363" s="34">
        <f>73696+50+0</f>
        <v>73746</v>
      </c>
      <c r="U363" s="34">
        <v>73710</v>
      </c>
      <c r="V363" s="34">
        <v>1623</v>
      </c>
      <c r="W363" s="34">
        <v>0</v>
      </c>
      <c r="X363" s="89">
        <f t="shared" si="46"/>
        <v>149079</v>
      </c>
      <c r="Y363" s="65">
        <f t="shared" si="47"/>
        <v>1319344</v>
      </c>
    </row>
    <row r="364" spans="1:25" s="21" customFormat="1" ht="12.75" customHeight="1" x14ac:dyDescent="0.25">
      <c r="A364" s="24" t="s">
        <v>163</v>
      </c>
      <c r="B364" s="25"/>
      <c r="C364" s="27">
        <f t="shared" si="43"/>
        <v>146160</v>
      </c>
      <c r="D364" s="21">
        <v>16824</v>
      </c>
      <c r="E364" s="21">
        <v>49477</v>
      </c>
      <c r="F364" s="21">
        <v>0</v>
      </c>
      <c r="G364" s="89">
        <f>244668-(29298+2118+49+742)</f>
        <v>212461</v>
      </c>
      <c r="H364" s="65">
        <v>0</v>
      </c>
      <c r="I364" s="34">
        <f>115603+2118-J364</f>
        <v>105219</v>
      </c>
      <c r="J364" s="21">
        <f>12403+99</f>
        <v>12502</v>
      </c>
      <c r="K364" s="27">
        <f>515789+742</f>
        <v>516531</v>
      </c>
      <c r="L364" s="21">
        <v>0</v>
      </c>
      <c r="M364" s="21">
        <v>0</v>
      </c>
      <c r="N364" s="68">
        <f t="shared" si="44"/>
        <v>634252</v>
      </c>
      <c r="O364" s="63">
        <f>1816+65446+870+47874</f>
        <v>116006</v>
      </c>
      <c r="P364" s="21">
        <f>23917+169177+2695+44094</f>
        <v>239883</v>
      </c>
      <c r="Q364" s="21">
        <v>0</v>
      </c>
      <c r="R364" s="89">
        <f t="shared" si="45"/>
        <v>347876</v>
      </c>
      <c r="S364" s="65">
        <f t="shared" si="39"/>
        <v>1194589</v>
      </c>
      <c r="T364" s="34">
        <f>74413+49+0</f>
        <v>74462</v>
      </c>
      <c r="U364" s="34">
        <v>73929</v>
      </c>
      <c r="V364" s="34">
        <v>1581</v>
      </c>
      <c r="W364" s="34">
        <v>0</v>
      </c>
      <c r="X364" s="89">
        <f t="shared" si="46"/>
        <v>149972</v>
      </c>
      <c r="Y364" s="65">
        <f t="shared" si="47"/>
        <v>1344561</v>
      </c>
    </row>
    <row r="365" spans="1:25" s="21" customFormat="1" ht="12.75" customHeight="1" x14ac:dyDescent="0.25">
      <c r="A365" s="24" t="s">
        <v>164</v>
      </c>
      <c r="B365" s="25"/>
      <c r="C365" s="27">
        <f t="shared" si="43"/>
        <v>146551</v>
      </c>
      <c r="D365" s="21">
        <v>16687</v>
      </c>
      <c r="E365" s="21">
        <v>49495</v>
      </c>
      <c r="F365" s="21">
        <v>0</v>
      </c>
      <c r="G365" s="89">
        <f>245272-(29622+2120+53+744)</f>
        <v>212733</v>
      </c>
      <c r="H365" s="65">
        <v>0</v>
      </c>
      <c r="I365" s="34">
        <f>116356+2120-J365</f>
        <v>105880</v>
      </c>
      <c r="J365" s="21">
        <f>12494+102</f>
        <v>12596</v>
      </c>
      <c r="K365" s="27">
        <f>517825+744</f>
        <v>518569</v>
      </c>
      <c r="L365" s="21">
        <v>0</v>
      </c>
      <c r="M365" s="21">
        <v>0</v>
      </c>
      <c r="N365" s="68">
        <f t="shared" si="44"/>
        <v>637045</v>
      </c>
      <c r="O365" s="63">
        <f>1811+65960+922+48197</f>
        <v>116890</v>
      </c>
      <c r="P365" s="21">
        <f>24111+174048+2778+44728</f>
        <v>245665</v>
      </c>
      <c r="Q365" s="21">
        <v>0</v>
      </c>
      <c r="R365" s="89">
        <f t="shared" si="45"/>
        <v>355889</v>
      </c>
      <c r="S365" s="65">
        <f t="shared" si="39"/>
        <v>1205667</v>
      </c>
      <c r="T365" s="34">
        <f>74679+53+0</f>
        <v>74732</v>
      </c>
      <c r="U365" s="34">
        <v>74494</v>
      </c>
      <c r="V365" s="34">
        <v>1496</v>
      </c>
      <c r="W365" s="34">
        <v>0</v>
      </c>
      <c r="X365" s="89">
        <f t="shared" si="46"/>
        <v>150722</v>
      </c>
      <c r="Y365" s="65">
        <f t="shared" si="47"/>
        <v>1356389</v>
      </c>
    </row>
    <row r="366" spans="1:25" s="21" customFormat="1" ht="12.75" customHeight="1" x14ac:dyDescent="0.25">
      <c r="A366" s="24" t="s">
        <v>165</v>
      </c>
      <c r="B366" s="25"/>
      <c r="C366" s="27">
        <f t="shared" si="43"/>
        <v>147267</v>
      </c>
      <c r="D366" s="21">
        <v>16709</v>
      </c>
      <c r="E366" s="21">
        <v>49600</v>
      </c>
      <c r="F366" s="21">
        <v>0</v>
      </c>
      <c r="G366" s="89">
        <f>246909-(30377+2146+55+755)</f>
        <v>213576</v>
      </c>
      <c r="H366" s="65">
        <v>0</v>
      </c>
      <c r="I366" s="34">
        <f>117609+2146-J366</f>
        <v>106604</v>
      </c>
      <c r="J366" s="21">
        <f>13046+105</f>
        <v>13151</v>
      </c>
      <c r="K366" s="27">
        <f>520883+755</f>
        <v>521638</v>
      </c>
      <c r="L366" s="21">
        <v>0</v>
      </c>
      <c r="M366" s="21">
        <v>0</v>
      </c>
      <c r="N366" s="68">
        <f t="shared" si="44"/>
        <v>641393</v>
      </c>
      <c r="O366" s="63">
        <f>1861+66362+976+48347</f>
        <v>117546</v>
      </c>
      <c r="P366" s="21">
        <f>24604+178731+2936+45232</f>
        <v>251503</v>
      </c>
      <c r="Q366" s="21">
        <v>0</v>
      </c>
      <c r="R366" s="89">
        <f t="shared" si="45"/>
        <v>362555</v>
      </c>
      <c r="S366" s="65">
        <f t="shared" si="39"/>
        <v>1217524</v>
      </c>
      <c r="T366" s="34">
        <f>75132+55+0</f>
        <v>75187</v>
      </c>
      <c r="U366" s="34">
        <v>75205</v>
      </c>
      <c r="V366" s="34">
        <v>1568</v>
      </c>
      <c r="W366" s="34">
        <v>0</v>
      </c>
      <c r="X366" s="89">
        <f t="shared" si="46"/>
        <v>151960</v>
      </c>
      <c r="Y366" s="65">
        <f t="shared" si="47"/>
        <v>1369484</v>
      </c>
    </row>
    <row r="367" spans="1:25" s="21" customFormat="1" ht="12.75" customHeight="1" x14ac:dyDescent="0.25">
      <c r="A367" s="24" t="s">
        <v>166</v>
      </c>
      <c r="B367" s="25"/>
      <c r="C367" s="27">
        <f t="shared" si="43"/>
        <v>151079</v>
      </c>
      <c r="D367" s="21">
        <v>16913</v>
      </c>
      <c r="E367" s="21">
        <v>50213</v>
      </c>
      <c r="F367" s="21">
        <v>0</v>
      </c>
      <c r="G367" s="89">
        <f>253294-(31947+2301+59+782)</f>
        <v>218205</v>
      </c>
      <c r="H367" s="65">
        <v>0</v>
      </c>
      <c r="I367" s="34">
        <f>125871+2301-J367</f>
        <v>113268</v>
      </c>
      <c r="J367" s="21">
        <f>14771+133</f>
        <v>14904</v>
      </c>
      <c r="K367" s="27">
        <f>539159+782</f>
        <v>539941</v>
      </c>
      <c r="L367" s="21">
        <v>0</v>
      </c>
      <c r="M367" s="21">
        <v>0</v>
      </c>
      <c r="N367" s="68">
        <f t="shared" si="44"/>
        <v>668113</v>
      </c>
      <c r="O367" s="63">
        <f>68419+1915+49993+1014</f>
        <v>121341</v>
      </c>
      <c r="P367" s="21">
        <f>192159+25865+47208+3153</f>
        <v>268385</v>
      </c>
      <c r="Q367" s="21">
        <v>0</v>
      </c>
      <c r="R367" s="89">
        <f t="shared" si="45"/>
        <v>369049</v>
      </c>
      <c r="S367" s="65">
        <f t="shared" si="39"/>
        <v>1255367</v>
      </c>
      <c r="T367" s="34">
        <f>76387+59+0</f>
        <v>76446</v>
      </c>
      <c r="U367" s="34">
        <v>76274</v>
      </c>
      <c r="V367" s="34">
        <v>1692</v>
      </c>
      <c r="W367" s="34">
        <v>0</v>
      </c>
      <c r="X367" s="89">
        <f t="shared" si="46"/>
        <v>154412</v>
      </c>
      <c r="Y367" s="65">
        <f t="shared" si="47"/>
        <v>1409779</v>
      </c>
    </row>
    <row r="368" spans="1:25" s="21" customFormat="1" ht="12.75" customHeight="1" x14ac:dyDescent="0.25">
      <c r="A368" s="24" t="s">
        <v>167</v>
      </c>
      <c r="B368" s="25"/>
      <c r="C368" s="27">
        <f>IF((G368-D368-E368)&gt;C162,C162,G368-D368-E368)</f>
        <v>151164</v>
      </c>
      <c r="D368" s="21">
        <v>17252</v>
      </c>
      <c r="E368" s="21">
        <v>50972</v>
      </c>
      <c r="F368" s="21">
        <v>0</v>
      </c>
      <c r="G368" s="89">
        <f>255694-(33094+2367+61+784)</f>
        <v>219388</v>
      </c>
      <c r="H368" s="65">
        <v>0</v>
      </c>
      <c r="I368" s="34">
        <f>129843+2367-J368</f>
        <v>116230</v>
      </c>
      <c r="J368" s="21">
        <f>15847+133</f>
        <v>15980</v>
      </c>
      <c r="K368" s="27">
        <f>547375+784</f>
        <v>548159</v>
      </c>
      <c r="L368" s="21">
        <v>0</v>
      </c>
      <c r="M368" s="21">
        <v>0</v>
      </c>
      <c r="N368" s="68">
        <f t="shared" si="44"/>
        <v>680369</v>
      </c>
      <c r="O368" s="63">
        <f>69613+2015+50600+1057</f>
        <v>123285</v>
      </c>
      <c r="P368" s="21">
        <f>199038+26684+48084+3338</f>
        <v>277144</v>
      </c>
      <c r="Q368" s="21">
        <v>0</v>
      </c>
      <c r="R368" s="89">
        <f t="shared" si="45"/>
        <v>389726</v>
      </c>
      <c r="S368" s="65">
        <f t="shared" si="39"/>
        <v>1289483</v>
      </c>
      <c r="T368" s="34">
        <f>77024+61+0</f>
        <v>77085</v>
      </c>
      <c r="U368" s="34">
        <v>76281</v>
      </c>
      <c r="V368" s="34">
        <v>1783</v>
      </c>
      <c r="W368" s="34">
        <v>0</v>
      </c>
      <c r="X368" s="89">
        <f t="shared" si="46"/>
        <v>155149</v>
      </c>
      <c r="Y368" s="65">
        <f t="shared" si="47"/>
        <v>1444632</v>
      </c>
    </row>
    <row r="369" spans="1:25" s="21" customFormat="1" ht="12.75" customHeight="1" x14ac:dyDescent="0.25">
      <c r="A369" s="24"/>
      <c r="B369" s="25"/>
      <c r="C369" s="27"/>
      <c r="G369" s="89"/>
      <c r="H369" s="65"/>
      <c r="I369" s="34"/>
      <c r="K369" s="27"/>
      <c r="L369" s="27"/>
      <c r="M369" s="21">
        <v>0</v>
      </c>
      <c r="N369" s="68"/>
      <c r="O369" s="63"/>
      <c r="R369" s="89"/>
      <c r="S369" s="65">
        <f t="shared" si="39"/>
        <v>0</v>
      </c>
      <c r="T369" s="34"/>
      <c r="U369" s="34"/>
      <c r="V369" s="34"/>
      <c r="W369" s="34"/>
      <c r="X369" s="89"/>
      <c r="Y369" s="65"/>
    </row>
    <row r="370" spans="1:25" s="21" customFormat="1" ht="12.75" customHeight="1" x14ac:dyDescent="0.25">
      <c r="A370" s="24" t="s">
        <v>169</v>
      </c>
      <c r="B370" s="25"/>
      <c r="C370" s="27">
        <f t="shared" ref="C370:C381" si="48">IF((G370-D370-E370)&gt;C162,C162,G370-D370-E370)</f>
        <v>151617</v>
      </c>
      <c r="D370" s="21">
        <v>17285</v>
      </c>
      <c r="E370" s="21">
        <v>51370</v>
      </c>
      <c r="F370" s="21">
        <v>0</v>
      </c>
      <c r="G370" s="89">
        <f>257676-(34113+2441+61+789)</f>
        <v>220272</v>
      </c>
      <c r="H370" s="65">
        <v>0</v>
      </c>
      <c r="I370" s="34">
        <f>133002+2441-J370</f>
        <v>118550</v>
      </c>
      <c r="J370" s="21">
        <f>16745+148</f>
        <v>16893</v>
      </c>
      <c r="K370" s="27">
        <f>554670+789</f>
        <v>555459</v>
      </c>
      <c r="L370" s="27">
        <v>0</v>
      </c>
      <c r="M370" s="21">
        <v>0</v>
      </c>
      <c r="N370" s="68">
        <f>SUM(I370:M370)</f>
        <v>690902</v>
      </c>
      <c r="O370" s="63">
        <f>70627+2088+51109+1089</f>
        <v>124913</v>
      </c>
      <c r="P370" s="21">
        <f>205516+27481+48847+3455</f>
        <v>285299</v>
      </c>
      <c r="Q370" s="21">
        <v>0</v>
      </c>
      <c r="R370" s="89">
        <f t="shared" ref="R370:R381" si="49">SUM(O370:Q370)</f>
        <v>410212</v>
      </c>
      <c r="S370" s="65">
        <f t="shared" si="39"/>
        <v>1321386</v>
      </c>
      <c r="T370" s="34">
        <f>77616+61+0</f>
        <v>77677</v>
      </c>
      <c r="U370" s="34">
        <v>76185</v>
      </c>
      <c r="V370" s="34">
        <v>1860</v>
      </c>
      <c r="W370" s="34">
        <v>0</v>
      </c>
      <c r="X370" s="89">
        <f t="shared" si="46"/>
        <v>155722</v>
      </c>
      <c r="Y370" s="65">
        <f t="shared" ref="Y370:Y381" si="50">X370+S370</f>
        <v>1477108</v>
      </c>
    </row>
    <row r="371" spans="1:25" s="21" customFormat="1" ht="12.75" customHeight="1" x14ac:dyDescent="0.25">
      <c r="A371" s="24" t="s">
        <v>170</v>
      </c>
      <c r="B371" s="25"/>
      <c r="C371" s="27">
        <f t="shared" si="48"/>
        <v>152229</v>
      </c>
      <c r="D371" s="21">
        <v>17254</v>
      </c>
      <c r="E371" s="21">
        <v>51567</v>
      </c>
      <c r="F371" s="21">
        <v>0</v>
      </c>
      <c r="G371" s="89">
        <f>260228-(35841+2500+61+776)</f>
        <v>221050</v>
      </c>
      <c r="H371" s="65">
        <v>0</v>
      </c>
      <c r="I371" s="34">
        <f>135422+2500-J371</f>
        <v>120561</v>
      </c>
      <c r="J371" s="21">
        <f>17207+154</f>
        <v>17361</v>
      </c>
      <c r="K371" s="27">
        <f>558047+776</f>
        <v>558823</v>
      </c>
      <c r="L371" s="27">
        <v>0</v>
      </c>
      <c r="M371" s="21">
        <v>0</v>
      </c>
      <c r="N371" s="68">
        <f t="shared" ref="N371:N381" si="51">SUM(I371:M371)</f>
        <v>696745</v>
      </c>
      <c r="O371" s="63">
        <f>2187+71309+1158+51467</f>
        <v>126121</v>
      </c>
      <c r="P371" s="21">
        <f>28816+212562+3680+49954</f>
        <v>295012</v>
      </c>
      <c r="Q371" s="21">
        <v>0</v>
      </c>
      <c r="R371" s="89">
        <f t="shared" si="49"/>
        <v>421133</v>
      </c>
      <c r="S371" s="65">
        <f t="shared" si="39"/>
        <v>1338928</v>
      </c>
      <c r="T371" s="34">
        <f>77677+61+0</f>
        <v>77738</v>
      </c>
      <c r="U371" s="34">
        <v>76553</v>
      </c>
      <c r="V371" s="34">
        <v>1643</v>
      </c>
      <c r="W371" s="34">
        <v>0</v>
      </c>
      <c r="X371" s="89">
        <f t="shared" si="46"/>
        <v>155934</v>
      </c>
      <c r="Y371" s="65">
        <f t="shared" si="50"/>
        <v>1494862</v>
      </c>
    </row>
    <row r="372" spans="1:25" s="21" customFormat="1" ht="12.75" customHeight="1" x14ac:dyDescent="0.25">
      <c r="A372" s="24" t="s">
        <v>171</v>
      </c>
      <c r="B372" s="25"/>
      <c r="C372" s="27">
        <f t="shared" si="48"/>
        <v>152498</v>
      </c>
      <c r="D372" s="21">
        <v>17165</v>
      </c>
      <c r="E372" s="21">
        <v>51809</v>
      </c>
      <c r="F372" s="21">
        <v>0</v>
      </c>
      <c r="G372" s="89">
        <f>261578-(36696+2566+57+787)</f>
        <v>221472</v>
      </c>
      <c r="H372" s="65">
        <v>0</v>
      </c>
      <c r="I372" s="34">
        <f>137316+2566-J372</f>
        <v>122502</v>
      </c>
      <c r="J372" s="21">
        <f>17221+159</f>
        <v>17380</v>
      </c>
      <c r="K372" s="27">
        <f>563705+787</f>
        <v>564492</v>
      </c>
      <c r="L372" s="27">
        <v>0</v>
      </c>
      <c r="M372" s="21">
        <v>0</v>
      </c>
      <c r="N372" s="68">
        <f t="shared" si="51"/>
        <v>704374</v>
      </c>
      <c r="O372" s="63">
        <f>2229+72291+1191+51922</f>
        <v>127633</v>
      </c>
      <c r="P372" s="21">
        <f>29500+219478+3776+50869</f>
        <v>303623</v>
      </c>
      <c r="Q372" s="21">
        <v>0</v>
      </c>
      <c r="R372" s="89">
        <f t="shared" si="49"/>
        <v>431256</v>
      </c>
      <c r="S372" s="65">
        <f t="shared" si="39"/>
        <v>1357102</v>
      </c>
      <c r="T372" s="34">
        <f>77861+57+0</f>
        <v>77918</v>
      </c>
      <c r="U372" s="34">
        <v>76622</v>
      </c>
      <c r="V372" s="34">
        <v>1490</v>
      </c>
      <c r="W372" s="34">
        <v>0</v>
      </c>
      <c r="X372" s="89">
        <f t="shared" si="46"/>
        <v>156030</v>
      </c>
      <c r="Y372" s="65">
        <f t="shared" si="50"/>
        <v>1513132</v>
      </c>
    </row>
    <row r="373" spans="1:25" s="21" customFormat="1" ht="12.75" customHeight="1" x14ac:dyDescent="0.25">
      <c r="A373" s="24" t="s">
        <v>172</v>
      </c>
      <c r="B373" s="25"/>
      <c r="C373" s="27">
        <f t="shared" si="48"/>
        <v>152969</v>
      </c>
      <c r="D373" s="21">
        <v>17061</v>
      </c>
      <c r="E373" s="21">
        <v>52042</v>
      </c>
      <c r="F373" s="21">
        <v>0</v>
      </c>
      <c r="G373" s="89">
        <f>263199-(37639+2636+60+792)</f>
        <v>222072</v>
      </c>
      <c r="H373" s="65">
        <v>0</v>
      </c>
      <c r="I373" s="34">
        <f>139962+2636-J373</f>
        <v>124787</v>
      </c>
      <c r="J373" s="21">
        <f>17643+168</f>
        <v>17811</v>
      </c>
      <c r="K373" s="27">
        <f>570387+792</f>
        <v>571179</v>
      </c>
      <c r="L373" s="27">
        <v>0</v>
      </c>
      <c r="M373" s="21">
        <v>0</v>
      </c>
      <c r="N373" s="68">
        <f t="shared" si="51"/>
        <v>713777</v>
      </c>
      <c r="O373" s="63">
        <f>2280+73314+1188+52408</f>
        <v>129190</v>
      </c>
      <c r="P373" s="21">
        <f>30245+227426+3926+51351</f>
        <v>312948</v>
      </c>
      <c r="Q373" s="21">
        <v>0</v>
      </c>
      <c r="R373" s="89">
        <f t="shared" si="49"/>
        <v>442138</v>
      </c>
      <c r="S373" s="65">
        <f t="shared" si="39"/>
        <v>1377987</v>
      </c>
      <c r="T373" s="34">
        <f>77774+60+0</f>
        <v>77834</v>
      </c>
      <c r="U373" s="34">
        <v>76975</v>
      </c>
      <c r="V373" s="34">
        <v>1435</v>
      </c>
      <c r="W373" s="34">
        <v>0</v>
      </c>
      <c r="X373" s="89">
        <f t="shared" si="46"/>
        <v>156244</v>
      </c>
      <c r="Y373" s="65">
        <f t="shared" si="50"/>
        <v>1534231</v>
      </c>
    </row>
    <row r="374" spans="1:25" s="21" customFormat="1" ht="12.75" customHeight="1" x14ac:dyDescent="0.25">
      <c r="A374" s="24" t="s">
        <v>173</v>
      </c>
      <c r="B374" s="25"/>
      <c r="C374" s="27">
        <f t="shared" si="48"/>
        <v>153170</v>
      </c>
      <c r="D374" s="21">
        <v>17021</v>
      </c>
      <c r="E374" s="21">
        <v>52339</v>
      </c>
      <c r="F374" s="21">
        <v>0</v>
      </c>
      <c r="G374" s="89">
        <f>264739-(38625+2712+62+810)</f>
        <v>222530</v>
      </c>
      <c r="H374" s="65">
        <v>0</v>
      </c>
      <c r="I374" s="34">
        <f>141849+2712-J374</f>
        <v>126373</v>
      </c>
      <c r="J374" s="21">
        <f>18002+186</f>
        <v>18188</v>
      </c>
      <c r="K374" s="27">
        <f>575309+810</f>
        <v>576119</v>
      </c>
      <c r="L374" s="27">
        <v>0</v>
      </c>
      <c r="M374" s="21">
        <v>0</v>
      </c>
      <c r="N374" s="68">
        <f t="shared" si="51"/>
        <v>720680</v>
      </c>
      <c r="O374" s="63">
        <f>2352+74306+1216+52916</f>
        <v>130790</v>
      </c>
      <c r="P374" s="21">
        <f>31009+233874+4048+51444</f>
        <v>320375</v>
      </c>
      <c r="Q374" s="21">
        <v>0</v>
      </c>
      <c r="R374" s="89">
        <f t="shared" si="49"/>
        <v>451165</v>
      </c>
      <c r="S374" s="65">
        <f t="shared" si="39"/>
        <v>1394375</v>
      </c>
      <c r="T374" s="34">
        <f>77848+62+0</f>
        <v>77910</v>
      </c>
      <c r="U374" s="34">
        <v>77511</v>
      </c>
      <c r="V374" s="34">
        <v>1407</v>
      </c>
      <c r="W374" s="34">
        <v>0</v>
      </c>
      <c r="X374" s="89">
        <f t="shared" si="46"/>
        <v>156828</v>
      </c>
      <c r="Y374" s="65">
        <f t="shared" si="50"/>
        <v>1551203</v>
      </c>
    </row>
    <row r="375" spans="1:25" s="21" customFormat="1" ht="12.75" customHeight="1" x14ac:dyDescent="0.25">
      <c r="A375" s="24" t="s">
        <v>174</v>
      </c>
      <c r="B375" s="25"/>
      <c r="C375" s="27">
        <f t="shared" si="48"/>
        <v>153687</v>
      </c>
      <c r="D375" s="21">
        <v>16950</v>
      </c>
      <c r="E375" s="21">
        <v>52698</v>
      </c>
      <c r="F375" s="21">
        <v>0</v>
      </c>
      <c r="G375" s="89">
        <f>266492-(39494+2777+64+822)</f>
        <v>223335</v>
      </c>
      <c r="H375" s="65">
        <v>0</v>
      </c>
      <c r="I375" s="34">
        <f>144213+2777-J375</f>
        <v>128448</v>
      </c>
      <c r="J375" s="21">
        <f>18344+198</f>
        <v>18542</v>
      </c>
      <c r="K375" s="27">
        <f>581119+822</f>
        <v>581941</v>
      </c>
      <c r="L375" s="27">
        <v>0</v>
      </c>
      <c r="M375" s="21">
        <v>0</v>
      </c>
      <c r="N375" s="68">
        <f t="shared" si="51"/>
        <v>728931</v>
      </c>
      <c r="O375" s="63">
        <f>2367+75542+1247+53712</f>
        <v>132868</v>
      </c>
      <c r="P375" s="21">
        <f>31675+242371+4205+53504</f>
        <v>331755</v>
      </c>
      <c r="Q375" s="21">
        <v>0</v>
      </c>
      <c r="R375" s="89">
        <f t="shared" si="49"/>
        <v>464623</v>
      </c>
      <c r="S375" s="65">
        <f t="shared" si="39"/>
        <v>1416889</v>
      </c>
      <c r="T375" s="34">
        <f>78459+64+0</f>
        <v>78523</v>
      </c>
      <c r="U375" s="34">
        <v>78398</v>
      </c>
      <c r="V375" s="34">
        <v>1459</v>
      </c>
      <c r="W375" s="34">
        <v>0</v>
      </c>
      <c r="X375" s="89">
        <f t="shared" si="46"/>
        <v>158380</v>
      </c>
      <c r="Y375" s="65">
        <f t="shared" si="50"/>
        <v>1575269</v>
      </c>
    </row>
    <row r="376" spans="1:25" s="21" customFormat="1" ht="12.75" customHeight="1" x14ac:dyDescent="0.25">
      <c r="A376" s="24" t="s">
        <v>175</v>
      </c>
      <c r="B376" s="25"/>
      <c r="C376" s="27">
        <f t="shared" si="48"/>
        <v>154009</v>
      </c>
      <c r="D376" s="21">
        <v>16625</v>
      </c>
      <c r="E376" s="21">
        <v>52898</v>
      </c>
      <c r="F376" s="21">
        <v>0</v>
      </c>
      <c r="G376" s="89">
        <f>268045-(40806+2810+65+832)</f>
        <v>223532</v>
      </c>
      <c r="H376" s="65">
        <v>0</v>
      </c>
      <c r="I376" s="34">
        <f>146481+2810-J376</f>
        <v>130564</v>
      </c>
      <c r="J376" s="21">
        <f>18525+202</f>
        <v>18727</v>
      </c>
      <c r="K376" s="27">
        <f>586688+832</f>
        <v>587520</v>
      </c>
      <c r="L376" s="27">
        <v>0</v>
      </c>
      <c r="M376" s="21">
        <v>0</v>
      </c>
      <c r="N376" s="68">
        <f t="shared" si="51"/>
        <v>736811</v>
      </c>
      <c r="O376" s="63">
        <f>2447+76708+1290+54700</f>
        <v>135145</v>
      </c>
      <c r="P376" s="21">
        <f>32691+253511+4378+56772</f>
        <v>347352</v>
      </c>
      <c r="Q376" s="21">
        <v>0</v>
      </c>
      <c r="R376" s="89">
        <f t="shared" si="49"/>
        <v>482497</v>
      </c>
      <c r="S376" s="65">
        <f t="shared" si="39"/>
        <v>1442840</v>
      </c>
      <c r="T376" s="34">
        <f>79590+65+0</f>
        <v>79655</v>
      </c>
      <c r="U376" s="34">
        <v>79219</v>
      </c>
      <c r="V376" s="34">
        <v>1498</v>
      </c>
      <c r="W376" s="34">
        <v>0</v>
      </c>
      <c r="X376" s="89">
        <f t="shared" si="46"/>
        <v>160372</v>
      </c>
      <c r="Y376" s="65">
        <f t="shared" si="50"/>
        <v>1603212</v>
      </c>
    </row>
    <row r="377" spans="1:25" s="21" customFormat="1" ht="12.75" customHeight="1" x14ac:dyDescent="0.25">
      <c r="A377" s="24" t="s">
        <v>176</v>
      </c>
      <c r="B377" s="25"/>
      <c r="C377" s="27">
        <f t="shared" si="48"/>
        <v>153948</v>
      </c>
      <c r="D377" s="21">
        <v>16331</v>
      </c>
      <c r="E377" s="21">
        <v>53058</v>
      </c>
      <c r="F377" s="21">
        <v>0</v>
      </c>
      <c r="G377" s="89">
        <f>269398-(42244+2898+65+854)</f>
        <v>223337</v>
      </c>
      <c r="H377" s="65">
        <v>0</v>
      </c>
      <c r="I377" s="34">
        <f>148040+2898-J377</f>
        <v>132025</v>
      </c>
      <c r="J377" s="21">
        <f>18706+207</f>
        <v>18913</v>
      </c>
      <c r="K377" s="27">
        <f>590038+854</f>
        <v>590892</v>
      </c>
      <c r="L377" s="27">
        <v>0</v>
      </c>
      <c r="M377" s="21">
        <v>0</v>
      </c>
      <c r="N377" s="68">
        <f t="shared" si="51"/>
        <v>741830</v>
      </c>
      <c r="O377" s="63">
        <f>2529+77116+1327+55334</f>
        <v>136306</v>
      </c>
      <c r="P377" s="21">
        <f>33804+258675+4584+57702</f>
        <v>354765</v>
      </c>
      <c r="Q377" s="21">
        <v>0</v>
      </c>
      <c r="R377" s="89">
        <f t="shared" si="49"/>
        <v>491071</v>
      </c>
      <c r="S377" s="65">
        <f t="shared" si="39"/>
        <v>1456238</v>
      </c>
      <c r="T377" s="34">
        <f>79994+65+0</f>
        <v>80059</v>
      </c>
      <c r="U377" s="34">
        <v>79683</v>
      </c>
      <c r="V377" s="34">
        <v>1537</v>
      </c>
      <c r="W377" s="34">
        <v>0</v>
      </c>
      <c r="X377" s="89">
        <f t="shared" si="46"/>
        <v>161279</v>
      </c>
      <c r="Y377" s="65">
        <f t="shared" si="50"/>
        <v>1617517</v>
      </c>
    </row>
    <row r="378" spans="1:25" s="21" customFormat="1" ht="12.75" customHeight="1" x14ac:dyDescent="0.25">
      <c r="A378" s="24" t="s">
        <v>177</v>
      </c>
      <c r="B378" s="25"/>
      <c r="C378" s="27">
        <f t="shared" si="48"/>
        <v>154632</v>
      </c>
      <c r="D378" s="21">
        <v>16112</v>
      </c>
      <c r="E378" s="21">
        <v>53165</v>
      </c>
      <c r="F378" s="21">
        <v>0</v>
      </c>
      <c r="G378" s="89">
        <f>271482-(43687+2959+67+860)</f>
        <v>223909</v>
      </c>
      <c r="H378" s="65">
        <v>0</v>
      </c>
      <c r="I378" s="34">
        <f>150158+2959-J378</f>
        <v>134004</v>
      </c>
      <c r="J378" s="21">
        <f>18895+218</f>
        <v>19113</v>
      </c>
      <c r="K378" s="27">
        <f>594164+860</f>
        <v>595024</v>
      </c>
      <c r="L378" s="27">
        <v>0</v>
      </c>
      <c r="M378" s="21">
        <v>0</v>
      </c>
      <c r="N378" s="68">
        <f t="shared" si="51"/>
        <v>748141</v>
      </c>
      <c r="O378" s="63">
        <f>2615+77653+1375+56057</f>
        <v>137700</v>
      </c>
      <c r="P378" s="21">
        <f>34867+264697+4830+58373</f>
        <v>362767</v>
      </c>
      <c r="Q378" s="21">
        <v>0</v>
      </c>
      <c r="R378" s="89">
        <f t="shared" si="49"/>
        <v>500467</v>
      </c>
      <c r="S378" s="65">
        <f t="shared" si="39"/>
        <v>1472517</v>
      </c>
      <c r="T378" s="34">
        <f>80444+67+0</f>
        <v>80511</v>
      </c>
      <c r="U378" s="34">
        <v>80188</v>
      </c>
      <c r="V378" s="34">
        <v>1568</v>
      </c>
      <c r="W378" s="34">
        <v>0</v>
      </c>
      <c r="X378" s="89">
        <f t="shared" si="46"/>
        <v>162267</v>
      </c>
      <c r="Y378" s="65">
        <f t="shared" si="50"/>
        <v>1634784</v>
      </c>
    </row>
    <row r="379" spans="1:25" s="21" customFormat="1" ht="12.75" customHeight="1" x14ac:dyDescent="0.25">
      <c r="A379" s="24" t="s">
        <v>178</v>
      </c>
      <c r="B379" s="25"/>
      <c r="C379" s="27">
        <f t="shared" si="48"/>
        <v>154983</v>
      </c>
      <c r="D379" s="21">
        <v>16296</v>
      </c>
      <c r="E379" s="21">
        <v>53221</v>
      </c>
      <c r="F379" s="21">
        <v>0</v>
      </c>
      <c r="G379" s="89">
        <f>273513-(45073+3013+68+859)</f>
        <v>224500</v>
      </c>
      <c r="H379" s="65">
        <v>0</v>
      </c>
      <c r="I379" s="34">
        <f>151528+3013-J379</f>
        <v>135213</v>
      </c>
      <c r="J379" s="21">
        <f>19100+228</f>
        <v>19328</v>
      </c>
      <c r="K379" s="27">
        <f>597671+859</f>
        <v>598530</v>
      </c>
      <c r="L379" s="27">
        <v>0</v>
      </c>
      <c r="M379" s="21">
        <v>0</v>
      </c>
      <c r="N379" s="68">
        <f t="shared" si="51"/>
        <v>753071</v>
      </c>
      <c r="O379" s="63">
        <f>2675+78285+1452+56741</f>
        <v>139153</v>
      </c>
      <c r="P379" s="21">
        <f>35946+269691+5000+59131</f>
        <v>369768</v>
      </c>
      <c r="Q379" s="21">
        <v>0</v>
      </c>
      <c r="R379" s="89">
        <f t="shared" si="49"/>
        <v>508921</v>
      </c>
      <c r="S379" s="65">
        <f t="shared" si="39"/>
        <v>1486492</v>
      </c>
      <c r="T379" s="34">
        <f>80933+68+0</f>
        <v>81001</v>
      </c>
      <c r="U379" s="34">
        <v>80498</v>
      </c>
      <c r="V379" s="34">
        <v>1564</v>
      </c>
      <c r="W379" s="34">
        <v>0</v>
      </c>
      <c r="X379" s="89">
        <f t="shared" si="46"/>
        <v>163063</v>
      </c>
      <c r="Y379" s="65">
        <f t="shared" si="50"/>
        <v>1649555</v>
      </c>
    </row>
    <row r="380" spans="1:25" s="21" customFormat="1" ht="12.75" customHeight="1" x14ac:dyDescent="0.25">
      <c r="A380" s="24" t="s">
        <v>179</v>
      </c>
      <c r="B380" s="25"/>
      <c r="C380" s="27">
        <f t="shared" si="48"/>
        <v>155277</v>
      </c>
      <c r="D380" s="21">
        <v>16415</v>
      </c>
      <c r="E380" s="21">
        <v>53350</v>
      </c>
      <c r="F380" s="21">
        <v>0</v>
      </c>
      <c r="G380" s="89">
        <f>275092-(46041+3083+69+857)</f>
        <v>225042</v>
      </c>
      <c r="H380" s="65">
        <v>0</v>
      </c>
      <c r="I380" s="34">
        <f>152813+3083-J380</f>
        <v>136338</v>
      </c>
      <c r="J380" s="21">
        <f>19318+240</f>
        <v>19558</v>
      </c>
      <c r="K380" s="27">
        <f>600564+857</f>
        <v>601421</v>
      </c>
      <c r="L380" s="27">
        <v>0</v>
      </c>
      <c r="M380" s="21">
        <v>0</v>
      </c>
      <c r="N380" s="68">
        <f t="shared" si="51"/>
        <v>757317</v>
      </c>
      <c r="O380" s="63">
        <f>2727+78933+1488+57383</f>
        <v>140531</v>
      </c>
      <c r="P380" s="21">
        <f>36684+274451+5142+60098</f>
        <v>376375</v>
      </c>
      <c r="Q380" s="21">
        <v>0</v>
      </c>
      <c r="R380" s="89">
        <f t="shared" si="49"/>
        <v>516906</v>
      </c>
      <c r="S380" s="65">
        <f t="shared" si="39"/>
        <v>1499265</v>
      </c>
      <c r="T380" s="34">
        <f>81455+69+0</f>
        <v>81524</v>
      </c>
      <c r="U380" s="34">
        <v>80465</v>
      </c>
      <c r="V380" s="34">
        <v>1598</v>
      </c>
      <c r="W380" s="34">
        <v>0</v>
      </c>
      <c r="X380" s="89">
        <f t="shared" si="46"/>
        <v>163587</v>
      </c>
      <c r="Y380" s="65">
        <f t="shared" si="50"/>
        <v>1662852</v>
      </c>
    </row>
    <row r="381" spans="1:25" s="21" customFormat="1" ht="12.75" customHeight="1" x14ac:dyDescent="0.25">
      <c r="A381" s="24" t="s">
        <v>180</v>
      </c>
      <c r="B381" s="25"/>
      <c r="C381" s="27">
        <f t="shared" si="48"/>
        <v>155371</v>
      </c>
      <c r="D381" s="21">
        <v>16621</v>
      </c>
      <c r="E381" s="21">
        <v>53486</v>
      </c>
      <c r="F381" s="21">
        <v>0</v>
      </c>
      <c r="G381" s="89">
        <f>276741-(47190+3140+71+862)</f>
        <v>225478</v>
      </c>
      <c r="H381" s="65">
        <v>0</v>
      </c>
      <c r="I381" s="34">
        <f>154729+3140-J381</f>
        <v>137941</v>
      </c>
      <c r="J381" s="95">
        <f>19680+248</f>
        <v>19928</v>
      </c>
      <c r="K381" s="27">
        <f>604801+862</f>
        <v>605663</v>
      </c>
      <c r="L381" s="27">
        <v>0</v>
      </c>
      <c r="M381" s="21">
        <v>0</v>
      </c>
      <c r="N381" s="68">
        <f t="shared" si="51"/>
        <v>763532</v>
      </c>
      <c r="O381" s="63">
        <f>2822+79576+1529+57939</f>
        <v>141866</v>
      </c>
      <c r="P381" s="21">
        <f>37574+279246+5265+60880</f>
        <v>382965</v>
      </c>
      <c r="Q381" s="21">
        <v>0</v>
      </c>
      <c r="R381" s="89">
        <f t="shared" si="49"/>
        <v>524831</v>
      </c>
      <c r="S381" s="65">
        <f t="shared" si="39"/>
        <v>1513841</v>
      </c>
      <c r="T381" s="34">
        <f>82267+71+3</f>
        <v>82341</v>
      </c>
      <c r="U381" s="34">
        <v>80440</v>
      </c>
      <c r="V381" s="34">
        <v>1631</v>
      </c>
      <c r="W381" s="34">
        <v>0</v>
      </c>
      <c r="X381" s="89">
        <f t="shared" si="46"/>
        <v>164412</v>
      </c>
      <c r="Y381" s="65">
        <f t="shared" si="50"/>
        <v>1678253</v>
      </c>
    </row>
    <row r="382" spans="1:25" s="21" customFormat="1" ht="12.75" customHeight="1" x14ac:dyDescent="0.25">
      <c r="A382" s="24"/>
      <c r="B382" s="25"/>
      <c r="C382" s="27"/>
      <c r="G382" s="89"/>
      <c r="H382" s="65"/>
      <c r="I382" s="34"/>
      <c r="K382" s="27"/>
      <c r="L382" s="27"/>
      <c r="M382" s="21">
        <v>0</v>
      </c>
      <c r="N382" s="68"/>
      <c r="O382" s="63"/>
      <c r="R382" s="89"/>
      <c r="S382" s="65">
        <f t="shared" si="39"/>
        <v>0</v>
      </c>
      <c r="T382" s="34"/>
      <c r="U382" s="34"/>
      <c r="V382" s="34"/>
      <c r="W382" s="34"/>
      <c r="X382" s="89"/>
      <c r="Y382" s="65"/>
    </row>
    <row r="383" spans="1:25" s="21" customFormat="1" ht="12.75" customHeight="1" x14ac:dyDescent="0.25">
      <c r="A383" s="24" t="s">
        <v>183</v>
      </c>
      <c r="B383" s="25"/>
      <c r="C383" s="27">
        <f t="shared" ref="C383:C394" si="52">IF((G383-D383-E383)&gt;C175,C175,G383-D383-E383)</f>
        <v>155031</v>
      </c>
      <c r="D383" s="21">
        <v>16650</v>
      </c>
      <c r="E383" s="21">
        <v>53538</v>
      </c>
      <c r="F383" s="21">
        <v>0</v>
      </c>
      <c r="G383" s="89">
        <f>277615-(48264+3194+69+869)</f>
        <v>225219</v>
      </c>
      <c r="H383" s="65">
        <v>0</v>
      </c>
      <c r="I383" s="34">
        <f>156371+3194-J383</f>
        <v>139234</v>
      </c>
      <c r="J383" s="21">
        <f>20069+262</f>
        <v>20331</v>
      </c>
      <c r="K383" s="27">
        <f>609118+869</f>
        <v>609987</v>
      </c>
      <c r="L383" s="27">
        <v>0</v>
      </c>
      <c r="M383" s="21">
        <v>0</v>
      </c>
      <c r="N383" s="68">
        <f>SUM(I383:M383)</f>
        <v>769552</v>
      </c>
      <c r="O383" s="63">
        <f>2892+79961+1604+58441</f>
        <v>142898</v>
      </c>
      <c r="P383" s="21">
        <f>38366+283304+5402+61397</f>
        <v>388469</v>
      </c>
      <c r="Q383" s="21">
        <v>0</v>
      </c>
      <c r="R383" s="89">
        <f>SUM(O383:Q383)</f>
        <v>531367</v>
      </c>
      <c r="S383" s="65">
        <f t="shared" si="39"/>
        <v>1526138</v>
      </c>
      <c r="T383" s="34">
        <f>82912+69+2</f>
        <v>82983</v>
      </c>
      <c r="U383" s="34">
        <v>80251</v>
      </c>
      <c r="V383" s="34">
        <v>1651</v>
      </c>
      <c r="W383" s="34">
        <v>0</v>
      </c>
      <c r="X383" s="89">
        <f t="shared" si="46"/>
        <v>164885</v>
      </c>
      <c r="Y383" s="65">
        <f t="shared" ref="Y383:Y394" si="53">X383+S383</f>
        <v>1691023</v>
      </c>
    </row>
    <row r="384" spans="1:25" s="21" customFormat="1" ht="12.75" customHeight="1" x14ac:dyDescent="0.25">
      <c r="A384" s="24" t="s">
        <v>184</v>
      </c>
      <c r="B384" s="25"/>
      <c r="C384" s="27">
        <f t="shared" si="52"/>
        <v>154949</v>
      </c>
      <c r="D384" s="21">
        <v>16726</v>
      </c>
      <c r="E384" s="21">
        <v>53702</v>
      </c>
      <c r="F384" s="21">
        <v>0</v>
      </c>
      <c r="G384" s="89">
        <f>279232-(49687+3226+71+871)</f>
        <v>225377</v>
      </c>
      <c r="H384" s="65">
        <v>0</v>
      </c>
      <c r="I384" s="34">
        <f>158272+3226-J384</f>
        <v>140810</v>
      </c>
      <c r="J384" s="21">
        <f>20426+262</f>
        <v>20688</v>
      </c>
      <c r="K384" s="27">
        <f>613152+871</f>
        <v>614023</v>
      </c>
      <c r="L384" s="27">
        <v>0</v>
      </c>
      <c r="M384" s="21">
        <v>0</v>
      </c>
      <c r="N384" s="68">
        <f t="shared" ref="N384:N394" si="54">SUM(I384:M384)</f>
        <v>775521</v>
      </c>
      <c r="O384" s="63">
        <f>2968+80317+1658+58843</f>
        <v>143786</v>
      </c>
      <c r="P384" s="21">
        <f>39468+287180+5593+61886</f>
        <v>394127</v>
      </c>
      <c r="Q384" s="21">
        <v>0</v>
      </c>
      <c r="R384" s="89">
        <f t="shared" ref="R384:R394" si="55">SUM(O384:Q384)</f>
        <v>537913</v>
      </c>
      <c r="S384" s="65">
        <f t="shared" si="39"/>
        <v>1538811</v>
      </c>
      <c r="T384" s="34">
        <f>83683+71+2</f>
        <v>83756</v>
      </c>
      <c r="U384" s="34">
        <v>80233</v>
      </c>
      <c r="V384" s="34">
        <v>1943</v>
      </c>
      <c r="W384" s="34">
        <v>0</v>
      </c>
      <c r="X384" s="89">
        <f t="shared" si="46"/>
        <v>165932</v>
      </c>
      <c r="Y384" s="65">
        <f t="shared" si="53"/>
        <v>1704743</v>
      </c>
    </row>
    <row r="385" spans="1:25" s="21" customFormat="1" ht="12.75" customHeight="1" x14ac:dyDescent="0.25">
      <c r="A385" s="24" t="s">
        <v>185</v>
      </c>
      <c r="B385" s="25"/>
      <c r="C385" s="27">
        <f t="shared" si="52"/>
        <v>155354</v>
      </c>
      <c r="D385" s="21">
        <v>16771</v>
      </c>
      <c r="E385" s="21">
        <v>53878</v>
      </c>
      <c r="F385" s="21">
        <v>0</v>
      </c>
      <c r="G385" s="89">
        <f>280994-(50747+3290+71+883)</f>
        <v>226003</v>
      </c>
      <c r="H385" s="65">
        <v>0</v>
      </c>
      <c r="I385" s="34">
        <f>160382+3290-J385</f>
        <v>142593</v>
      </c>
      <c r="J385" s="21">
        <f>20812+267</f>
        <v>21079</v>
      </c>
      <c r="K385" s="27">
        <f>618469+883</f>
        <v>619352</v>
      </c>
      <c r="L385" s="27">
        <v>0</v>
      </c>
      <c r="M385" s="21">
        <v>0</v>
      </c>
      <c r="N385" s="68">
        <f t="shared" si="54"/>
        <v>783024</v>
      </c>
      <c r="O385" s="63">
        <f>3020+80760+1706+59761</f>
        <v>145247</v>
      </c>
      <c r="P385" s="21">
        <f>40276+294602+5745+63177</f>
        <v>403800</v>
      </c>
      <c r="Q385" s="21">
        <v>0</v>
      </c>
      <c r="R385" s="89">
        <f t="shared" si="55"/>
        <v>549047</v>
      </c>
      <c r="S385" s="65">
        <f t="shared" si="39"/>
        <v>1558074</v>
      </c>
      <c r="T385" s="34">
        <f>84887+71+1</f>
        <v>84959</v>
      </c>
      <c r="U385" s="34">
        <v>80075</v>
      </c>
      <c r="V385" s="34">
        <v>2692</v>
      </c>
      <c r="W385" s="34">
        <v>0</v>
      </c>
      <c r="X385" s="89">
        <f t="shared" si="46"/>
        <v>167726</v>
      </c>
      <c r="Y385" s="65">
        <f t="shared" si="53"/>
        <v>1725800</v>
      </c>
    </row>
    <row r="386" spans="1:25" s="21" customFormat="1" ht="12.75" customHeight="1" x14ac:dyDescent="0.25">
      <c r="A386" s="24" t="s">
        <v>186</v>
      </c>
      <c r="B386" s="25"/>
      <c r="C386" s="27">
        <f t="shared" si="52"/>
        <v>156040</v>
      </c>
      <c r="D386" s="21">
        <v>16797</v>
      </c>
      <c r="E386" s="21">
        <v>53767</v>
      </c>
      <c r="F386" s="21">
        <v>0</v>
      </c>
      <c r="G386" s="89">
        <f>282630-(51722+3351+70+883)</f>
        <v>226604</v>
      </c>
      <c r="H386" s="65">
        <v>0</v>
      </c>
      <c r="I386" s="34">
        <f>162022+3351-J386</f>
        <v>143994</v>
      </c>
      <c r="J386" s="21">
        <f>21104+275</f>
        <v>21379</v>
      </c>
      <c r="K386" s="27">
        <f>622898+883</f>
        <v>623781</v>
      </c>
      <c r="L386" s="27">
        <v>0</v>
      </c>
      <c r="M386" s="21">
        <v>0</v>
      </c>
      <c r="N386" s="68">
        <f t="shared" si="54"/>
        <v>789154</v>
      </c>
      <c r="O386" s="63">
        <f>3073+81158+1746+60401</f>
        <v>146378</v>
      </c>
      <c r="P386" s="21">
        <f>41029+300045+5874+63875</f>
        <v>410823</v>
      </c>
      <c r="Q386" s="21">
        <v>0</v>
      </c>
      <c r="R386" s="89">
        <f t="shared" si="55"/>
        <v>557201</v>
      </c>
      <c r="S386" s="65">
        <f t="shared" si="39"/>
        <v>1572959</v>
      </c>
      <c r="T386" s="34">
        <f>85945+70+0</f>
        <v>86015</v>
      </c>
      <c r="U386" s="34">
        <v>79796</v>
      </c>
      <c r="V386" s="34">
        <v>3314</v>
      </c>
      <c r="W386" s="34">
        <v>0</v>
      </c>
      <c r="X386" s="89">
        <f t="shared" si="46"/>
        <v>169125</v>
      </c>
      <c r="Y386" s="65">
        <f t="shared" si="53"/>
        <v>1742084</v>
      </c>
    </row>
    <row r="387" spans="1:25" s="21" customFormat="1" ht="12.75" customHeight="1" x14ac:dyDescent="0.25">
      <c r="A387" s="24" t="s">
        <v>187</v>
      </c>
      <c r="B387" s="25"/>
      <c r="C387" s="27">
        <f t="shared" si="52"/>
        <v>155857</v>
      </c>
      <c r="D387" s="21">
        <v>17011</v>
      </c>
      <c r="E387" s="21">
        <v>54340</v>
      </c>
      <c r="F387" s="21">
        <v>0</v>
      </c>
      <c r="G387" s="89">
        <f>284528-(52916+3430+72+902)</f>
        <v>227208</v>
      </c>
      <c r="H387" s="65">
        <v>0</v>
      </c>
      <c r="I387" s="34">
        <f>163832+3430-J387</f>
        <v>145565</v>
      </c>
      <c r="J387" s="21">
        <f>21413+284</f>
        <v>21697</v>
      </c>
      <c r="K387" s="27">
        <f>626479+902</f>
        <v>627381</v>
      </c>
      <c r="L387" s="27">
        <v>0</v>
      </c>
      <c r="M387" s="21">
        <v>0</v>
      </c>
      <c r="N387" s="68">
        <f t="shared" si="54"/>
        <v>794643</v>
      </c>
      <c r="O387" s="63">
        <f>3111+81230+1787+61051</f>
        <v>147179</v>
      </c>
      <c r="P387" s="21">
        <f>42014+305099+6004+64369</f>
        <v>417486</v>
      </c>
      <c r="Q387" s="21">
        <v>0</v>
      </c>
      <c r="R387" s="89">
        <f t="shared" si="55"/>
        <v>564665</v>
      </c>
      <c r="S387" s="65">
        <f t="shared" si="39"/>
        <v>1586516</v>
      </c>
      <c r="T387" s="34">
        <f>87122+72+0</f>
        <v>87194</v>
      </c>
      <c r="U387" s="34">
        <v>79753</v>
      </c>
      <c r="V387" s="34">
        <v>3802</v>
      </c>
      <c r="W387" s="34">
        <v>0</v>
      </c>
      <c r="X387" s="89">
        <f t="shared" si="46"/>
        <v>170749</v>
      </c>
      <c r="Y387" s="65">
        <f t="shared" si="53"/>
        <v>1757265</v>
      </c>
    </row>
    <row r="388" spans="1:25" s="21" customFormat="1" ht="12.75" customHeight="1" x14ac:dyDescent="0.25">
      <c r="A388" s="24" t="s">
        <v>188</v>
      </c>
      <c r="B388" s="25"/>
      <c r="C388" s="27">
        <f t="shared" si="52"/>
        <v>156132</v>
      </c>
      <c r="D388" s="21">
        <v>16960</v>
      </c>
      <c r="E388" s="21">
        <v>54589</v>
      </c>
      <c r="F388" s="21">
        <v>0</v>
      </c>
      <c r="G388" s="89">
        <f>286067-(53908+3492+75+911)</f>
        <v>227681</v>
      </c>
      <c r="H388" s="65">
        <v>0</v>
      </c>
      <c r="I388" s="34">
        <f>163716+3492-J388</f>
        <v>148656</v>
      </c>
      <c r="J388" s="21">
        <f>18280+272</f>
        <v>18552</v>
      </c>
      <c r="K388" s="27">
        <f>630923+911</f>
        <v>631834</v>
      </c>
      <c r="L388" s="27">
        <v>0</v>
      </c>
      <c r="M388" s="21">
        <v>0</v>
      </c>
      <c r="N388" s="68">
        <f t="shared" si="54"/>
        <v>799042</v>
      </c>
      <c r="O388" s="63">
        <f>82683+3214+62652+1815</f>
        <v>150364</v>
      </c>
      <c r="P388" s="21">
        <f>311707+42757+65757+6211</f>
        <v>426432</v>
      </c>
      <c r="Q388" s="21">
        <v>0</v>
      </c>
      <c r="R388" s="89">
        <f t="shared" si="55"/>
        <v>576796</v>
      </c>
      <c r="S388" s="65">
        <f t="shared" si="39"/>
        <v>1603519</v>
      </c>
      <c r="T388" s="34">
        <f>88117+75+0</f>
        <v>88192</v>
      </c>
      <c r="U388" s="34">
        <v>79829</v>
      </c>
      <c r="V388" s="34">
        <v>4243</v>
      </c>
      <c r="W388" s="34">
        <v>0</v>
      </c>
      <c r="X388" s="89">
        <f t="shared" si="46"/>
        <v>172264</v>
      </c>
      <c r="Y388" s="65">
        <f t="shared" si="53"/>
        <v>1775783</v>
      </c>
    </row>
    <row r="389" spans="1:25" s="21" customFormat="1" ht="12.75" customHeight="1" x14ac:dyDescent="0.25">
      <c r="A389" s="24" t="s">
        <v>189</v>
      </c>
      <c r="B389" s="25"/>
      <c r="C389" s="27">
        <f t="shared" si="52"/>
        <v>156312</v>
      </c>
      <c r="D389" s="21">
        <v>16989</v>
      </c>
      <c r="E389" s="21">
        <v>54745</v>
      </c>
      <c r="F389" s="21">
        <v>0</v>
      </c>
      <c r="G389" s="89">
        <f>287884-(55298+3545+77+918)</f>
        <v>228046</v>
      </c>
      <c r="H389" s="65">
        <v>0</v>
      </c>
      <c r="I389" s="34">
        <f>166106+3545-J389</f>
        <v>150650</v>
      </c>
      <c r="J389" s="21">
        <f>18717+284</f>
        <v>19001</v>
      </c>
      <c r="K389" s="27">
        <f>635968+918</f>
        <v>636886</v>
      </c>
      <c r="L389" s="27">
        <v>0</v>
      </c>
      <c r="M389" s="21">
        <v>0</v>
      </c>
      <c r="N389" s="68">
        <f t="shared" si="54"/>
        <v>806537</v>
      </c>
      <c r="O389" s="63">
        <f>82928+3289+63675+1903</f>
        <v>151795</v>
      </c>
      <c r="P389" s="21">
        <f>318045+43775+67523+6331</f>
        <v>435674</v>
      </c>
      <c r="Q389" s="21">
        <v>0</v>
      </c>
      <c r="R389" s="89">
        <f t="shared" si="55"/>
        <v>587469</v>
      </c>
      <c r="S389" s="65">
        <f t="shared" si="39"/>
        <v>1622052</v>
      </c>
      <c r="T389" s="34">
        <f>89707+77+0</f>
        <v>89784</v>
      </c>
      <c r="U389" s="34">
        <v>79814</v>
      </c>
      <c r="V389" s="34">
        <v>4510</v>
      </c>
      <c r="W389" s="34">
        <v>0</v>
      </c>
      <c r="X389" s="89">
        <f t="shared" si="46"/>
        <v>174108</v>
      </c>
      <c r="Y389" s="65">
        <f t="shared" si="53"/>
        <v>1796160</v>
      </c>
    </row>
    <row r="390" spans="1:25" s="21" customFormat="1" ht="12.75" customHeight="1" x14ac:dyDescent="0.25">
      <c r="A390" s="24" t="s">
        <v>190</v>
      </c>
      <c r="B390" s="25"/>
      <c r="C390" s="27">
        <f t="shared" si="52"/>
        <v>156488</v>
      </c>
      <c r="D390" s="21">
        <v>16901</v>
      </c>
      <c r="E390" s="21">
        <v>54714</v>
      </c>
      <c r="F390" s="21">
        <v>0</v>
      </c>
      <c r="G390" s="89">
        <f>288908-(56223+3584+77+921)</f>
        <v>228103</v>
      </c>
      <c r="H390" s="65">
        <v>0</v>
      </c>
      <c r="I390" s="34">
        <f>167188+3584-J390</f>
        <v>152106</v>
      </c>
      <c r="J390" s="21">
        <f>18381+285</f>
        <v>18666</v>
      </c>
      <c r="K390" s="27">
        <f>640097+921</f>
        <v>641018</v>
      </c>
      <c r="L390" s="27">
        <v>0</v>
      </c>
      <c r="M390" s="21">
        <v>0</v>
      </c>
      <c r="N390" s="68">
        <f t="shared" si="54"/>
        <v>811790</v>
      </c>
      <c r="O390" s="63">
        <f>83371+3305+64528+1942</f>
        <v>153146</v>
      </c>
      <c r="P390" s="21">
        <f>323173+44493+68561+6483</f>
        <v>442710</v>
      </c>
      <c r="Q390" s="21">
        <v>0</v>
      </c>
      <c r="R390" s="89">
        <f t="shared" si="55"/>
        <v>595856</v>
      </c>
      <c r="S390" s="65">
        <f t="shared" si="39"/>
        <v>1635749</v>
      </c>
      <c r="T390" s="34">
        <f>90868+77+1</f>
        <v>90946</v>
      </c>
      <c r="U390" s="34">
        <v>80044</v>
      </c>
      <c r="V390" s="34">
        <v>4627</v>
      </c>
      <c r="W390" s="34">
        <v>0</v>
      </c>
      <c r="X390" s="89">
        <f t="shared" si="46"/>
        <v>175617</v>
      </c>
      <c r="Y390" s="65">
        <f t="shared" si="53"/>
        <v>1811366</v>
      </c>
    </row>
    <row r="391" spans="1:25" s="21" customFormat="1" ht="12.75" customHeight="1" x14ac:dyDescent="0.25">
      <c r="A391" s="24" t="s">
        <v>191</v>
      </c>
      <c r="B391" s="25"/>
      <c r="C391" s="27">
        <f t="shared" si="52"/>
        <v>157140</v>
      </c>
      <c r="D391" s="21">
        <v>16844</v>
      </c>
      <c r="E391" s="21">
        <v>54760</v>
      </c>
      <c r="F391" s="21">
        <v>0</v>
      </c>
      <c r="G391" s="89">
        <f>290701-(57308+3630+75+944)</f>
        <v>228744</v>
      </c>
      <c r="H391" s="65">
        <v>0</v>
      </c>
      <c r="I391" s="34">
        <f>168775+3630-J391</f>
        <v>153721</v>
      </c>
      <c r="J391" s="21">
        <f>18400+284</f>
        <v>18684</v>
      </c>
      <c r="K391" s="27">
        <f>644095+944</f>
        <v>645039</v>
      </c>
      <c r="L391" s="27">
        <v>0</v>
      </c>
      <c r="M391" s="21">
        <v>0</v>
      </c>
      <c r="N391" s="68">
        <f t="shared" si="54"/>
        <v>817444</v>
      </c>
      <c r="O391" s="63">
        <f>83622+3338+65455+2011</f>
        <v>154426</v>
      </c>
      <c r="P391" s="21">
        <f>327318+45310+69176+6649</f>
        <v>448453</v>
      </c>
      <c r="Q391" s="21">
        <v>0</v>
      </c>
      <c r="R391" s="89">
        <f t="shared" si="55"/>
        <v>602879</v>
      </c>
      <c r="S391" s="65">
        <f t="shared" si="39"/>
        <v>1649067</v>
      </c>
      <c r="T391" s="34">
        <f>91883+75+1</f>
        <v>91959</v>
      </c>
      <c r="U391" s="34">
        <v>80203</v>
      </c>
      <c r="V391" s="34">
        <v>4931</v>
      </c>
      <c r="W391" s="34">
        <v>0</v>
      </c>
      <c r="X391" s="89">
        <f t="shared" si="46"/>
        <v>177093</v>
      </c>
      <c r="Y391" s="65">
        <f t="shared" si="53"/>
        <v>1826160</v>
      </c>
    </row>
    <row r="392" spans="1:25" s="21" customFormat="1" ht="12.75" customHeight="1" x14ac:dyDescent="0.25">
      <c r="A392" s="24" t="s">
        <v>192</v>
      </c>
      <c r="B392" s="25"/>
      <c r="C392" s="27">
        <f t="shared" si="52"/>
        <v>157107</v>
      </c>
      <c r="D392" s="21">
        <v>16925</v>
      </c>
      <c r="E392" s="21">
        <v>54989</v>
      </c>
      <c r="F392" s="21">
        <v>0</v>
      </c>
      <c r="G392" s="89">
        <f>292086-(58326+3701+76+962)</f>
        <v>229021</v>
      </c>
      <c r="H392" s="65">
        <v>0</v>
      </c>
      <c r="I392" s="34">
        <f>170050+3701-J392</f>
        <v>155253</v>
      </c>
      <c r="J392" s="21">
        <f>18202+296</f>
        <v>18498</v>
      </c>
      <c r="K392" s="27">
        <f>647784+962</f>
        <v>648746</v>
      </c>
      <c r="L392" s="27">
        <v>0</v>
      </c>
      <c r="M392" s="21">
        <v>0</v>
      </c>
      <c r="N392" s="68">
        <f t="shared" si="54"/>
        <v>822497</v>
      </c>
      <c r="O392" s="63">
        <f>83971+3360+66330+2061</f>
        <v>155722</v>
      </c>
      <c r="P392" s="21">
        <f>332799+46099+70062+6806</f>
        <v>455766</v>
      </c>
      <c r="Q392" s="21">
        <v>0</v>
      </c>
      <c r="R392" s="89">
        <f t="shared" si="55"/>
        <v>611488</v>
      </c>
      <c r="S392" s="65">
        <f t="shared" si="39"/>
        <v>1663006</v>
      </c>
      <c r="T392" s="34">
        <f>92814+76+3</f>
        <v>92893</v>
      </c>
      <c r="U392" s="34">
        <v>80359</v>
      </c>
      <c r="V392" s="34">
        <v>5204</v>
      </c>
      <c r="W392" s="34">
        <v>0</v>
      </c>
      <c r="X392" s="89">
        <f t="shared" si="46"/>
        <v>178456</v>
      </c>
      <c r="Y392" s="65">
        <f t="shared" si="53"/>
        <v>1841462</v>
      </c>
    </row>
    <row r="393" spans="1:25" s="21" customFormat="1" ht="12.75" customHeight="1" x14ac:dyDescent="0.25">
      <c r="A393" s="24" t="s">
        <v>193</v>
      </c>
      <c r="B393" s="25"/>
      <c r="C393" s="27">
        <f t="shared" si="52"/>
        <v>155919</v>
      </c>
      <c r="D393" s="21">
        <v>16936</v>
      </c>
      <c r="E393" s="21">
        <v>55321</v>
      </c>
      <c r="F393" s="21">
        <v>0</v>
      </c>
      <c r="G393" s="89">
        <f>292357-(59432+3717+75+957)</f>
        <v>228176</v>
      </c>
      <c r="H393" s="65">
        <v>0</v>
      </c>
      <c r="I393" s="34">
        <f>170735+3717-J393</f>
        <v>156056</v>
      </c>
      <c r="J393" s="21">
        <f>18099+297</f>
        <v>18396</v>
      </c>
      <c r="K393" s="27">
        <f>649770+957</f>
        <v>650727</v>
      </c>
      <c r="L393" s="27">
        <v>0</v>
      </c>
      <c r="M393" s="21">
        <v>0</v>
      </c>
      <c r="N393" s="68">
        <f t="shared" si="54"/>
        <v>825179</v>
      </c>
      <c r="O393" s="63">
        <f>84295+3412+67370+2121</f>
        <v>157198</v>
      </c>
      <c r="P393" s="21">
        <f>339586+47008+70698+6891</f>
        <v>464183</v>
      </c>
      <c r="Q393" s="21">
        <v>0</v>
      </c>
      <c r="R393" s="89">
        <f t="shared" si="55"/>
        <v>621381</v>
      </c>
      <c r="S393" s="65">
        <f t="shared" si="39"/>
        <v>1674736</v>
      </c>
      <c r="T393" s="34">
        <f>93686+75+1</f>
        <v>93762</v>
      </c>
      <c r="U393" s="34">
        <v>79327</v>
      </c>
      <c r="V393" s="34">
        <v>5430</v>
      </c>
      <c r="W393" s="34">
        <v>0</v>
      </c>
      <c r="X393" s="89">
        <f t="shared" si="46"/>
        <v>178519</v>
      </c>
      <c r="Y393" s="65">
        <f t="shared" si="53"/>
        <v>1853255</v>
      </c>
    </row>
    <row r="394" spans="1:25" s="21" customFormat="1" ht="12.75" customHeight="1" x14ac:dyDescent="0.25">
      <c r="A394" s="24" t="s">
        <v>194</v>
      </c>
      <c r="B394" s="25"/>
      <c r="C394" s="27">
        <f t="shared" si="52"/>
        <v>157705</v>
      </c>
      <c r="D394" s="21">
        <v>16723</v>
      </c>
      <c r="E394" s="21">
        <v>55386</v>
      </c>
      <c r="F394" s="21">
        <v>0</v>
      </c>
      <c r="G394" s="89">
        <f>295296-(60659+3782+77+964)</f>
        <v>229814</v>
      </c>
      <c r="H394" s="65">
        <v>0</v>
      </c>
      <c r="I394" s="34">
        <f>171469+3782-J394</f>
        <v>157019</v>
      </c>
      <c r="J394" s="21">
        <f>17933+299</f>
        <v>18232</v>
      </c>
      <c r="K394" s="27">
        <f>652246+964</f>
        <v>653210</v>
      </c>
      <c r="L394" s="27">
        <v>0</v>
      </c>
      <c r="M394" s="21">
        <v>0</v>
      </c>
      <c r="N394" s="68">
        <f t="shared" si="54"/>
        <v>828461</v>
      </c>
      <c r="O394" s="63">
        <f>84875+3444+67929+2177</f>
        <v>158425</v>
      </c>
      <c r="P394" s="21">
        <f>344404+47955+71168+7083</f>
        <v>470610</v>
      </c>
      <c r="Q394" s="21">
        <v>0</v>
      </c>
      <c r="R394" s="89">
        <f t="shared" si="55"/>
        <v>629035</v>
      </c>
      <c r="S394" s="65">
        <f t="shared" si="39"/>
        <v>1687310</v>
      </c>
      <c r="T394" s="34">
        <f>94469+77+2</f>
        <v>94548</v>
      </c>
      <c r="U394" s="34">
        <v>78442</v>
      </c>
      <c r="V394" s="34">
        <v>5797</v>
      </c>
      <c r="W394" s="34">
        <v>0</v>
      </c>
      <c r="X394" s="89">
        <f t="shared" si="46"/>
        <v>178787</v>
      </c>
      <c r="Y394" s="65">
        <f t="shared" si="53"/>
        <v>1866097</v>
      </c>
    </row>
    <row r="395" spans="1:25" s="21" customFormat="1" ht="12.75" customHeight="1" x14ac:dyDescent="0.25">
      <c r="A395" s="60"/>
      <c r="B395" s="25"/>
      <c r="C395" s="27"/>
      <c r="G395" s="89"/>
      <c r="H395" s="65"/>
      <c r="I395" s="34"/>
      <c r="K395" s="27"/>
      <c r="L395" s="27"/>
      <c r="M395" s="21">
        <v>0</v>
      </c>
      <c r="N395" s="68"/>
      <c r="O395" s="63"/>
      <c r="R395" s="89"/>
      <c r="S395" s="65">
        <f t="shared" si="39"/>
        <v>0</v>
      </c>
      <c r="T395" s="34"/>
      <c r="U395" s="34"/>
      <c r="V395" s="34"/>
      <c r="W395" s="34"/>
      <c r="X395" s="89"/>
      <c r="Y395" s="65"/>
    </row>
    <row r="396" spans="1:25" s="21" customFormat="1" ht="12.75" customHeight="1" x14ac:dyDescent="0.25">
      <c r="A396" s="24" t="s">
        <v>195</v>
      </c>
      <c r="B396" s="25"/>
      <c r="C396" s="27">
        <f t="shared" ref="C396:C407" si="56">IF((G396-D396-E396)&gt;C188,C188,G396-D396-E396)</f>
        <v>157721</v>
      </c>
      <c r="D396" s="21">
        <v>16942</v>
      </c>
      <c r="E396" s="21">
        <v>55729</v>
      </c>
      <c r="F396" s="21">
        <v>0</v>
      </c>
      <c r="G396" s="89">
        <f>296909-(61671+3795+76+975)</f>
        <v>230392</v>
      </c>
      <c r="H396" s="65">
        <v>0</v>
      </c>
      <c r="I396" s="34">
        <f>173235+3795-J396</f>
        <v>158636</v>
      </c>
      <c r="J396" s="21">
        <f>18099+295</f>
        <v>18394</v>
      </c>
      <c r="K396" s="27">
        <f>655568+975</f>
        <v>656543</v>
      </c>
      <c r="L396" s="27">
        <v>0</v>
      </c>
      <c r="M396" s="21">
        <v>0</v>
      </c>
      <c r="N396" s="68">
        <f>SUM(I396:M396)</f>
        <v>833573</v>
      </c>
      <c r="O396" s="63">
        <f>85219+3519+68312+2247</f>
        <v>159297</v>
      </c>
      <c r="P396" s="21">
        <f>347455+48699+71366+7206</f>
        <v>474726</v>
      </c>
      <c r="Q396" s="21">
        <v>0</v>
      </c>
      <c r="R396" s="89">
        <f>SUM(O396:Q396)</f>
        <v>634023</v>
      </c>
      <c r="S396" s="65">
        <f t="shared" si="39"/>
        <v>1697988</v>
      </c>
      <c r="T396" s="34">
        <f>95118+76+1</f>
        <v>95195</v>
      </c>
      <c r="U396" s="34">
        <v>78547</v>
      </c>
      <c r="V396" s="34">
        <v>5922</v>
      </c>
      <c r="W396" s="34">
        <v>0</v>
      </c>
      <c r="X396" s="89">
        <f t="shared" si="46"/>
        <v>179664</v>
      </c>
      <c r="Y396" s="65">
        <f t="shared" ref="Y396:Y423" si="57">X396+S396</f>
        <v>1877652</v>
      </c>
    </row>
    <row r="397" spans="1:25" s="21" customFormat="1" ht="12.75" customHeight="1" x14ac:dyDescent="0.25">
      <c r="A397" s="24" t="s">
        <v>202</v>
      </c>
      <c r="B397" s="25"/>
      <c r="C397" s="27">
        <f t="shared" si="56"/>
        <v>157778</v>
      </c>
      <c r="D397" s="21">
        <v>17014</v>
      </c>
      <c r="E397" s="21">
        <v>56027</v>
      </c>
      <c r="F397" s="21">
        <v>0</v>
      </c>
      <c r="G397" s="89">
        <f>298403-(62640+3872+78+994)</f>
        <v>230819</v>
      </c>
      <c r="H397" s="65">
        <v>0</v>
      </c>
      <c r="I397" s="34">
        <f>175385+3872-J397</f>
        <v>159925</v>
      </c>
      <c r="J397" s="21">
        <f>19025+307</f>
        <v>19332</v>
      </c>
      <c r="K397" s="27">
        <f>658526+994</f>
        <v>659520</v>
      </c>
      <c r="L397" s="27">
        <v>0</v>
      </c>
      <c r="M397" s="21">
        <v>0</v>
      </c>
      <c r="N397" s="68">
        <f t="shared" ref="N397:N407" si="58">SUM(I397:M397)</f>
        <v>838777</v>
      </c>
      <c r="O397" s="63">
        <f>85329+3558+68657+2290</f>
        <v>159834</v>
      </c>
      <c r="P397" s="21">
        <f>350714+49494+71490+7298</f>
        <v>478996</v>
      </c>
      <c r="Q397" s="21">
        <v>0</v>
      </c>
      <c r="R397" s="89">
        <f t="shared" ref="R397:R407" si="59">SUM(O397:Q397)</f>
        <v>638830</v>
      </c>
      <c r="S397" s="65">
        <f t="shared" si="39"/>
        <v>1708426</v>
      </c>
      <c r="T397" s="34">
        <f>95913+78+2</f>
        <v>95993</v>
      </c>
      <c r="U397" s="34">
        <v>78673</v>
      </c>
      <c r="V397" s="34">
        <v>5982</v>
      </c>
      <c r="W397" s="34">
        <v>142</v>
      </c>
      <c r="X397" s="89">
        <f t="shared" si="46"/>
        <v>180790</v>
      </c>
      <c r="Y397" s="65">
        <f t="shared" si="57"/>
        <v>1889216</v>
      </c>
    </row>
    <row r="398" spans="1:25" s="21" customFormat="1" ht="12.75" customHeight="1" x14ac:dyDescent="0.25">
      <c r="A398" s="24" t="s">
        <v>203</v>
      </c>
      <c r="B398" s="25"/>
      <c r="C398" s="27">
        <f t="shared" si="56"/>
        <v>157369</v>
      </c>
      <c r="D398" s="21">
        <v>17021</v>
      </c>
      <c r="E398" s="21">
        <v>56297</v>
      </c>
      <c r="F398" s="21">
        <v>0</v>
      </c>
      <c r="G398" s="89">
        <f>299418-(63749+3903+79+1000)</f>
        <v>230687</v>
      </c>
      <c r="H398" s="65">
        <v>0</v>
      </c>
      <c r="I398" s="34">
        <f>176968+3903-J398</f>
        <v>160218</v>
      </c>
      <c r="J398" s="21">
        <f>20339+314</f>
        <v>20653</v>
      </c>
      <c r="K398" s="27">
        <f>659640+1000</f>
        <v>660640</v>
      </c>
      <c r="L398" s="27">
        <v>0</v>
      </c>
      <c r="M398" s="21">
        <v>0</v>
      </c>
      <c r="N398" s="68">
        <f t="shared" si="58"/>
        <v>841511</v>
      </c>
      <c r="O398" s="63">
        <f>85055+3597+68948+2356</f>
        <v>159956</v>
      </c>
      <c r="P398" s="21">
        <f>355104+50378+71884+7418</f>
        <v>484784</v>
      </c>
      <c r="Q398" s="21">
        <v>0</v>
      </c>
      <c r="R398" s="89">
        <f t="shared" si="59"/>
        <v>644740</v>
      </c>
      <c r="S398" s="65">
        <f t="shared" si="39"/>
        <v>1716938</v>
      </c>
      <c r="T398" s="34">
        <f>96837+79+1</f>
        <v>96917</v>
      </c>
      <c r="U398" s="34">
        <v>79083</v>
      </c>
      <c r="V398" s="34">
        <v>5807</v>
      </c>
      <c r="W398" s="34">
        <v>850</v>
      </c>
      <c r="X398" s="89">
        <f t="shared" si="46"/>
        <v>182657</v>
      </c>
      <c r="Y398" s="65">
        <f t="shared" si="57"/>
        <v>1899595</v>
      </c>
    </row>
    <row r="399" spans="1:25" s="21" customFormat="1" ht="12.75" customHeight="1" x14ac:dyDescent="0.25">
      <c r="A399" s="24" t="s">
        <v>204</v>
      </c>
      <c r="B399" s="25"/>
      <c r="C399" s="27">
        <f t="shared" si="56"/>
        <v>157005</v>
      </c>
      <c r="D399" s="21">
        <v>17096</v>
      </c>
      <c r="E399" s="21">
        <v>56581</v>
      </c>
      <c r="F399" s="21">
        <v>0</v>
      </c>
      <c r="G399" s="89">
        <f>300809-(65080+3949+78+1020)</f>
        <v>230682</v>
      </c>
      <c r="H399" s="65">
        <v>0</v>
      </c>
      <c r="I399" s="34">
        <f>178133+3949-J399</f>
        <v>160438</v>
      </c>
      <c r="J399" s="21">
        <f>21325+319</f>
        <v>21644</v>
      </c>
      <c r="K399" s="27">
        <f>660067+1020</f>
        <v>661087</v>
      </c>
      <c r="L399" s="27">
        <v>0</v>
      </c>
      <c r="M399" s="21">
        <v>0</v>
      </c>
      <c r="N399" s="68">
        <f t="shared" si="58"/>
        <v>843169</v>
      </c>
      <c r="O399" s="63">
        <f>84900+3698+69288+2426</f>
        <v>160312</v>
      </c>
      <c r="P399" s="21">
        <f>358710+51397+71877+7559</f>
        <v>489543</v>
      </c>
      <c r="Q399" s="21">
        <v>0</v>
      </c>
      <c r="R399" s="89">
        <f t="shared" si="59"/>
        <v>649855</v>
      </c>
      <c r="S399" s="65">
        <f t="shared" si="39"/>
        <v>1723706</v>
      </c>
      <c r="T399" s="34">
        <f>97682+78+2</f>
        <v>97762</v>
      </c>
      <c r="U399" s="34">
        <v>79604</v>
      </c>
      <c r="V399" s="34">
        <v>5574</v>
      </c>
      <c r="W399" s="34">
        <v>1272</v>
      </c>
      <c r="X399" s="89">
        <f t="shared" si="46"/>
        <v>184212</v>
      </c>
      <c r="Y399" s="65">
        <f t="shared" si="57"/>
        <v>1907918</v>
      </c>
    </row>
    <row r="400" spans="1:25" s="21" customFormat="1" ht="12.75" customHeight="1" x14ac:dyDescent="0.25">
      <c r="A400" s="24" t="s">
        <v>205</v>
      </c>
      <c r="B400" s="25"/>
      <c r="C400" s="27">
        <f t="shared" si="56"/>
        <v>156797</v>
      </c>
      <c r="D400" s="21">
        <v>17138</v>
      </c>
      <c r="E400" s="21">
        <v>56937</v>
      </c>
      <c r="F400" s="21">
        <v>0</v>
      </c>
      <c r="G400" s="89">
        <f>302378-(66354+4056+77+1019)</f>
        <v>230872</v>
      </c>
      <c r="H400" s="65">
        <v>0</v>
      </c>
      <c r="I400" s="34">
        <f>179781+4056-J400</f>
        <v>161270</v>
      </c>
      <c r="J400" s="21">
        <f>22241+326</f>
        <v>22567</v>
      </c>
      <c r="K400" s="27">
        <f>662427+1019</f>
        <v>663446</v>
      </c>
      <c r="L400" s="27">
        <v>0</v>
      </c>
      <c r="M400" s="21">
        <v>0</v>
      </c>
      <c r="N400" s="68">
        <f t="shared" si="58"/>
        <v>847283</v>
      </c>
      <c r="O400" s="63">
        <f>84995+3767+69683+2483</f>
        <v>160928</v>
      </c>
      <c r="P400" s="21">
        <f>362830+52367+71913+7737</f>
        <v>494847</v>
      </c>
      <c r="Q400" s="21">
        <v>0</v>
      </c>
      <c r="R400" s="89">
        <f t="shared" si="59"/>
        <v>655775</v>
      </c>
      <c r="S400" s="65">
        <f t="shared" si="39"/>
        <v>1733930</v>
      </c>
      <c r="T400" s="34">
        <f>98661+77+0</f>
        <v>98738</v>
      </c>
      <c r="U400" s="34">
        <v>80150</v>
      </c>
      <c r="V400" s="34">
        <v>5180</v>
      </c>
      <c r="W400" s="34">
        <v>1710</v>
      </c>
      <c r="X400" s="89">
        <f t="shared" si="46"/>
        <v>185778</v>
      </c>
      <c r="Y400" s="65">
        <f t="shared" si="57"/>
        <v>1919708</v>
      </c>
    </row>
    <row r="401" spans="1:25" s="21" customFormat="1" ht="12.75" customHeight="1" x14ac:dyDescent="0.25">
      <c r="A401" s="24" t="s">
        <v>206</v>
      </c>
      <c r="B401" s="25"/>
      <c r="C401" s="27">
        <f t="shared" si="56"/>
        <v>157123</v>
      </c>
      <c r="D401" s="21">
        <v>17219</v>
      </c>
      <c r="E401" s="21">
        <v>57309</v>
      </c>
      <c r="F401" s="21">
        <v>0</v>
      </c>
      <c r="G401" s="89">
        <f>304104-(67252+4107+77+1017)</f>
        <v>231651</v>
      </c>
      <c r="H401" s="65">
        <v>0</v>
      </c>
      <c r="I401" s="34">
        <f>182010+4107-J401</f>
        <v>162406</v>
      </c>
      <c r="J401" s="21">
        <f>23379+332</f>
        <v>23711</v>
      </c>
      <c r="K401" s="27">
        <f>665130+1017</f>
        <v>666147</v>
      </c>
      <c r="L401" s="27">
        <v>0</v>
      </c>
      <c r="M401" s="21">
        <v>0</v>
      </c>
      <c r="N401" s="68">
        <f t="shared" si="58"/>
        <v>852264</v>
      </c>
      <c r="O401" s="63">
        <f>85171+3799+70530+2515</f>
        <v>162015</v>
      </c>
      <c r="P401" s="21">
        <f>368087+53049+73287+7889</f>
        <v>502312</v>
      </c>
      <c r="Q401" s="21">
        <v>0</v>
      </c>
      <c r="R401" s="89">
        <f t="shared" si="59"/>
        <v>664327</v>
      </c>
      <c r="S401" s="65">
        <f t="shared" si="39"/>
        <v>1748242</v>
      </c>
      <c r="T401" s="34">
        <f>100119+77+0</f>
        <v>100196</v>
      </c>
      <c r="U401" s="34">
        <v>80832</v>
      </c>
      <c r="V401" s="34">
        <v>4947</v>
      </c>
      <c r="W401" s="34">
        <v>2135</v>
      </c>
      <c r="X401" s="89">
        <f t="shared" si="46"/>
        <v>188110</v>
      </c>
      <c r="Y401" s="65">
        <f t="shared" si="57"/>
        <v>1936352</v>
      </c>
    </row>
    <row r="402" spans="1:25" s="21" customFormat="1" ht="12.75" customHeight="1" x14ac:dyDescent="0.25">
      <c r="A402" s="24" t="s">
        <v>207</v>
      </c>
      <c r="B402" s="25"/>
      <c r="C402" s="27">
        <f t="shared" si="56"/>
        <v>157028</v>
      </c>
      <c r="D402" s="21">
        <v>17260</v>
      </c>
      <c r="E402" s="21">
        <v>57571</v>
      </c>
      <c r="F402" s="21">
        <v>0</v>
      </c>
      <c r="G402" s="89">
        <f>304790-(67694+4151+77+1009)</f>
        <v>231859</v>
      </c>
      <c r="H402" s="65">
        <v>0</v>
      </c>
      <c r="I402" s="34">
        <f>183604+4151-J402</f>
        <v>163358</v>
      </c>
      <c r="J402" s="21">
        <f>24062+335</f>
        <v>24397</v>
      </c>
      <c r="K402" s="27">
        <f>667519+1009</f>
        <v>668528</v>
      </c>
      <c r="L402" s="27">
        <v>0</v>
      </c>
      <c r="M402" s="21">
        <v>0</v>
      </c>
      <c r="N402" s="68">
        <f t="shared" si="58"/>
        <v>856283</v>
      </c>
      <c r="O402" s="63">
        <f>85355+3808+71604+2543</f>
        <v>163310</v>
      </c>
      <c r="P402" s="21">
        <f>372916+53400+77601+7943</f>
        <v>511860</v>
      </c>
      <c r="Q402" s="21">
        <v>0</v>
      </c>
      <c r="R402" s="89">
        <f t="shared" si="59"/>
        <v>675170</v>
      </c>
      <c r="S402" s="65">
        <f t="shared" si="39"/>
        <v>1763312</v>
      </c>
      <c r="T402" s="34">
        <f>102142+77+2</f>
        <v>102221</v>
      </c>
      <c r="U402" s="34">
        <v>81218</v>
      </c>
      <c r="V402" s="34">
        <v>4669</v>
      </c>
      <c r="W402" s="34">
        <v>2492</v>
      </c>
      <c r="X402" s="89">
        <f t="shared" si="46"/>
        <v>190600</v>
      </c>
      <c r="Y402" s="65">
        <f t="shared" si="57"/>
        <v>1953912</v>
      </c>
    </row>
    <row r="403" spans="1:25" s="21" customFormat="1" ht="12.75" customHeight="1" x14ac:dyDescent="0.25">
      <c r="A403" s="24" t="s">
        <v>208</v>
      </c>
      <c r="B403" s="25"/>
      <c r="C403" s="27">
        <f t="shared" si="56"/>
        <v>156966</v>
      </c>
      <c r="D403" s="21">
        <v>17224</v>
      </c>
      <c r="E403" s="21">
        <v>57703</v>
      </c>
      <c r="F403" s="21">
        <v>0</v>
      </c>
      <c r="G403" s="89">
        <f>305671-(68496+4203+79+1000)</f>
        <v>231893</v>
      </c>
      <c r="H403" s="65">
        <v>0</v>
      </c>
      <c r="I403" s="34">
        <f>185593+4203-J403</f>
        <v>164561</v>
      </c>
      <c r="J403" s="21">
        <f>24896+339</f>
        <v>25235</v>
      </c>
      <c r="K403" s="27">
        <f>670683+1000</f>
        <v>671683</v>
      </c>
      <c r="L403" s="27">
        <v>0</v>
      </c>
      <c r="M403" s="21">
        <v>0</v>
      </c>
      <c r="N403" s="68">
        <f t="shared" si="58"/>
        <v>861479</v>
      </c>
      <c r="O403" s="63">
        <f>85579+3837+72251+2556</f>
        <v>164223</v>
      </c>
      <c r="P403" s="21">
        <f>377459+53974+79169+8129</f>
        <v>518731</v>
      </c>
      <c r="Q403" s="21">
        <v>0</v>
      </c>
      <c r="R403" s="89">
        <f t="shared" si="59"/>
        <v>682954</v>
      </c>
      <c r="S403" s="65">
        <f t="shared" si="39"/>
        <v>1776326</v>
      </c>
      <c r="T403" s="34">
        <f>103204+79+3</f>
        <v>103286</v>
      </c>
      <c r="U403" s="34">
        <v>81993</v>
      </c>
      <c r="V403" s="34">
        <v>4533</v>
      </c>
      <c r="W403" s="34">
        <v>2798</v>
      </c>
      <c r="X403" s="89">
        <f t="shared" si="46"/>
        <v>192610</v>
      </c>
      <c r="Y403" s="65">
        <f t="shared" si="57"/>
        <v>1968936</v>
      </c>
    </row>
    <row r="404" spans="1:25" s="21" customFormat="1" ht="12.75" customHeight="1" x14ac:dyDescent="0.25">
      <c r="A404" s="24" t="s">
        <v>209</v>
      </c>
      <c r="B404" s="25"/>
      <c r="C404" s="27">
        <f t="shared" si="56"/>
        <v>155986</v>
      </c>
      <c r="D404" s="21">
        <v>17472</v>
      </c>
      <c r="E404" s="21">
        <v>57855</v>
      </c>
      <c r="F404" s="21">
        <v>0</v>
      </c>
      <c r="G404" s="89">
        <f>307406-(69401+4263+81+1001)</f>
        <v>232660</v>
      </c>
      <c r="H404" s="65">
        <v>0</v>
      </c>
      <c r="I404" s="34">
        <f>187093+4263-J404</f>
        <v>165148</v>
      </c>
      <c r="J404" s="21">
        <f>25857+351</f>
        <v>26208</v>
      </c>
      <c r="K404" s="27">
        <f>673302+1001</f>
        <v>674303</v>
      </c>
      <c r="L404" s="27">
        <v>0</v>
      </c>
      <c r="M404" s="21">
        <v>0</v>
      </c>
      <c r="N404" s="68">
        <f t="shared" si="58"/>
        <v>865659</v>
      </c>
      <c r="O404" s="63">
        <f>85779+3869+72884+2605</f>
        <v>165137</v>
      </c>
      <c r="P404" s="21">
        <f>381136+54660+79565+8267</f>
        <v>523628</v>
      </c>
      <c r="Q404" s="21">
        <v>0</v>
      </c>
      <c r="R404" s="89">
        <f t="shared" si="59"/>
        <v>688765</v>
      </c>
      <c r="S404" s="65">
        <f t="shared" si="39"/>
        <v>1787084</v>
      </c>
      <c r="T404" s="34">
        <f>103985+81+1</f>
        <v>104067</v>
      </c>
      <c r="U404" s="34">
        <v>82449</v>
      </c>
      <c r="V404" s="34">
        <v>4195</v>
      </c>
      <c r="W404" s="34">
        <v>3269</v>
      </c>
      <c r="X404" s="89">
        <f t="shared" si="46"/>
        <v>193980</v>
      </c>
      <c r="Y404" s="65">
        <f t="shared" si="57"/>
        <v>1981064</v>
      </c>
    </row>
    <row r="405" spans="1:25" s="21" customFormat="1" ht="12.75" customHeight="1" x14ac:dyDescent="0.25">
      <c r="A405" s="24" t="s">
        <v>210</v>
      </c>
      <c r="B405" s="25"/>
      <c r="C405" s="27">
        <f t="shared" si="56"/>
        <v>152002</v>
      </c>
      <c r="D405" s="21">
        <v>17475</v>
      </c>
      <c r="E405" s="21">
        <v>58518</v>
      </c>
      <c r="F405" s="21">
        <v>0</v>
      </c>
      <c r="G405" s="89">
        <f>308872-(71307+4322+84+1019)</f>
        <v>232140</v>
      </c>
      <c r="H405" s="65">
        <v>0</v>
      </c>
      <c r="I405" s="34">
        <f>188139+4322-J405</f>
        <v>165792</v>
      </c>
      <c r="J405" s="21">
        <f>26317+352</f>
        <v>26669</v>
      </c>
      <c r="K405" s="27">
        <f>675642+1019</f>
        <v>676661</v>
      </c>
      <c r="L405" s="27">
        <v>0</v>
      </c>
      <c r="M405" s="21">
        <v>0</v>
      </c>
      <c r="N405" s="68">
        <f t="shared" si="58"/>
        <v>869122</v>
      </c>
      <c r="O405" s="63">
        <f>4073+2725+85839+73534</f>
        <v>166171</v>
      </c>
      <c r="P405" s="21">
        <f>56022+8487+382650+80106</f>
        <v>527265</v>
      </c>
      <c r="Q405" s="21">
        <v>0</v>
      </c>
      <c r="R405" s="89">
        <f t="shared" si="59"/>
        <v>693436</v>
      </c>
      <c r="S405" s="65">
        <f t="shared" si="39"/>
        <v>1794698</v>
      </c>
      <c r="T405" s="34">
        <f>104639+84+2</f>
        <v>104725</v>
      </c>
      <c r="U405" s="34">
        <v>82988</v>
      </c>
      <c r="V405" s="34">
        <v>4064</v>
      </c>
      <c r="W405" s="34">
        <v>3422</v>
      </c>
      <c r="X405" s="89">
        <f t="shared" si="46"/>
        <v>195199</v>
      </c>
      <c r="Y405" s="65">
        <f t="shared" si="57"/>
        <v>1989897</v>
      </c>
    </row>
    <row r="406" spans="1:25" s="21" customFormat="1" ht="12.75" customHeight="1" x14ac:dyDescent="0.25">
      <c r="A406" s="24" t="s">
        <v>211</v>
      </c>
      <c r="B406" s="25"/>
      <c r="C406" s="27">
        <f t="shared" si="56"/>
        <v>150241</v>
      </c>
      <c r="D406" s="21">
        <v>17376</v>
      </c>
      <c r="E406" s="21">
        <v>58892</v>
      </c>
      <c r="F406" s="21">
        <v>0</v>
      </c>
      <c r="G406" s="89">
        <f>309610-(71758+4328+85+1027)</f>
        <v>232412</v>
      </c>
      <c r="H406" s="65">
        <v>0</v>
      </c>
      <c r="I406" s="34">
        <f>187746+4328-J406</f>
        <v>164462</v>
      </c>
      <c r="J406" s="21">
        <f>27255+357</f>
        <v>27612</v>
      </c>
      <c r="K406" s="27">
        <f>674662+1027</f>
        <v>675689</v>
      </c>
      <c r="L406" s="27">
        <v>0</v>
      </c>
      <c r="M406" s="21">
        <v>0</v>
      </c>
      <c r="N406" s="68">
        <f t="shared" si="58"/>
        <v>867763</v>
      </c>
      <c r="O406" s="63">
        <f>4125+86396+2722+73641</f>
        <v>166884</v>
      </c>
      <c r="P406" s="21">
        <f>56382+386034+8529+80483</f>
        <v>531428</v>
      </c>
      <c r="Q406" s="21">
        <v>0</v>
      </c>
      <c r="R406" s="89">
        <f t="shared" si="59"/>
        <v>698312</v>
      </c>
      <c r="S406" s="65">
        <f t="shared" si="39"/>
        <v>1798487</v>
      </c>
      <c r="T406" s="34">
        <f>105172+85+2</f>
        <v>105259</v>
      </c>
      <c r="U406" s="34">
        <v>82807</v>
      </c>
      <c r="V406" s="34">
        <v>4026</v>
      </c>
      <c r="W406" s="34">
        <v>3620</v>
      </c>
      <c r="X406" s="89">
        <f t="shared" si="46"/>
        <v>195712</v>
      </c>
      <c r="Y406" s="65">
        <f t="shared" si="57"/>
        <v>1994199</v>
      </c>
    </row>
    <row r="407" spans="1:25" s="21" customFormat="1" ht="12.75" customHeight="1" x14ac:dyDescent="0.25">
      <c r="A407" s="24" t="s">
        <v>212</v>
      </c>
      <c r="B407" s="25"/>
      <c r="C407" s="27">
        <f t="shared" si="56"/>
        <v>150130</v>
      </c>
      <c r="D407" s="21">
        <v>17678</v>
      </c>
      <c r="E407" s="21">
        <v>59308</v>
      </c>
      <c r="F407" s="21">
        <v>0</v>
      </c>
      <c r="G407" s="89">
        <f>309299-(71885+4303+86+1033)</f>
        <v>231992</v>
      </c>
      <c r="H407" s="65">
        <v>0</v>
      </c>
      <c r="I407" s="34">
        <f>186508+4303-J407</f>
        <v>162808</v>
      </c>
      <c r="J407" s="21">
        <f>27634+369</f>
        <v>28003</v>
      </c>
      <c r="K407" s="27">
        <f>667446+1033</f>
        <v>668479</v>
      </c>
      <c r="L407" s="27">
        <v>0</v>
      </c>
      <c r="M407" s="21">
        <v>0</v>
      </c>
      <c r="N407" s="68">
        <f t="shared" si="58"/>
        <v>859290</v>
      </c>
      <c r="O407" s="63">
        <f>85258+4128+72393+2728</f>
        <v>164507</v>
      </c>
      <c r="P407" s="21">
        <f>381690+56441+79759+8588</f>
        <v>526478</v>
      </c>
      <c r="Q407" s="21">
        <v>0</v>
      </c>
      <c r="R407" s="89">
        <f t="shared" si="59"/>
        <v>690985</v>
      </c>
      <c r="S407" s="65">
        <f t="shared" si="39"/>
        <v>1782267</v>
      </c>
      <c r="T407" s="34">
        <f>104079+86+3</f>
        <v>104168</v>
      </c>
      <c r="U407" s="34">
        <v>83113</v>
      </c>
      <c r="V407" s="34">
        <v>3955</v>
      </c>
      <c r="W407" s="34">
        <v>3701</v>
      </c>
      <c r="X407" s="89">
        <f t="shared" si="46"/>
        <v>194937</v>
      </c>
      <c r="Y407" s="65">
        <f t="shared" si="57"/>
        <v>1977204</v>
      </c>
    </row>
    <row r="408" spans="1:25" s="21" customFormat="1" ht="12.75" customHeight="1" x14ac:dyDescent="0.25">
      <c r="A408" s="24"/>
      <c r="B408" s="25"/>
      <c r="C408" s="27"/>
      <c r="G408" s="89"/>
      <c r="H408" s="65"/>
      <c r="I408" s="34"/>
      <c r="K408" s="27"/>
      <c r="L408" s="27"/>
      <c r="M408" s="21">
        <v>0</v>
      </c>
      <c r="N408" s="68"/>
      <c r="O408" s="63"/>
      <c r="R408" s="89"/>
      <c r="S408" s="65">
        <f t="shared" si="39"/>
        <v>0</v>
      </c>
      <c r="T408" s="34"/>
      <c r="U408" s="34"/>
      <c r="V408" s="34"/>
      <c r="W408" s="34"/>
      <c r="X408" s="89"/>
      <c r="Y408" s="65">
        <f t="shared" si="57"/>
        <v>0</v>
      </c>
    </row>
    <row r="409" spans="1:25" s="21" customFormat="1" ht="12.75" customHeight="1" x14ac:dyDescent="0.25">
      <c r="A409" s="24" t="s">
        <v>213</v>
      </c>
      <c r="B409" s="25"/>
      <c r="C409" s="27">
        <f t="shared" ref="C409:C420" si="60">IF((G409-D409-E409)&gt;C201,C201,G409-D409-E409)</f>
        <v>149659</v>
      </c>
      <c r="D409" s="21">
        <v>17566</v>
      </c>
      <c r="E409" s="21">
        <v>59556</v>
      </c>
      <c r="F409" s="21">
        <v>0</v>
      </c>
      <c r="G409" s="89">
        <f>305725-(71670+4187+84+1029)</f>
        <v>228755</v>
      </c>
      <c r="H409" s="65">
        <v>0</v>
      </c>
      <c r="I409" s="34">
        <f>184329+4187-J409</f>
        <v>160776</v>
      </c>
      <c r="J409" s="21">
        <f>358+27382</f>
        <v>27740</v>
      </c>
      <c r="K409" s="27">
        <f>657029+1029</f>
        <v>658058</v>
      </c>
      <c r="L409" s="27">
        <v>0</v>
      </c>
      <c r="M409" s="21">
        <v>0</v>
      </c>
      <c r="N409" s="68">
        <f>SUM(I409:M409)</f>
        <v>846574</v>
      </c>
      <c r="O409" s="63">
        <f>4154+2684+83802+70636</f>
        <v>161276</v>
      </c>
      <c r="P409" s="21">
        <f>56282+8550+377755+78491</f>
        <v>521078</v>
      </c>
      <c r="Q409" s="21">
        <v>0</v>
      </c>
      <c r="R409" s="89">
        <f t="shared" ref="R409:R420" si="61">SUM(O409:Q409)</f>
        <v>682354</v>
      </c>
      <c r="S409" s="65">
        <f t="shared" ref="S409:S423" si="62">G409+H409+N409+R409</f>
        <v>1757683</v>
      </c>
      <c r="T409" s="34">
        <f>84+101528+2</f>
        <v>101614</v>
      </c>
      <c r="U409" s="34">
        <v>82595</v>
      </c>
      <c r="V409" s="34">
        <v>3874</v>
      </c>
      <c r="W409" s="34">
        <v>3752</v>
      </c>
      <c r="X409" s="89">
        <f t="shared" si="46"/>
        <v>191835</v>
      </c>
      <c r="Y409" s="65">
        <f t="shared" si="57"/>
        <v>1949518</v>
      </c>
    </row>
    <row r="410" spans="1:25" s="21" customFormat="1" ht="12.75" customHeight="1" x14ac:dyDescent="0.25">
      <c r="A410" s="24" t="s">
        <v>215</v>
      </c>
      <c r="B410" s="25"/>
      <c r="C410" s="27">
        <f t="shared" si="60"/>
        <v>149715</v>
      </c>
      <c r="D410" s="21">
        <v>17370</v>
      </c>
      <c r="E410" s="21">
        <v>58709</v>
      </c>
      <c r="F410" s="21">
        <v>0</v>
      </c>
      <c r="G410" s="89">
        <f>302517-(71609+4043+77+994)</f>
        <v>225794</v>
      </c>
      <c r="H410" s="65">
        <v>0</v>
      </c>
      <c r="I410" s="34">
        <f>182567+4043-J410</f>
        <v>159045</v>
      </c>
      <c r="J410" s="21">
        <f>343+27222</f>
        <v>27565</v>
      </c>
      <c r="K410" s="27">
        <f>994+646959</f>
        <v>647953</v>
      </c>
      <c r="L410" s="27">
        <v>0</v>
      </c>
      <c r="M410" s="21">
        <v>0</v>
      </c>
      <c r="N410" s="68">
        <f t="shared" ref="N410:N420" si="63">SUM(I410:M410)</f>
        <v>834563</v>
      </c>
      <c r="O410" s="63">
        <f>4149+2701+82097+68800</f>
        <v>157747</v>
      </c>
      <c r="P410" s="21">
        <f>56269+8490+374539+77215</f>
        <v>516513</v>
      </c>
      <c r="Q410" s="21">
        <v>0</v>
      </c>
      <c r="R410" s="89">
        <f t="shared" si="61"/>
        <v>674260</v>
      </c>
      <c r="S410" s="65">
        <f t="shared" si="62"/>
        <v>1734617</v>
      </c>
      <c r="T410" s="34">
        <f>77+99038+2</f>
        <v>99117</v>
      </c>
      <c r="U410" s="34">
        <v>82194</v>
      </c>
      <c r="V410" s="34">
        <v>3835</v>
      </c>
      <c r="W410" s="34">
        <v>3795</v>
      </c>
      <c r="X410" s="89">
        <f t="shared" si="46"/>
        <v>188941</v>
      </c>
      <c r="Y410" s="65">
        <f t="shared" si="57"/>
        <v>1923558</v>
      </c>
    </row>
    <row r="411" spans="1:25" s="21" customFormat="1" ht="12.75" customHeight="1" x14ac:dyDescent="0.25">
      <c r="A411" s="24" t="s">
        <v>216</v>
      </c>
      <c r="B411" s="25"/>
      <c r="C411" s="27">
        <f t="shared" si="60"/>
        <v>148959</v>
      </c>
      <c r="D411" s="21">
        <v>17143</v>
      </c>
      <c r="E411" s="21">
        <v>57656</v>
      </c>
      <c r="F411" s="21">
        <v>0</v>
      </c>
      <c r="G411" s="89">
        <f>300874-(71804+3921+77+1009)</f>
        <v>224063</v>
      </c>
      <c r="H411" s="65">
        <v>0</v>
      </c>
      <c r="I411" s="34">
        <f>3921+180240-J411</f>
        <v>156644</v>
      </c>
      <c r="J411" s="21">
        <f>334+27183</f>
        <v>27517</v>
      </c>
      <c r="K411" s="27">
        <f>1009+634634</f>
        <v>635643</v>
      </c>
      <c r="L411" s="27">
        <v>0</v>
      </c>
      <c r="M411" s="21">
        <v>0</v>
      </c>
      <c r="N411" s="68">
        <f t="shared" si="63"/>
        <v>819804</v>
      </c>
      <c r="O411" s="63">
        <f>4147+2720+79845+66786</f>
        <v>153498</v>
      </c>
      <c r="P411" s="21">
        <f>56436+8501+370622+75691</f>
        <v>511250</v>
      </c>
      <c r="Q411" s="21">
        <v>0</v>
      </c>
      <c r="R411" s="89">
        <f t="shared" si="61"/>
        <v>664748</v>
      </c>
      <c r="S411" s="65">
        <f t="shared" si="62"/>
        <v>1708615</v>
      </c>
      <c r="T411" s="34">
        <f>77+96342+1</f>
        <v>96420</v>
      </c>
      <c r="U411" s="34">
        <v>82224</v>
      </c>
      <c r="V411" s="34">
        <v>3812</v>
      </c>
      <c r="W411" s="34">
        <v>3787</v>
      </c>
      <c r="X411" s="89">
        <f t="shared" si="46"/>
        <v>186243</v>
      </c>
      <c r="Y411" s="65">
        <f t="shared" si="57"/>
        <v>1894858</v>
      </c>
    </row>
    <row r="412" spans="1:25" s="21" customFormat="1" ht="12.75" customHeight="1" x14ac:dyDescent="0.25">
      <c r="A412" s="24" t="s">
        <v>217</v>
      </c>
      <c r="B412" s="25"/>
      <c r="C412" s="27">
        <f t="shared" si="60"/>
        <v>148309</v>
      </c>
      <c r="D412" s="21">
        <v>16710</v>
      </c>
      <c r="E412" s="21">
        <v>58161</v>
      </c>
      <c r="F412" s="21">
        <v>0</v>
      </c>
      <c r="G412" s="89">
        <f>301812-(72103+3912+68+1018)</f>
        <v>224711</v>
      </c>
      <c r="H412" s="65">
        <v>0</v>
      </c>
      <c r="I412" s="34">
        <f>(3912+180635)-J412</f>
        <v>156391</v>
      </c>
      <c r="J412" s="21">
        <f>337+27819</f>
        <v>28156</v>
      </c>
      <c r="K412" s="27">
        <f>1018+634360</f>
        <v>635378</v>
      </c>
      <c r="L412" s="27">
        <v>0</v>
      </c>
      <c r="M412" s="21">
        <v>0</v>
      </c>
      <c r="N412" s="68">
        <f t="shared" si="63"/>
        <v>819925</v>
      </c>
      <c r="O412" s="63">
        <f>4127+2761+79115+65836</f>
        <v>151839</v>
      </c>
      <c r="P412" s="21">
        <f>56775+371008+8440+74996</f>
        <v>511219</v>
      </c>
      <c r="Q412" s="21">
        <v>0</v>
      </c>
      <c r="R412" s="89">
        <f t="shared" si="61"/>
        <v>663058</v>
      </c>
      <c r="S412" s="65">
        <f t="shared" si="62"/>
        <v>1707694</v>
      </c>
      <c r="T412" s="34">
        <f>96520+68+3</f>
        <v>96591</v>
      </c>
      <c r="U412" s="34">
        <v>84374</v>
      </c>
      <c r="V412" s="34">
        <v>3887</v>
      </c>
      <c r="W412" s="34">
        <v>3780</v>
      </c>
      <c r="X412" s="89">
        <f t="shared" si="46"/>
        <v>188632</v>
      </c>
      <c r="Y412" s="65">
        <f t="shared" si="57"/>
        <v>1896326</v>
      </c>
    </row>
    <row r="413" spans="1:25" s="21" customFormat="1" ht="12.75" customHeight="1" x14ac:dyDescent="0.25">
      <c r="A413" s="24" t="s">
        <v>218</v>
      </c>
      <c r="B413" s="25"/>
      <c r="C413" s="27">
        <f t="shared" si="60"/>
        <v>144401</v>
      </c>
      <c r="D413" s="21">
        <v>17043</v>
      </c>
      <c r="E413" s="21">
        <v>58472</v>
      </c>
      <c r="F413" s="21">
        <v>0</v>
      </c>
      <c r="G413" s="89">
        <f>302191-(1040+67+3893+72181)</f>
        <v>225010</v>
      </c>
      <c r="H413" s="65">
        <v>0</v>
      </c>
      <c r="I413" s="34">
        <f>3893+181583-J413</f>
        <v>156672</v>
      </c>
      <c r="J413" s="21">
        <f>325+28479</f>
        <v>28804</v>
      </c>
      <c r="K413" s="27">
        <f>633706+1040</f>
        <v>634746</v>
      </c>
      <c r="L413" s="27">
        <v>0</v>
      </c>
      <c r="M413" s="21">
        <v>0</v>
      </c>
      <c r="N413" s="68">
        <f t="shared" si="63"/>
        <v>820222</v>
      </c>
      <c r="O413" s="63">
        <f>4096+78648+2774+65801</f>
        <v>151319</v>
      </c>
      <c r="P413" s="21">
        <f>56970+375433+8341+74060</f>
        <v>514804</v>
      </c>
      <c r="Q413" s="21">
        <v>0</v>
      </c>
      <c r="R413" s="89">
        <f t="shared" si="61"/>
        <v>666123</v>
      </c>
      <c r="S413" s="65">
        <f t="shared" si="62"/>
        <v>1711355</v>
      </c>
      <c r="T413" s="34">
        <f>97234+67+3</f>
        <v>97304</v>
      </c>
      <c r="U413" s="34">
        <v>88876</v>
      </c>
      <c r="V413" s="21">
        <v>3934</v>
      </c>
      <c r="W413" s="21">
        <v>3786</v>
      </c>
      <c r="X413" s="89">
        <f t="shared" si="46"/>
        <v>193900</v>
      </c>
      <c r="Y413" s="65">
        <f t="shared" si="57"/>
        <v>1905255</v>
      </c>
    </row>
    <row r="414" spans="1:25" s="21" customFormat="1" ht="12.75" customHeight="1" x14ac:dyDescent="0.25">
      <c r="A414" s="24" t="s">
        <v>222</v>
      </c>
      <c r="B414" s="25"/>
      <c r="C414" s="27">
        <f t="shared" si="60"/>
        <v>143523</v>
      </c>
      <c r="D414" s="21">
        <v>16930</v>
      </c>
      <c r="E414" s="21">
        <v>59175</v>
      </c>
      <c r="F414" s="21">
        <v>0</v>
      </c>
      <c r="G414" s="89">
        <f>301206-(71825+3888+62+1039)</f>
        <v>224392</v>
      </c>
      <c r="H414" s="65">
        <v>0</v>
      </c>
      <c r="I414" s="34">
        <f>814077-(29011+629171)</f>
        <v>155895</v>
      </c>
      <c r="J414" s="21">
        <f>28678+333</f>
        <v>29011</v>
      </c>
      <c r="K414" s="27">
        <f>628132+1039</f>
        <v>629171</v>
      </c>
      <c r="L414" s="27">
        <v>0</v>
      </c>
      <c r="M414" s="21">
        <v>0</v>
      </c>
      <c r="N414" s="68">
        <f t="shared" si="63"/>
        <v>814077</v>
      </c>
      <c r="O414" s="63">
        <f>4074+2747+77747+64967</f>
        <v>149535</v>
      </c>
      <c r="P414" s="21">
        <f>56810+8149+72952+375750</f>
        <v>513661</v>
      </c>
      <c r="Q414" s="21">
        <v>0</v>
      </c>
      <c r="R414" s="89">
        <f t="shared" si="61"/>
        <v>663196</v>
      </c>
      <c r="S414" s="65">
        <f t="shared" si="62"/>
        <v>1701665</v>
      </c>
      <c r="T414" s="34">
        <f>96542+62+0</f>
        <v>96604</v>
      </c>
      <c r="U414" s="34">
        <v>92139</v>
      </c>
      <c r="V414" s="34">
        <v>3970</v>
      </c>
      <c r="W414" s="34">
        <v>3730</v>
      </c>
      <c r="X414" s="89">
        <f t="shared" si="46"/>
        <v>196443</v>
      </c>
      <c r="Y414" s="65">
        <f t="shared" si="57"/>
        <v>1898108</v>
      </c>
    </row>
    <row r="415" spans="1:25" s="21" customFormat="1" ht="12.75" customHeight="1" x14ac:dyDescent="0.25">
      <c r="A415" s="24" t="s">
        <v>223</v>
      </c>
      <c r="B415" s="36"/>
      <c r="C415" s="27">
        <f t="shared" si="60"/>
        <v>144083</v>
      </c>
      <c r="D415" s="21">
        <v>16985</v>
      </c>
      <c r="E415" s="21">
        <v>59497</v>
      </c>
      <c r="F415" s="21">
        <v>0</v>
      </c>
      <c r="G415" s="89">
        <f>300933-(72014+3799+62+1051)</f>
        <v>224007</v>
      </c>
      <c r="H415" s="65">
        <v>0</v>
      </c>
      <c r="I415" s="34">
        <f>3799+180620-J415</f>
        <v>155061</v>
      </c>
      <c r="J415" s="21">
        <f>29030+328</f>
        <v>29358</v>
      </c>
      <c r="K415" s="27">
        <f>624428+1051</f>
        <v>625479</v>
      </c>
      <c r="L415" s="27">
        <v>0</v>
      </c>
      <c r="M415" s="21">
        <v>0</v>
      </c>
      <c r="N415" s="68">
        <f t="shared" si="63"/>
        <v>809898</v>
      </c>
      <c r="O415" s="63">
        <f>4047+2781+77536+64766</f>
        <v>149130</v>
      </c>
      <c r="P415" s="21">
        <f>57002+8184+378377+72856</f>
        <v>516419</v>
      </c>
      <c r="Q415" s="21">
        <v>0</v>
      </c>
      <c r="R415" s="89">
        <f t="shared" si="61"/>
        <v>665549</v>
      </c>
      <c r="S415" s="65">
        <f t="shared" si="62"/>
        <v>1699454</v>
      </c>
      <c r="T415" s="34">
        <f>96649+62+2</f>
        <v>96713</v>
      </c>
      <c r="U415" s="34">
        <v>95185</v>
      </c>
      <c r="V415" s="34">
        <v>3853</v>
      </c>
      <c r="W415" s="34">
        <v>3801</v>
      </c>
      <c r="X415" s="89">
        <f t="shared" si="46"/>
        <v>199552</v>
      </c>
      <c r="Y415" s="65">
        <f t="shared" si="57"/>
        <v>1899006</v>
      </c>
    </row>
    <row r="416" spans="1:25" s="21" customFormat="1" ht="12.75" customHeight="1" x14ac:dyDescent="0.25">
      <c r="A416" s="24" t="s">
        <v>225</v>
      </c>
      <c r="B416" s="36"/>
      <c r="C416" s="27">
        <f t="shared" si="60"/>
        <v>142108</v>
      </c>
      <c r="D416" s="21">
        <v>17102</v>
      </c>
      <c r="E416" s="21">
        <v>59298</v>
      </c>
      <c r="F416" s="21">
        <v>0</v>
      </c>
      <c r="G416" s="89">
        <f>295036-(70034+3612+60+1024)</f>
        <v>220306</v>
      </c>
      <c r="H416" s="65">
        <v>0</v>
      </c>
      <c r="I416" s="34">
        <f>3612+174658-J416</f>
        <v>149854</v>
      </c>
      <c r="J416" s="21">
        <f>28104+312</f>
        <v>28416</v>
      </c>
      <c r="K416" s="27">
        <f>603100+1024</f>
        <v>604124</v>
      </c>
      <c r="L416" s="27">
        <v>0</v>
      </c>
      <c r="M416" s="21">
        <v>0</v>
      </c>
      <c r="N416" s="68">
        <f t="shared" si="63"/>
        <v>782394</v>
      </c>
      <c r="O416" s="63">
        <f>3794+2616+73738+61461</f>
        <v>141609</v>
      </c>
      <c r="P416" s="21">
        <f>55815+7809+372989+69868</f>
        <v>506481</v>
      </c>
      <c r="Q416" s="21">
        <v>0</v>
      </c>
      <c r="R416" s="89">
        <f t="shared" si="61"/>
        <v>648090</v>
      </c>
      <c r="S416" s="65">
        <f t="shared" si="62"/>
        <v>1650790</v>
      </c>
      <c r="T416" s="34">
        <f>91448+60+3</f>
        <v>91511</v>
      </c>
      <c r="U416" s="34">
        <v>94918</v>
      </c>
      <c r="V416" s="34">
        <v>3512</v>
      </c>
      <c r="W416" s="34">
        <v>3633</v>
      </c>
      <c r="X416" s="89">
        <f t="shared" si="46"/>
        <v>193574</v>
      </c>
      <c r="Y416" s="65">
        <f t="shared" si="57"/>
        <v>1844364</v>
      </c>
    </row>
    <row r="417" spans="1:25" s="21" customFormat="1" ht="12.75" customHeight="1" x14ac:dyDescent="0.25">
      <c r="A417" s="24" t="s">
        <v>226</v>
      </c>
      <c r="B417" s="36"/>
      <c r="C417" s="27">
        <f t="shared" si="60"/>
        <v>142162</v>
      </c>
      <c r="D417" s="21">
        <v>17090</v>
      </c>
      <c r="E417" s="21">
        <v>59352</v>
      </c>
      <c r="F417" s="21">
        <v>0</v>
      </c>
      <c r="G417" s="89">
        <f>293523-(70265+3568+61+1025)</f>
        <v>218604</v>
      </c>
      <c r="H417" s="65">
        <v>0</v>
      </c>
      <c r="I417" s="34">
        <f>3568+174759-J417</f>
        <v>149739</v>
      </c>
      <c r="J417" s="21">
        <f>306+28282</f>
        <v>28588</v>
      </c>
      <c r="K417" s="27">
        <f>598399+1025</f>
        <v>599424</v>
      </c>
      <c r="L417" s="27">
        <v>0</v>
      </c>
      <c r="M417" s="21">
        <v>0</v>
      </c>
      <c r="N417" s="68">
        <f t="shared" si="63"/>
        <v>777751</v>
      </c>
      <c r="O417" s="63">
        <f>3867+73305+2598+61149</f>
        <v>140919</v>
      </c>
      <c r="P417" s="21">
        <f>56004+369327+7796+68964</f>
        <v>502091</v>
      </c>
      <c r="Q417" s="21">
        <v>0</v>
      </c>
      <c r="R417" s="89">
        <f t="shared" si="61"/>
        <v>643010</v>
      </c>
      <c r="S417" s="65">
        <f t="shared" si="62"/>
        <v>1639365</v>
      </c>
      <c r="T417" s="34">
        <f>91373+61+2</f>
        <v>91436</v>
      </c>
      <c r="U417" s="34">
        <v>96569</v>
      </c>
      <c r="V417" s="34">
        <v>3483</v>
      </c>
      <c r="W417" s="34">
        <v>3365</v>
      </c>
      <c r="X417" s="89">
        <f t="shared" si="46"/>
        <v>194853</v>
      </c>
      <c r="Y417" s="65">
        <f t="shared" si="57"/>
        <v>1834218</v>
      </c>
    </row>
    <row r="418" spans="1:25" x14ac:dyDescent="0.25">
      <c r="A418" s="24" t="s">
        <v>339</v>
      </c>
      <c r="C418" s="27">
        <f t="shared" si="60"/>
        <v>138192</v>
      </c>
      <c r="D418" s="21">
        <v>16609</v>
      </c>
      <c r="E418" s="21">
        <v>60088</v>
      </c>
      <c r="F418" s="21">
        <v>0</v>
      </c>
      <c r="G418" s="89">
        <f>287698-(68486+3246+61+1016)</f>
        <v>214889</v>
      </c>
      <c r="H418" s="65">
        <v>0</v>
      </c>
      <c r="I418" s="34">
        <f>169587+3246-J418</f>
        <v>143995</v>
      </c>
      <c r="J418" s="21">
        <f>28545+293</f>
        <v>28838</v>
      </c>
      <c r="K418" s="27">
        <f>583538+1016</f>
        <v>584554</v>
      </c>
      <c r="L418" s="27">
        <v>0</v>
      </c>
      <c r="M418" s="21">
        <v>0</v>
      </c>
      <c r="N418" s="68">
        <f t="shared" si="63"/>
        <v>757387</v>
      </c>
      <c r="O418" s="63">
        <f>3733+2513+70110+57345</f>
        <v>133701</v>
      </c>
      <c r="P418" s="21">
        <f>54815+7425+353208+64235</f>
        <v>479683</v>
      </c>
      <c r="Q418" s="21">
        <v>0</v>
      </c>
      <c r="R418" s="89">
        <f t="shared" si="61"/>
        <v>613384</v>
      </c>
      <c r="S418" s="65">
        <f t="shared" si="62"/>
        <v>1585660</v>
      </c>
      <c r="T418" s="34">
        <f>87781+61+0</f>
        <v>87842</v>
      </c>
      <c r="U418" s="34">
        <v>95862</v>
      </c>
      <c r="V418" s="34">
        <v>3499</v>
      </c>
      <c r="W418" s="34">
        <v>3513</v>
      </c>
      <c r="X418" s="89">
        <f t="shared" si="46"/>
        <v>190716</v>
      </c>
      <c r="Y418" s="65">
        <f t="shared" si="57"/>
        <v>1776376</v>
      </c>
    </row>
    <row r="419" spans="1:25" x14ac:dyDescent="0.25">
      <c r="A419" s="24" t="s">
        <v>362</v>
      </c>
      <c r="C419" s="27">
        <f t="shared" si="60"/>
        <v>142507</v>
      </c>
      <c r="D419" s="21">
        <v>16167</v>
      </c>
      <c r="E419" s="21">
        <v>58926</v>
      </c>
      <c r="F419" s="21"/>
      <c r="G419" s="89">
        <f>288865-(67061+3026+66+1018)</f>
        <v>217694</v>
      </c>
      <c r="H419" s="65">
        <v>0</v>
      </c>
      <c r="I419" s="34">
        <f>168699+3026-J419</f>
        <v>144931</v>
      </c>
      <c r="J419" s="21">
        <f>26511+283</f>
        <v>26794</v>
      </c>
      <c r="K419" s="27">
        <f>584274+1018</f>
        <v>585292</v>
      </c>
      <c r="L419" s="27">
        <v>0</v>
      </c>
      <c r="M419" s="21">
        <v>0</v>
      </c>
      <c r="N419" s="68">
        <f t="shared" si="63"/>
        <v>757017</v>
      </c>
      <c r="O419" s="63">
        <f>3688+70693+2509+57645</f>
        <v>134535</v>
      </c>
      <c r="P419" s="21">
        <f>53774+360166+7090+65313</f>
        <v>486343</v>
      </c>
      <c r="Q419" s="21"/>
      <c r="R419" s="89">
        <f t="shared" si="61"/>
        <v>620878</v>
      </c>
      <c r="S419" s="65">
        <f t="shared" si="62"/>
        <v>1595589</v>
      </c>
      <c r="T419" s="34">
        <f>89371+66+0</f>
        <v>89437</v>
      </c>
      <c r="U419" s="34">
        <v>98635</v>
      </c>
      <c r="V419" s="34">
        <v>3535</v>
      </c>
      <c r="W419" s="34">
        <v>4063</v>
      </c>
      <c r="X419" s="89">
        <f t="shared" si="46"/>
        <v>195670</v>
      </c>
      <c r="Y419" s="65">
        <f t="shared" si="57"/>
        <v>1791259</v>
      </c>
    </row>
    <row r="420" spans="1:25" x14ac:dyDescent="0.25">
      <c r="A420" s="24" t="s">
        <v>363</v>
      </c>
      <c r="C420" s="27">
        <f t="shared" si="60"/>
        <v>142514</v>
      </c>
      <c r="D420" s="21">
        <v>16203</v>
      </c>
      <c r="E420" s="21">
        <v>59270</v>
      </c>
      <c r="F420" s="21"/>
      <c r="G420" s="89">
        <f>288242-(66245+2917+68+1025)</f>
        <v>217987</v>
      </c>
      <c r="H420" s="65">
        <v>0</v>
      </c>
      <c r="I420" s="34">
        <f>167991+2917-J420</f>
        <v>143386</v>
      </c>
      <c r="J420" s="21">
        <f>27251+271</f>
        <v>27522</v>
      </c>
      <c r="K420" s="27">
        <f>582635+1025</f>
        <v>583660</v>
      </c>
      <c r="L420" s="27">
        <v>0</v>
      </c>
      <c r="M420" s="21">
        <v>0</v>
      </c>
      <c r="N420" s="68">
        <f t="shared" si="63"/>
        <v>754568</v>
      </c>
      <c r="O420" s="63">
        <f>3650+69741+2474+56601</f>
        <v>132466</v>
      </c>
      <c r="P420" s="21">
        <f>53129+6992+356096+64068</f>
        <v>480285</v>
      </c>
      <c r="Q420" s="21"/>
      <c r="R420" s="89">
        <f t="shared" si="61"/>
        <v>612751</v>
      </c>
      <c r="S420" s="65">
        <f t="shared" si="62"/>
        <v>1585306</v>
      </c>
      <c r="T420" s="34">
        <f>91688+68+0</f>
        <v>91756</v>
      </c>
      <c r="U420" s="34">
        <v>96983</v>
      </c>
      <c r="V420" s="34">
        <v>3699</v>
      </c>
      <c r="W420" s="34">
        <v>4121</v>
      </c>
      <c r="X420" s="89">
        <f t="shared" si="46"/>
        <v>196559</v>
      </c>
      <c r="Y420" s="65">
        <f t="shared" si="57"/>
        <v>1781865</v>
      </c>
    </row>
    <row r="421" spans="1:25" x14ac:dyDescent="0.25">
      <c r="A421" s="24"/>
      <c r="C421" s="27"/>
      <c r="D421" s="21"/>
      <c r="E421" s="21"/>
      <c r="F421" s="21"/>
      <c r="G421" s="89"/>
      <c r="H421" s="65"/>
      <c r="I421" s="34"/>
      <c r="J421" s="21"/>
      <c r="K421" s="27"/>
      <c r="L421" s="27"/>
      <c r="M421" s="21"/>
      <c r="N421" s="68"/>
      <c r="O421" s="63"/>
      <c r="P421" s="21"/>
      <c r="Q421" s="21"/>
      <c r="R421" s="89"/>
      <c r="S421" s="65"/>
      <c r="T421" s="34"/>
      <c r="U421" s="34"/>
      <c r="V421" s="34"/>
      <c r="W421" s="34"/>
      <c r="X421" s="89"/>
      <c r="Y421" s="65"/>
    </row>
    <row r="422" spans="1:25" x14ac:dyDescent="0.25">
      <c r="A422" s="24" t="s">
        <v>368</v>
      </c>
      <c r="B422" s="28"/>
      <c r="C422" s="27">
        <f>G422-D422-E422-F422</f>
        <v>140935</v>
      </c>
      <c r="D422" s="21">
        <v>16367</v>
      </c>
      <c r="E422" s="21">
        <v>59941</v>
      </c>
      <c r="F422" s="21"/>
      <c r="G422" s="89">
        <f>286933-(65744+2848+67+1031)</f>
        <v>217243</v>
      </c>
      <c r="H422" s="65">
        <v>0</v>
      </c>
      <c r="I422" s="34">
        <f>167757+2848-J422</f>
        <v>142476</v>
      </c>
      <c r="J422" s="21">
        <f>27861+268</f>
        <v>28129</v>
      </c>
      <c r="K422" s="27">
        <f>582328+1031</f>
        <v>583359</v>
      </c>
      <c r="L422" s="27">
        <v>0</v>
      </c>
      <c r="M422" s="21">
        <v>0</v>
      </c>
      <c r="N422" s="68">
        <f t="shared" ref="N422:N423" si="64">SUM(I422:M422)</f>
        <v>753964</v>
      </c>
      <c r="O422" s="63">
        <f>3574+68866+2379+55876</f>
        <v>130695</v>
      </c>
      <c r="P422" s="21">
        <f>52791+7000+354175+63074</f>
        <v>477040</v>
      </c>
      <c r="Q422" s="21"/>
      <c r="R422" s="89">
        <f>SUM(O422:Q422)</f>
        <v>607735</v>
      </c>
      <c r="S422" s="65">
        <f t="shared" si="62"/>
        <v>1578942</v>
      </c>
      <c r="T422" s="34">
        <f>92996+67+0</f>
        <v>93063</v>
      </c>
      <c r="U422" s="34">
        <v>95738</v>
      </c>
      <c r="V422" s="34">
        <v>3847</v>
      </c>
      <c r="W422" s="34">
        <v>4214</v>
      </c>
      <c r="X422" s="89">
        <f t="shared" ref="X422" si="65">SUM(T422:W422)</f>
        <v>196862</v>
      </c>
      <c r="Y422" s="65">
        <f t="shared" si="57"/>
        <v>1775804</v>
      </c>
    </row>
    <row r="423" spans="1:25" x14ac:dyDescent="0.25">
      <c r="A423" s="24" t="s">
        <v>375</v>
      </c>
      <c r="B423" s="28"/>
      <c r="C423" s="27">
        <f>G423-D423-E423-F423</f>
        <v>140656</v>
      </c>
      <c r="D423" s="21">
        <v>16303</v>
      </c>
      <c r="E423" s="21">
        <v>60115</v>
      </c>
      <c r="F423" s="21"/>
      <c r="G423" s="89">
        <f>286173-(65226+2754+66+1053)</f>
        <v>217074</v>
      </c>
      <c r="H423" s="65">
        <v>0</v>
      </c>
      <c r="I423" s="34">
        <f>166399+2754-J422</f>
        <v>141024</v>
      </c>
      <c r="J423" s="21">
        <f>27064+260</f>
        <v>27324</v>
      </c>
      <c r="K423" s="27">
        <f>579475+1053</f>
        <v>580528</v>
      </c>
      <c r="L423" s="27">
        <v>0</v>
      </c>
      <c r="M423" s="21">
        <v>0</v>
      </c>
      <c r="N423" s="68">
        <f t="shared" si="64"/>
        <v>748876</v>
      </c>
      <c r="O423" s="63">
        <f>3588+68528+2376+55433</f>
        <v>129925</v>
      </c>
      <c r="P423" s="21">
        <f>52412+355985+6880+63060</f>
        <v>478337</v>
      </c>
      <c r="Q423" s="21"/>
      <c r="R423" s="89">
        <f>SUM(O423:Q423)</f>
        <v>608262</v>
      </c>
      <c r="S423" s="65">
        <f t="shared" si="62"/>
        <v>1574212</v>
      </c>
      <c r="T423" s="34">
        <f>93541+66+0</f>
        <v>93607</v>
      </c>
      <c r="U423" s="34">
        <v>93543</v>
      </c>
      <c r="V423" s="34">
        <v>3810</v>
      </c>
      <c r="W423" s="34">
        <v>4256</v>
      </c>
      <c r="X423" s="89">
        <f>T423+U423+V423+W423</f>
        <v>195216</v>
      </c>
      <c r="Y423" s="65">
        <f t="shared" si="57"/>
        <v>1769428</v>
      </c>
    </row>
    <row r="424" spans="1:25" x14ac:dyDescent="0.25">
      <c r="A424" s="24" t="s">
        <v>476</v>
      </c>
      <c r="B424" s="28"/>
      <c r="C424" s="27">
        <v>140117</v>
      </c>
      <c r="D424" s="21">
        <v>16217</v>
      </c>
      <c r="E424" s="21">
        <v>60590</v>
      </c>
      <c r="F424" s="21"/>
      <c r="G424" s="89">
        <v>216964</v>
      </c>
      <c r="H424" s="65"/>
      <c r="I424" s="34">
        <v>141025</v>
      </c>
      <c r="J424" s="21">
        <v>27469</v>
      </c>
      <c r="K424" s="27">
        <v>580174</v>
      </c>
      <c r="L424" s="27"/>
      <c r="M424" s="21"/>
      <c r="N424" s="68">
        <v>748668</v>
      </c>
      <c r="O424" s="63">
        <v>128716</v>
      </c>
      <c r="P424" s="21">
        <v>477867</v>
      </c>
      <c r="Q424" s="21"/>
      <c r="R424" s="89">
        <v>606583</v>
      </c>
      <c r="S424" s="65">
        <v>1572215</v>
      </c>
      <c r="T424" s="34">
        <v>94814</v>
      </c>
      <c r="U424" s="34">
        <v>92872</v>
      </c>
      <c r="V424" s="34">
        <v>3914</v>
      </c>
      <c r="W424" s="34">
        <v>4251</v>
      </c>
      <c r="X424" s="89">
        <v>195851</v>
      </c>
      <c r="Y424" s="65">
        <v>1768066</v>
      </c>
    </row>
    <row r="425" spans="1:25" ht="13.8" thickBot="1" x14ac:dyDescent="0.3">
      <c r="A425" s="24"/>
      <c r="B425" s="28"/>
      <c r="C425" s="27"/>
      <c r="D425" s="21"/>
      <c r="E425" s="21"/>
      <c r="F425" s="21"/>
      <c r="G425" s="92"/>
      <c r="H425" s="27"/>
      <c r="I425" s="27"/>
      <c r="J425" s="21"/>
      <c r="K425" s="27"/>
      <c r="L425" s="27"/>
      <c r="M425" s="21"/>
      <c r="N425" s="90"/>
      <c r="O425" s="21"/>
      <c r="P425" s="21"/>
      <c r="Q425" s="21"/>
      <c r="R425" s="92"/>
      <c r="S425" s="91"/>
      <c r="T425" s="34"/>
      <c r="U425" s="34"/>
      <c r="V425" s="34"/>
      <c r="W425" s="34"/>
      <c r="X425" s="90"/>
      <c r="Y425" s="123"/>
    </row>
    <row r="426" spans="1:25" ht="13.8" thickBot="1" x14ac:dyDescent="0.3">
      <c r="A426" s="24" t="s">
        <v>476</v>
      </c>
      <c r="B426" s="14"/>
      <c r="C426" s="157">
        <v>0.98638517152290373</v>
      </c>
      <c r="D426" s="158">
        <v>0.84355541718555416</v>
      </c>
      <c r="E426" s="158">
        <v>0.98081748280048564</v>
      </c>
      <c r="F426" s="158">
        <v>0</v>
      </c>
      <c r="G426" s="158">
        <v>0.96446019052360654</v>
      </c>
      <c r="H426" s="158">
        <v>0</v>
      </c>
      <c r="I426" s="158">
        <v>1</v>
      </c>
      <c r="J426" s="158">
        <v>0.9683093626621545</v>
      </c>
      <c r="K426" s="158">
        <v>0.98913471554709176</v>
      </c>
      <c r="L426" s="158">
        <v>0</v>
      </c>
      <c r="M426" s="158">
        <v>0</v>
      </c>
      <c r="N426" s="158">
        <v>0.8985960561865588</v>
      </c>
      <c r="O426" s="158">
        <v>0.98907313774608496</v>
      </c>
      <c r="P426" s="158">
        <v>0.97804716809287073</v>
      </c>
      <c r="Q426" s="158">
        <v>0</v>
      </c>
      <c r="R426" s="158">
        <v>0.91904287168795906</v>
      </c>
      <c r="S426" s="158">
        <v>0.88057269724203369</v>
      </c>
      <c r="T426" s="158">
        <v>0.99355541816428972</v>
      </c>
      <c r="U426" s="158">
        <v>0.98967402308159547</v>
      </c>
      <c r="V426" s="158">
        <v>0.95696821515892416</v>
      </c>
      <c r="W426" s="158">
        <v>0.94340878828229024</v>
      </c>
      <c r="X426" s="158">
        <v>0.98981634035155108</v>
      </c>
      <c r="Y426" s="159">
        <v>0.89147143767596826</v>
      </c>
    </row>
    <row r="427" spans="1:25" x14ac:dyDescent="0.25">
      <c r="B427" s="73"/>
      <c r="N427" s="30"/>
      <c r="O427" s="30"/>
      <c r="P427" s="30"/>
      <c r="Q427" s="30"/>
      <c r="R427" s="30"/>
      <c r="S427" s="91"/>
    </row>
    <row r="428" spans="1:25" x14ac:dyDescent="0.25"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33"/>
      <c r="X428" s="32"/>
      <c r="Y428" s="32"/>
    </row>
    <row r="429" spans="1:25" x14ac:dyDescent="0.25"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33"/>
      <c r="V429" s="6"/>
      <c r="W429" s="6"/>
      <c r="Y429" s="20"/>
    </row>
    <row r="430" spans="1:25" x14ac:dyDescent="0.25"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30"/>
      <c r="T430" s="32"/>
    </row>
    <row r="431" spans="1:25" x14ac:dyDescent="0.25"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32"/>
    </row>
    <row r="432" spans="1:25" x14ac:dyDescent="0.25"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</row>
  </sheetData>
  <mergeCells count="24">
    <mergeCell ref="M4:M5"/>
    <mergeCell ref="C1:Y1"/>
    <mergeCell ref="C2:R2"/>
    <mergeCell ref="T2:X2"/>
    <mergeCell ref="Y2:Y5"/>
    <mergeCell ref="C3:H3"/>
    <mergeCell ref="I3:N3"/>
    <mergeCell ref="O3:R3"/>
    <mergeCell ref="S3:S5"/>
    <mergeCell ref="T3:U3"/>
    <mergeCell ref="X3:X5"/>
    <mergeCell ref="C4:G4"/>
    <mergeCell ref="H4:H5"/>
    <mergeCell ref="I4:I5"/>
    <mergeCell ref="J4:J5"/>
    <mergeCell ref="K4:K5"/>
    <mergeCell ref="V4:V5"/>
    <mergeCell ref="W4:W5"/>
    <mergeCell ref="N4:N5"/>
    <mergeCell ref="O4:O5"/>
    <mergeCell ref="P4:P5"/>
    <mergeCell ref="R4:R5"/>
    <mergeCell ref="T4:T5"/>
    <mergeCell ref="U4:U5"/>
  </mergeCells>
  <pageMargins left="0.18" right="0.23" top="0.33" bottom="0.16" header="0" footer="0"/>
  <pageSetup scale="2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8749908742F4699E7FF264E7D820B" ma:contentTypeVersion="4" ma:contentTypeDescription="Create a new document." ma:contentTypeScope="" ma:versionID="91bec7890230dd8476feaafe26b7b2b4">
  <xsd:schema xmlns:xsd="http://www.w3.org/2001/XMLSchema" xmlns:xs="http://www.w3.org/2001/XMLSchema" xmlns:p="http://schemas.microsoft.com/office/2006/metadata/properties" xmlns:ns2="cc2692e8-c780-41b7-8d27-6c2597199d6d" targetNamespace="http://schemas.microsoft.com/office/2006/metadata/properties" ma:root="true" ma:fieldsID="23e2da28eff70a9fd3f20be4f41f2d62" ns2:_="">
    <xsd:import namespace="cc2692e8-c780-41b7-8d27-6c2597199d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692e8-c780-41b7-8d27-6c2597199d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2996ED-EC9F-4425-9981-184DB71101CC}"/>
</file>

<file path=customXml/itemProps2.xml><?xml version="1.0" encoding="utf-8"?>
<ds:datastoreItem xmlns:ds="http://schemas.openxmlformats.org/officeDocument/2006/customXml" ds:itemID="{B5D69E35-3C63-4435-8D20-AC3C17BD775A}"/>
</file>

<file path=customXml/itemProps3.xml><?xml version="1.0" encoding="utf-8"?>
<ds:datastoreItem xmlns:ds="http://schemas.openxmlformats.org/officeDocument/2006/customXml" ds:itemID="{C6414D69-4514-4E33-8888-C41B2647A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Population</vt:lpstr>
      <vt:lpstr>Enrollment Report</vt:lpstr>
      <vt:lpstr>MCO Report</vt:lpstr>
      <vt:lpstr>'Enrollment Report'!Print_Area</vt:lpstr>
      <vt:lpstr>'MCO Report'!Print_Area</vt:lpstr>
    </vt:vector>
  </TitlesOfParts>
  <Company>DMAS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Chapman, Robert (DMAS)</dc:creator>
  <cp:lastModifiedBy>Monica Chenault</cp:lastModifiedBy>
  <cp:lastPrinted>2024-09-05T14:45:50Z</cp:lastPrinted>
  <dcterms:created xsi:type="dcterms:W3CDTF">2008-07-14T21:10:59Z</dcterms:created>
  <dcterms:modified xsi:type="dcterms:W3CDTF">2024-09-05T14:46:17Z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0x010100B978749908742F4699E7FF264E7D820B</vt:lpwstr>
  </property>
</Properties>
</file>